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point2013/sgg/CO/Cost_and_Outputs_Lib/Transmission/RIIO_Reporting/RIGs_Development/RIGs_2018_19/4_Post_Notice_Modifications/"/>
    </mc:Choice>
  </mc:AlternateContent>
  <bookViews>
    <workbookView xWindow="-15" yWindow="6465" windowWidth="20535" windowHeight="3045" tabRatio="908" activeTab="4"/>
  </bookViews>
  <sheets>
    <sheet name="R1 Cover" sheetId="13" r:id="rId1"/>
    <sheet name="R2 Schematic" sheetId="14" r:id="rId2"/>
    <sheet name="R3 Version log" sheetId="15" r:id="rId3"/>
    <sheet name="R4 Licence Condition Values" sheetId="16" r:id="rId4"/>
    <sheet name="R5 Input page" sheetId="17" r:id="rId5"/>
    <sheet name="R6 Base revenue" sheetId="3" r:id="rId6"/>
    <sheet name="R7 pass through" sheetId="4" r:id="rId7"/>
    <sheet name="R8 Output incentives" sheetId="5" r:id="rId8"/>
    <sheet name="R9 Innovation incentive" sheetId="6" r:id="rId9"/>
    <sheet name="R10 Correction" sheetId="7" r:id="rId10"/>
    <sheet name="R11 TIRG" sheetId="18" r:id="rId11"/>
    <sheet name="R12 TO MAR" sheetId="2" r:id="rId12"/>
    <sheet name="R13 Excluded Revenue" sheetId="11" r:id="rId13"/>
    <sheet name="R14 Rec to Stat Ac" sheetId="10" r:id="rId14"/>
  </sheets>
  <externalReferences>
    <externalReference r:id="rId15"/>
  </externalReferences>
  <definedNames>
    <definedName name="ADD">'R5 Input page'!#REF!</definedName>
    <definedName name="ADDSF6">'[1]R5 Input page'!$F$98:$M$98</definedName>
    <definedName name="AFFTIRG1">'R5 Input page'!$D$120:$M$120</definedName>
    <definedName name="AFFTIRG2">'R5 Input page'!$D$129:$M$129</definedName>
    <definedName name="AFFTIRGDepn1">'R5 Input page'!$D$121:$M$121</definedName>
    <definedName name="AFFTIRGDepn2">'R5 Input page'!$D$130:$M$130</definedName>
    <definedName name="ALE">'R5 Input page'!$D$84:$M$84</definedName>
    <definedName name="ANIA">'R9 Innovation incentive'!$F$27:$M$27</definedName>
    <definedName name="ASWWE">'R5 Input page'!$F$88:$M$88</definedName>
    <definedName name="ATIRG1">'R5 Input page'!$D$124:$M$124</definedName>
    <definedName name="ATIRG2">'R5 Input page'!$D$133:$M$133</definedName>
    <definedName name="atrig2">'R5 Input page'!$F$133:$M$133</definedName>
    <definedName name="BASE">'[1]R5 Input page'!$E$97</definedName>
    <definedName name="BPC">'R5 Input page'!$F$112:$M$112</definedName>
    <definedName name="BR" comment="Transmission Base Revenue">'R6 Base revenue'!$F$12:$M$12</definedName>
    <definedName name="CC">'R5 Input page'!$F$105:$M$105</definedName>
    <definedName name="CCOS">'R5 Input page'!$F$104:$M$104</definedName>
    <definedName name="CCP">'R8 Output incentives'!$F$180:$M$180</definedName>
    <definedName name="CCTIRG">'R4 Licence Condition Values'!$D$78:$M$78</definedName>
    <definedName name="CF">'R4 Licence Condition Values'!$F$61:$M$61</definedName>
    <definedName name="CFTIRG1">'R4 Licence Condition Values'!$E$71:$M$71</definedName>
    <definedName name="CFTIRG2">'R4 Licence Condition Values'!$E$82:$M$82</definedName>
    <definedName name="CompName">'R5 Input page'!$E$6</definedName>
    <definedName name="CONADJ">'R8 Output incentives'!$H$146:$M$146</definedName>
    <definedName name="CTE">'R8 Output incentives'!$F$189:$M$189</definedName>
    <definedName name="CTRIG2">'R11 TIRG'!$F$80:$M$80</definedName>
    <definedName name="DC">'R5 Input page'!$F$101:$M$101</definedName>
    <definedName name="DCOS">'R5 Input page'!$F$100:$M$100</definedName>
    <definedName name="DCP">'R8 Output incentives'!$F$170:$M$170</definedName>
    <definedName name="Dep">'R4 Licence Condition Values'!$E$75:$M$75</definedName>
    <definedName name="depn2">'R4 Licence Condition Values'!$E$86:$M$86</definedName>
    <definedName name="DIS">'R5 Input page'!#REF!</definedName>
    <definedName name="DSP">'R5 Input page'!#REF!</definedName>
    <definedName name="ECC">'R5 Input page'!$F$107:$M$107</definedName>
    <definedName name="ECCOS">'R5 Input page'!$F$106:$M$106</definedName>
    <definedName name="EDC">'R5 Input page'!$F$103:$M$103</definedName>
    <definedName name="EDCOS">'R5 Input page'!$F$102:$M$102</definedName>
    <definedName name="EDR">'R8 Output incentives'!$F$132:$M$132</definedName>
    <definedName name="EDRO">'R5 Input page'!$F$91:$M$91</definedName>
    <definedName name="ENIA">'R5 Input page'!$F$111:$M$111</definedName>
    <definedName name="ENSA">'R5 Input page'!$D$72:$M$72</definedName>
    <definedName name="ENST">'R4 Licence Condition Values'!$D$23:$M$23</definedName>
    <definedName name="ETIRG2">'R4 Licence Condition Values'!$F$87:$M$87</definedName>
    <definedName name="ETIRGC">'R4 Licence Condition Values'!$E$76:$M$76</definedName>
    <definedName name="ETIRGC2">'R4 Licence Condition Values'!$E$87:$M$87</definedName>
    <definedName name="ETIRGORAV">'R4 Licence Condition Values'!$E$74:$M$74</definedName>
    <definedName name="ETIRGORAV2">'R4 Licence Condition Values'!$E$85:$M$85</definedName>
    <definedName name="FactAA">'R5 Input page'!#REF!</definedName>
    <definedName name="FactBB">'R5 Input page'!#REF!</definedName>
    <definedName name="FactX">'R5 Input page'!#REF!</definedName>
    <definedName name="FactY">'R5 Input page'!#REF!</definedName>
    <definedName name="FactZ">'R5 Input page'!#REF!</definedName>
    <definedName name="FTIRGC1">'R4 Licence Condition Values'!$E$72:$M$72</definedName>
    <definedName name="FTIRGC2">'R4 Licence Condition Values'!$F$83:$M$83</definedName>
    <definedName name="FTIRGCDEPN2">'R4 Licence Condition Values'!$E$84:$M$84</definedName>
    <definedName name="FTIRGDEPN1">'R4 Licence Condition Values'!$E$73:$M$73</definedName>
    <definedName name="It">'R5 Input page'!$E$50:$M$50</definedName>
    <definedName name="Kt">'R10 Correction'!$D$18:$M$18</definedName>
    <definedName name="MOD">'R5 Input page'!$F$25:$M$25</definedName>
    <definedName name="NIA">'R9 Innovation incentive'!$F$15:$M$15</definedName>
    <definedName name="NIAIE">'R5 Input page'!$F$115:$M$115</definedName>
    <definedName name="NIAR">'R5 Input page'!$F$113:$M$113</definedName>
    <definedName name="NIAV">'R4 Licence Condition Values'!$F$40:$M$40</definedName>
    <definedName name="NICF">'R5 Input page'!$F$114:$M$114</definedName>
    <definedName name="NTPC">'R5 Input page'!$D$85:$M$85</definedName>
    <definedName name="OFET">'R5 Input page'!$D$62:$M$62</definedName>
    <definedName name="OIP">'R8 Output incentives'!$F$13:$M$13</definedName>
    <definedName name="_xlnm.Print_Area" localSheetId="9">'R10 Correction'!$A$1:$N$30</definedName>
    <definedName name="_xlnm.Print_Area" localSheetId="10">'R11 TIRG'!$A$1:$M$132</definedName>
    <definedName name="_xlnm.Print_Area" localSheetId="11">'R12 TO MAR'!$A$1:$N$24</definedName>
    <definedName name="_xlnm.Print_Area" localSheetId="3">'R4 Licence Condition Values'!$A$69:$N$90</definedName>
    <definedName name="_xlnm.Print_Area" localSheetId="4">'R5 Input page'!$A$1:$J$134</definedName>
    <definedName name="_xlnm.Print_Area" localSheetId="5">'R6 Base revenue'!$A$1:$N$95</definedName>
    <definedName name="_xlnm.Print_Area" localSheetId="6">'R7 pass through'!$A$1:$N$52</definedName>
    <definedName name="_xlnm.Print_Area" localSheetId="7">'R8 Output incentives'!$A$1:$N$126</definedName>
    <definedName name="_xlnm.Print_Area" localSheetId="8">'R9 Innovation incentive'!$A$1:$N$37</definedName>
    <definedName name="PT">'R7 pass through'!$F$10:$M$10</definedName>
    <definedName name="PTIS">'R8 Output incentives'!$F$113:$M$113</definedName>
    <definedName name="PTRA">'R4 Licence Condition Values'!$F$66:$M$66</definedName>
    <definedName name="PTt" comment="Pass through Items">'R7 pass through'!$F$10:$M$10</definedName>
    <definedName name="PU">'R4 Licence Condition Values'!$F$9:$M$9</definedName>
    <definedName name="PVF">'R5 Input page'!$E$47:$M$47</definedName>
    <definedName name="RB">'R7 pass through'!$F$21:$M$21</definedName>
    <definedName name="RBA">'R5 Input page'!$D$54:$M$54</definedName>
    <definedName name="RBE">'R4 Licence Condition Values'!$D$12:$M$12</definedName>
    <definedName name="RBt">'R7 pass through'!$E$8:$M$8</definedName>
    <definedName name="RegYr">'R5 Input page'!$F$7</definedName>
    <definedName name="RI">'R8 Output incentives'!$E$31:$M$31</definedName>
    <definedName name="RIDPA">'R4 Licence Condition Values'!$F$24:$M$24</definedName>
    <definedName name="RILEG">'R5 Input page'!$F$67</definedName>
    <definedName name="RPIA">'R5 Input page'!$D$10:$M$10</definedName>
    <definedName name="RPIF">'R6 Base revenue'!$E$28:$M$28</definedName>
    <definedName name="SAFTIRG1">'R5 Input page'!$D$122:$M$122</definedName>
    <definedName name="SAFTIRG2">'R5 Input page'!$D$131:$M$131</definedName>
    <definedName name="SEA">'R5 Input page'!$F$78:$M$78</definedName>
    <definedName name="SEAPRO">'R4 Licence Condition Values'!$F$58:$M$58</definedName>
    <definedName name="SER">'R5 Input page'!$F$76:$M$76</definedName>
    <definedName name="SERLIMIT">'R4 Licence Condition Values'!$F$48:$M$48</definedName>
    <definedName name="SFI">'R8 Output incentives'!$E$116:$M$116</definedName>
    <definedName name="SHCP">'R8 Output incentives'!$F$160:$M$160</definedName>
    <definedName name="SKPI">'R8 Output incentives'!$F$102:$M$102</definedName>
    <definedName name="SKPIC">'R5 Input page'!$F$77:$M$77</definedName>
    <definedName name="SKPICAP">'R4 Licence Condition Values'!$F$52:$M$52</definedName>
    <definedName name="SKPICOL">'R4 Licence Condition Values'!$F$54:$M$54</definedName>
    <definedName name="SKPIDPA">'R4 Licence Condition Values'!$F$55:$M$55</definedName>
    <definedName name="SKPIPRO">'R4 Licence Condition Values'!$F$56:$M$56</definedName>
    <definedName name="SKPIT">'R4 Licence Condition Values'!$F$51:$M$51</definedName>
    <definedName name="SKPIUPA">'R4 Licence Condition Values'!$F$53:$M$53</definedName>
    <definedName name="SOMOD">'R5 Input page'!$F$28:$M$28</definedName>
    <definedName name="SOPU">'R4 Licence Condition Values'!$F$10:$M$10</definedName>
    <definedName name="SS">'R8 Output incentives'!$F$90:$M$90</definedName>
    <definedName name="SSC">'R5 Input page'!$F$75:$M$75</definedName>
    <definedName name="SSCAP">'R4 Licence Condition Values'!$F$44:$M$44</definedName>
    <definedName name="SSCOL">'R4 Licence Condition Values'!$F$45:$M$45</definedName>
    <definedName name="SSDPA">'R4 Licence Condition Values'!$F$47:$M$47</definedName>
    <definedName name="SSI">'R8 Output incentives'!$F$78:$M$78</definedName>
    <definedName name="SSO">'R8 Output incentives'!$F$60:$M$60</definedName>
    <definedName name="SSPRO">'R4 Licence Condition Values'!$F$49:$M$49</definedName>
    <definedName name="SSSCAP">'R4 Licence Condition Values'!#REF!</definedName>
    <definedName name="SSSCOL">'R4 Licence Condition Values'!#REF!</definedName>
    <definedName name="SSSDPA">'R4 Licence Condition Values'!#REF!</definedName>
    <definedName name="SSSP">'R5 Input page'!$D$75:$M$75</definedName>
    <definedName name="SSST">'R4 Licence Condition Values'!#REF!</definedName>
    <definedName name="SSSUPA">'R4 Licence Condition Values'!#REF!</definedName>
    <definedName name="SST">'R4 Licence Condition Values'!$F$43:$M$43</definedName>
    <definedName name="SSUPA">'R4 Licence Condition Values'!$F$46:$M$46</definedName>
    <definedName name="SubTIRG">'R11 TIRG'!$E$12:$M$12</definedName>
    <definedName name="SWWE">'R5 Input page'!$F$86:$M$86</definedName>
    <definedName name="TERMt">'R5 Input page'!$D$58:$M$58</definedName>
    <definedName name="TF">'R5 Input page'!$F$87:$M$87</definedName>
    <definedName name="TIRG">'R11 TIRG'!$E$16:$M$16</definedName>
    <definedName name="TIRGIncAdj1">'R5 Input page'!$F$123:$M$123</definedName>
    <definedName name="TIRGIncAdj2">'R5 Input page'!$F$132:$M$132</definedName>
    <definedName name="TIS">'R4 Licence Condition Values'!$D$37:$M$37</definedName>
    <definedName name="TNR">'R5 Input page'!$E$41:$M$41</definedName>
    <definedName name="TO">'R12 TO MAR'!$F$17:$M$17</definedName>
    <definedName name="TOFTO">'R5 Input page'!$D$61:$M$61</definedName>
    <definedName name="TOTO">'R5 Input page'!$F$95:$M$95</definedName>
    <definedName name="TPA">'R5 Input page'!$F$56:$M$56</definedName>
    <definedName name="TPD">'R7 pass through'!$E$9:$M$9</definedName>
    <definedName name="TR">'R5 Input page'!$D$80:$M$80</definedName>
    <definedName name="TS">'R5 Input page'!#REF!</definedName>
    <definedName name="TSH">'R5 Input page'!$D$60:$M$60</definedName>
    <definedName name="TSP">'R5 Input page'!$D$59:$M$59</definedName>
    <definedName name="UNTO">'R5 Input page'!$F$94:$M$94</definedName>
    <definedName name="VOLL">'R4 Licence Condition Values'!$F$22:$M$22</definedName>
    <definedName name="WACC">'R5 Input page'!$E$46:$M$46</definedName>
  </definedNames>
  <calcPr calcId="162913"/>
</workbook>
</file>

<file path=xl/calcChain.xml><?xml version="1.0" encoding="utf-8"?>
<calcChain xmlns="http://schemas.openxmlformats.org/spreadsheetml/2006/main">
  <c r="M187" i="5" l="1"/>
  <c r="L187" i="5"/>
  <c r="K187" i="5"/>
  <c r="J187" i="5"/>
  <c r="I187" i="5"/>
  <c r="H187" i="5"/>
  <c r="G187" i="5"/>
  <c r="F187" i="5"/>
  <c r="K11" i="17" l="1"/>
  <c r="L11" i="17" s="1"/>
  <c r="M11" i="17" s="1"/>
  <c r="M84" i="5"/>
  <c r="F37" i="5" l="1"/>
  <c r="F32" i="16" l="1"/>
  <c r="F31" i="16"/>
  <c r="I11" i="10" l="1"/>
  <c r="M35" i="6" l="1"/>
  <c r="L35" i="6"/>
  <c r="K35" i="6"/>
  <c r="J35" i="6"/>
  <c r="J37" i="6" s="1"/>
  <c r="I35" i="6"/>
  <c r="H35" i="6"/>
  <c r="G35" i="6"/>
  <c r="F35" i="6"/>
  <c r="L70" i="5"/>
  <c r="K70" i="5"/>
  <c r="J70" i="5"/>
  <c r="I70" i="5"/>
  <c r="H70" i="5"/>
  <c r="G70" i="5"/>
  <c r="F70" i="5"/>
  <c r="F12" i="3"/>
  <c r="F36" i="5" s="1"/>
  <c r="I8" i="3"/>
  <c r="G109" i="5"/>
  <c r="F109" i="5"/>
  <c r="F110" i="5"/>
  <c r="G61" i="16"/>
  <c r="H61" i="16"/>
  <c r="H111" i="5"/>
  <c r="F85" i="17"/>
  <c r="F112" i="5"/>
  <c r="F122" i="5"/>
  <c r="F123" i="5"/>
  <c r="F124" i="5" s="1"/>
  <c r="F113" i="5" s="1"/>
  <c r="F24" i="5" s="1"/>
  <c r="F47" i="17"/>
  <c r="F114" i="5" s="1"/>
  <c r="G47" i="17"/>
  <c r="G114" i="5" s="1"/>
  <c r="F10" i="17"/>
  <c r="F19" i="3" s="1"/>
  <c r="H28" i="3" s="1"/>
  <c r="G22" i="3"/>
  <c r="H22" i="3"/>
  <c r="M101" i="5"/>
  <c r="L101" i="5"/>
  <c r="K101" i="5"/>
  <c r="J101" i="5"/>
  <c r="I101" i="5"/>
  <c r="H101" i="5"/>
  <c r="G101" i="5"/>
  <c r="F101" i="5"/>
  <c r="M100" i="5"/>
  <c r="L100" i="5"/>
  <c r="K100" i="5"/>
  <c r="J100" i="5"/>
  <c r="I100" i="5"/>
  <c r="H100" i="5"/>
  <c r="G100" i="5"/>
  <c r="F100" i="5"/>
  <c r="M99" i="5"/>
  <c r="L99" i="5"/>
  <c r="K99" i="5"/>
  <c r="J99" i="5"/>
  <c r="I99" i="5"/>
  <c r="H99" i="5"/>
  <c r="G99" i="5"/>
  <c r="F99" i="5"/>
  <c r="M98" i="5"/>
  <c r="L98" i="5"/>
  <c r="K98" i="5"/>
  <c r="J98" i="5"/>
  <c r="I98" i="5"/>
  <c r="H98" i="5"/>
  <c r="G98" i="5"/>
  <c r="F98" i="5"/>
  <c r="M97" i="5"/>
  <c r="L97" i="5"/>
  <c r="K97" i="5"/>
  <c r="J97" i="5"/>
  <c r="I97" i="5"/>
  <c r="H97" i="5"/>
  <c r="G97" i="5"/>
  <c r="F97" i="5"/>
  <c r="M96" i="5"/>
  <c r="L96" i="5"/>
  <c r="K96" i="5"/>
  <c r="J96" i="5"/>
  <c r="I96" i="5"/>
  <c r="H96" i="5"/>
  <c r="G96" i="5"/>
  <c r="F96" i="5"/>
  <c r="M89" i="5"/>
  <c r="L89" i="5"/>
  <c r="K89" i="5"/>
  <c r="J89" i="5"/>
  <c r="I89" i="5"/>
  <c r="H89" i="5"/>
  <c r="G89" i="5"/>
  <c r="F89" i="5"/>
  <c r="M88" i="5"/>
  <c r="L88" i="5"/>
  <c r="K88" i="5"/>
  <c r="J88" i="5"/>
  <c r="I88" i="5"/>
  <c r="H88" i="5"/>
  <c r="G88" i="5"/>
  <c r="F88" i="5"/>
  <c r="M87" i="5"/>
  <c r="L87" i="5"/>
  <c r="K87" i="5"/>
  <c r="J87" i="5"/>
  <c r="I87" i="5"/>
  <c r="H87" i="5"/>
  <c r="G87" i="5"/>
  <c r="F87" i="5"/>
  <c r="M86" i="5"/>
  <c r="L86" i="5"/>
  <c r="K86" i="5"/>
  <c r="J86" i="5"/>
  <c r="I86" i="5"/>
  <c r="H86" i="5"/>
  <c r="G86" i="5"/>
  <c r="F86" i="5"/>
  <c r="M85" i="5"/>
  <c r="L85" i="5"/>
  <c r="K85" i="5"/>
  <c r="J85" i="5"/>
  <c r="I85" i="5"/>
  <c r="H85" i="5"/>
  <c r="G85" i="5"/>
  <c r="F85" i="5"/>
  <c r="L84" i="5"/>
  <c r="K84" i="5"/>
  <c r="J84" i="5"/>
  <c r="I84" i="5"/>
  <c r="H84" i="5"/>
  <c r="G84" i="5"/>
  <c r="F84" i="5"/>
  <c r="M76" i="5"/>
  <c r="L76" i="5"/>
  <c r="K76" i="5"/>
  <c r="J76" i="5"/>
  <c r="I76" i="5"/>
  <c r="H76" i="5"/>
  <c r="G76" i="5"/>
  <c r="G77" i="5" s="1"/>
  <c r="F76" i="5"/>
  <c r="M75" i="5"/>
  <c r="M77" i="5"/>
  <c r="L75" i="5"/>
  <c r="L77" i="5"/>
  <c r="K75" i="5"/>
  <c r="K77" i="5"/>
  <c r="J75" i="5"/>
  <c r="J77" i="5"/>
  <c r="I75" i="5"/>
  <c r="I77" i="5"/>
  <c r="H75" i="5"/>
  <c r="G75" i="5"/>
  <c r="F75" i="5"/>
  <c r="M72" i="5"/>
  <c r="L72" i="5"/>
  <c r="K72" i="5"/>
  <c r="J72" i="5"/>
  <c r="I72" i="5"/>
  <c r="H72" i="5"/>
  <c r="G72" i="5"/>
  <c r="F72" i="5"/>
  <c r="M69" i="5"/>
  <c r="L69" i="5"/>
  <c r="K69" i="5"/>
  <c r="J69" i="5"/>
  <c r="I69" i="5"/>
  <c r="H69" i="5"/>
  <c r="G69" i="5"/>
  <c r="F69" i="5"/>
  <c r="H77" i="5"/>
  <c r="F77" i="5"/>
  <c r="H71" i="5"/>
  <c r="J90" i="5"/>
  <c r="J71" i="5"/>
  <c r="L90" i="5"/>
  <c r="L71" i="5"/>
  <c r="F73" i="5"/>
  <c r="F74" i="5"/>
  <c r="H73" i="5"/>
  <c r="H74" i="5"/>
  <c r="J102" i="5"/>
  <c r="J73" i="5"/>
  <c r="J74" i="5"/>
  <c r="L102" i="5"/>
  <c r="L73" i="5"/>
  <c r="L74" i="5"/>
  <c r="G71" i="5"/>
  <c r="I90" i="5"/>
  <c r="I71" i="5"/>
  <c r="K90" i="5"/>
  <c r="K71" i="5"/>
  <c r="M90" i="5"/>
  <c r="M70" i="5" s="1"/>
  <c r="M71" i="5" s="1"/>
  <c r="G73" i="5"/>
  <c r="G74" i="5"/>
  <c r="I102" i="5"/>
  <c r="I73" i="5"/>
  <c r="I74" i="5"/>
  <c r="K102" i="5"/>
  <c r="K73" i="5"/>
  <c r="K74" i="5"/>
  <c r="M102" i="5"/>
  <c r="M73" i="5"/>
  <c r="M74" i="5"/>
  <c r="F73" i="18"/>
  <c r="H9" i="3"/>
  <c r="H8" i="3"/>
  <c r="F71" i="5"/>
  <c r="H9" i="6"/>
  <c r="H27" i="13"/>
  <c r="H27" i="15"/>
  <c r="F73" i="13"/>
  <c r="F73" i="14"/>
  <c r="F73" i="15"/>
  <c r="F73" i="11"/>
  <c r="F73" i="10"/>
  <c r="F77" i="13"/>
  <c r="F78" i="13"/>
  <c r="F77" i="14"/>
  <c r="F77" i="15"/>
  <c r="F78" i="15"/>
  <c r="F77" i="11"/>
  <c r="F78" i="11"/>
  <c r="F77" i="10"/>
  <c r="F78" i="10"/>
  <c r="F78" i="14"/>
  <c r="F59" i="13"/>
  <c r="F59" i="14"/>
  <c r="H60" i="14" s="1"/>
  <c r="F59" i="15"/>
  <c r="F59" i="11"/>
  <c r="F59" i="10"/>
  <c r="F59" i="5"/>
  <c r="F57" i="13"/>
  <c r="F57" i="14"/>
  <c r="F57" i="15"/>
  <c r="H60" i="15" s="1"/>
  <c r="F57" i="11"/>
  <c r="H60" i="11" s="1"/>
  <c r="H60" i="13"/>
  <c r="H60" i="10"/>
  <c r="M9" i="6"/>
  <c r="L9" i="6"/>
  <c r="K9" i="6"/>
  <c r="J9" i="6"/>
  <c r="I9" i="6"/>
  <c r="G9" i="6"/>
  <c r="F9" i="6"/>
  <c r="E52" i="3"/>
  <c r="G10" i="7"/>
  <c r="M27" i="3"/>
  <c r="L27" i="3"/>
  <c r="L26" i="3"/>
  <c r="K26" i="3"/>
  <c r="K25" i="3"/>
  <c r="J25" i="3"/>
  <c r="J24" i="3"/>
  <c r="I24" i="3"/>
  <c r="I23" i="3"/>
  <c r="H23" i="3"/>
  <c r="G21" i="3"/>
  <c r="F21" i="3"/>
  <c r="F20" i="3"/>
  <c r="E20" i="3"/>
  <c r="E55" i="3"/>
  <c r="E53" i="3"/>
  <c r="E51" i="3"/>
  <c r="E50" i="3"/>
  <c r="G10" i="2"/>
  <c r="F10" i="2"/>
  <c r="G96" i="18"/>
  <c r="H96" i="18"/>
  <c r="I96" i="18"/>
  <c r="J96" i="18"/>
  <c r="K96" i="18"/>
  <c r="L96" i="18"/>
  <c r="M96" i="18"/>
  <c r="F96" i="18"/>
  <c r="G91" i="18"/>
  <c r="H91" i="18"/>
  <c r="I91" i="18"/>
  <c r="J91" i="18"/>
  <c r="K91" i="18"/>
  <c r="L91" i="18"/>
  <c r="M91" i="18"/>
  <c r="F91" i="18"/>
  <c r="G33" i="18"/>
  <c r="H33" i="18"/>
  <c r="I33" i="18"/>
  <c r="J33" i="18"/>
  <c r="K33" i="18"/>
  <c r="L33" i="18"/>
  <c r="M33" i="18"/>
  <c r="F33" i="18"/>
  <c r="G32" i="18"/>
  <c r="H32" i="18"/>
  <c r="I32" i="18"/>
  <c r="J32" i="18"/>
  <c r="K32" i="18"/>
  <c r="L32" i="18"/>
  <c r="M32" i="18"/>
  <c r="F32" i="18"/>
  <c r="E83" i="18"/>
  <c r="J207" i="5"/>
  <c r="K207" i="5"/>
  <c r="L207" i="5"/>
  <c r="M207" i="5"/>
  <c r="I207" i="5"/>
  <c r="J206" i="5"/>
  <c r="K206" i="5"/>
  <c r="L206" i="5"/>
  <c r="M206" i="5"/>
  <c r="I206" i="5"/>
  <c r="J205" i="5"/>
  <c r="K205" i="5"/>
  <c r="L205" i="5"/>
  <c r="M205" i="5"/>
  <c r="I205" i="5"/>
  <c r="H197" i="5"/>
  <c r="H198" i="5" s="1"/>
  <c r="H188" i="5" s="1"/>
  <c r="H189" i="5" s="1"/>
  <c r="H109" i="5" s="1"/>
  <c r="H196" i="5"/>
  <c r="I208" i="5"/>
  <c r="I188" i="5"/>
  <c r="I189" i="5"/>
  <c r="I109" i="5" s="1"/>
  <c r="K208" i="5"/>
  <c r="K188" i="5"/>
  <c r="K189" i="5"/>
  <c r="K109" i="5" s="1"/>
  <c r="L208" i="5"/>
  <c r="L188" i="5"/>
  <c r="L189" i="5"/>
  <c r="L109" i="5" s="1"/>
  <c r="J208" i="5"/>
  <c r="J188" i="5"/>
  <c r="J189" i="5"/>
  <c r="J109" i="5" s="1"/>
  <c r="M208" i="5"/>
  <c r="M188" i="5"/>
  <c r="M189" i="5"/>
  <c r="M109" i="5" s="1"/>
  <c r="G11" i="5"/>
  <c r="F11" i="5"/>
  <c r="G10" i="5"/>
  <c r="F10" i="5"/>
  <c r="G9" i="5"/>
  <c r="F9" i="5"/>
  <c r="G8" i="5"/>
  <c r="G8" i="4"/>
  <c r="F8" i="4"/>
  <c r="E22" i="18"/>
  <c r="E10" i="18"/>
  <c r="E11" i="18"/>
  <c r="F75" i="3"/>
  <c r="G73" i="3"/>
  <c r="G75" i="3"/>
  <c r="F8" i="3"/>
  <c r="G13" i="5"/>
  <c r="F46" i="5"/>
  <c r="F44" i="5"/>
  <c r="F43" i="5"/>
  <c r="F42" i="5"/>
  <c r="F41" i="5"/>
  <c r="F49" i="5" s="1"/>
  <c r="F51" i="5" s="1"/>
  <c r="F20" i="5" s="1"/>
  <c r="F31" i="5" s="1"/>
  <c r="F45" i="5"/>
  <c r="G131" i="18"/>
  <c r="G14" i="18" s="1"/>
  <c r="H131" i="18"/>
  <c r="I131" i="18"/>
  <c r="J131" i="18"/>
  <c r="K131" i="18"/>
  <c r="L131" i="18"/>
  <c r="M131" i="18"/>
  <c r="F131" i="18"/>
  <c r="F14" i="18"/>
  <c r="G73" i="18"/>
  <c r="H73" i="18"/>
  <c r="I73" i="18"/>
  <c r="I14" i="18"/>
  <c r="J73" i="18"/>
  <c r="J14" i="18"/>
  <c r="K73" i="18"/>
  <c r="K14" i="18"/>
  <c r="L73" i="18"/>
  <c r="L14" i="18"/>
  <c r="M73" i="18"/>
  <c r="M14" i="18"/>
  <c r="G72" i="18"/>
  <c r="H72" i="18"/>
  <c r="I72" i="18"/>
  <c r="J72" i="18"/>
  <c r="K72" i="18"/>
  <c r="L72" i="18"/>
  <c r="M72" i="18"/>
  <c r="F72" i="18"/>
  <c r="F13" i="18" s="1"/>
  <c r="G130" i="18"/>
  <c r="H130" i="18"/>
  <c r="I130" i="18"/>
  <c r="J130" i="18"/>
  <c r="K130" i="18"/>
  <c r="L130" i="18"/>
  <c r="M130" i="18"/>
  <c r="F130" i="18"/>
  <c r="G107" i="18"/>
  <c r="H107" i="18"/>
  <c r="I107" i="18"/>
  <c r="J107" i="18"/>
  <c r="K107" i="18"/>
  <c r="L107" i="18"/>
  <c r="M107" i="18"/>
  <c r="F107" i="18"/>
  <c r="G108" i="18"/>
  <c r="H108" i="18"/>
  <c r="I108" i="18"/>
  <c r="J108" i="18"/>
  <c r="K108" i="18"/>
  <c r="L108" i="18"/>
  <c r="M108" i="18"/>
  <c r="F108" i="18"/>
  <c r="G122" i="18"/>
  <c r="H122" i="18"/>
  <c r="I122" i="18"/>
  <c r="J122" i="18"/>
  <c r="K122" i="18"/>
  <c r="L122" i="18"/>
  <c r="M122" i="18"/>
  <c r="F122" i="18"/>
  <c r="G111" i="18"/>
  <c r="H111" i="18"/>
  <c r="I111" i="18"/>
  <c r="J111" i="18"/>
  <c r="K111" i="18"/>
  <c r="L111" i="18"/>
  <c r="M111" i="18"/>
  <c r="G95" i="18"/>
  <c r="H95" i="18"/>
  <c r="I95" i="18"/>
  <c r="J95" i="18"/>
  <c r="K95" i="18"/>
  <c r="L95" i="18"/>
  <c r="M95" i="18"/>
  <c r="F95" i="18"/>
  <c r="G80" i="18"/>
  <c r="H80" i="18"/>
  <c r="I80" i="18"/>
  <c r="J80" i="18"/>
  <c r="K80" i="18"/>
  <c r="L80" i="18"/>
  <c r="M80" i="18"/>
  <c r="F80" i="18"/>
  <c r="G53" i="18"/>
  <c r="H53" i="18"/>
  <c r="I53" i="18"/>
  <c r="J53" i="18"/>
  <c r="K53" i="18"/>
  <c r="L53" i="18"/>
  <c r="M53" i="18"/>
  <c r="G37" i="18"/>
  <c r="H37" i="18"/>
  <c r="I37" i="18"/>
  <c r="J37" i="18"/>
  <c r="K37" i="18"/>
  <c r="L37" i="18"/>
  <c r="M37" i="18"/>
  <c r="G22" i="18"/>
  <c r="H22" i="18"/>
  <c r="I22" i="18"/>
  <c r="J22" i="18"/>
  <c r="K22" i="18"/>
  <c r="L22" i="18"/>
  <c r="M22" i="18"/>
  <c r="F22" i="18"/>
  <c r="F25" i="5"/>
  <c r="G25" i="5"/>
  <c r="H14" i="18"/>
  <c r="M13" i="18"/>
  <c r="K13" i="18"/>
  <c r="I13" i="18"/>
  <c r="G13" i="18"/>
  <c r="L13" i="18"/>
  <c r="J13" i="18"/>
  <c r="H13" i="18"/>
  <c r="E12" i="7"/>
  <c r="G23" i="6"/>
  <c r="H23" i="6"/>
  <c r="I23" i="6"/>
  <c r="J23" i="6"/>
  <c r="K23" i="6"/>
  <c r="L23" i="6"/>
  <c r="M23" i="6"/>
  <c r="F23" i="6"/>
  <c r="G34" i="6"/>
  <c r="H34" i="6"/>
  <c r="H37" i="6" s="1"/>
  <c r="I34" i="6"/>
  <c r="J34" i="6"/>
  <c r="K34" i="6"/>
  <c r="L34" i="6"/>
  <c r="M34" i="6"/>
  <c r="F34" i="6"/>
  <c r="F37" i="6"/>
  <c r="L37" i="6"/>
  <c r="M37" i="6"/>
  <c r="K37" i="6"/>
  <c r="I37" i="6"/>
  <c r="G37" i="6"/>
  <c r="G85" i="17"/>
  <c r="G112" i="5"/>
  <c r="H85" i="17"/>
  <c r="H112" i="5"/>
  <c r="I85" i="17"/>
  <c r="I112" i="5"/>
  <c r="J85" i="17"/>
  <c r="J112" i="5"/>
  <c r="K85" i="17"/>
  <c r="K112" i="5"/>
  <c r="L85" i="17"/>
  <c r="L112" i="5"/>
  <c r="M85" i="17"/>
  <c r="M112" i="5"/>
  <c r="F22" i="6"/>
  <c r="G66" i="16"/>
  <c r="F48" i="6"/>
  <c r="H66" i="16"/>
  <c r="H22" i="6"/>
  <c r="G22" i="6"/>
  <c r="F111" i="5"/>
  <c r="G111" i="5"/>
  <c r="I66" i="16"/>
  <c r="G15" i="7"/>
  <c r="J66" i="16"/>
  <c r="I22" i="6"/>
  <c r="I61" i="16"/>
  <c r="G110" i="18"/>
  <c r="G112" i="18"/>
  <c r="H110" i="18"/>
  <c r="H112" i="18" s="1"/>
  <c r="I110" i="18"/>
  <c r="I112" i="18"/>
  <c r="J110" i="18"/>
  <c r="J112" i="18" s="1"/>
  <c r="K110" i="18"/>
  <c r="K112" i="18"/>
  <c r="L110" i="18"/>
  <c r="L112" i="18"/>
  <c r="M110" i="18"/>
  <c r="M112" i="18"/>
  <c r="F110" i="18"/>
  <c r="F112" i="18" s="1"/>
  <c r="F111" i="18"/>
  <c r="F90" i="18"/>
  <c r="G90" i="18"/>
  <c r="H90" i="18"/>
  <c r="I90" i="18"/>
  <c r="J90" i="18"/>
  <c r="K90" i="18"/>
  <c r="L90" i="18"/>
  <c r="M90" i="18"/>
  <c r="H23" i="5"/>
  <c r="J61" i="16"/>
  <c r="I111" i="5"/>
  <c r="K66" i="16"/>
  <c r="J22" i="6"/>
  <c r="H47" i="17"/>
  <c r="H37" i="3" s="1"/>
  <c r="I47" i="17"/>
  <c r="I37" i="3" s="1"/>
  <c r="J47" i="17"/>
  <c r="J29" i="5" s="1"/>
  <c r="K47" i="17"/>
  <c r="K37" i="3" s="1"/>
  <c r="L47" i="17"/>
  <c r="L37" i="3" s="1"/>
  <c r="M47" i="17"/>
  <c r="M114" i="5" s="1"/>
  <c r="E47" i="17"/>
  <c r="E37" i="3"/>
  <c r="M37" i="3"/>
  <c r="J114" i="5"/>
  <c r="J37" i="3"/>
  <c r="G37" i="3"/>
  <c r="G29" i="5"/>
  <c r="L66" i="16"/>
  <c r="K22" i="6"/>
  <c r="K61" i="16"/>
  <c r="J111" i="5"/>
  <c r="L29" i="5"/>
  <c r="L114" i="5"/>
  <c r="K29" i="5"/>
  <c r="K114" i="5"/>
  <c r="I29" i="5"/>
  <c r="I114" i="5"/>
  <c r="H29" i="5"/>
  <c r="H114" i="5"/>
  <c r="G36" i="4"/>
  <c r="H36" i="4"/>
  <c r="I36" i="4"/>
  <c r="J36" i="4"/>
  <c r="K36" i="4"/>
  <c r="L36" i="4"/>
  <c r="M36" i="4"/>
  <c r="F36" i="4"/>
  <c r="G176" i="5"/>
  <c r="G180" i="5" s="1"/>
  <c r="G157" i="5" s="1"/>
  <c r="H176" i="5"/>
  <c r="I176" i="5"/>
  <c r="J176" i="5"/>
  <c r="K176" i="5"/>
  <c r="K180" i="5" s="1"/>
  <c r="K157" i="5" s="1"/>
  <c r="L176" i="5"/>
  <c r="M176" i="5"/>
  <c r="G177" i="5"/>
  <c r="H177" i="5"/>
  <c r="I177" i="5"/>
  <c r="J177" i="5"/>
  <c r="K177" i="5"/>
  <c r="L177" i="5"/>
  <c r="M177" i="5"/>
  <c r="G178" i="5"/>
  <c r="H178" i="5"/>
  <c r="I178" i="5"/>
  <c r="I180" i="5" s="1"/>
  <c r="I157" i="5" s="1"/>
  <c r="J178" i="5"/>
  <c r="K178" i="5"/>
  <c r="L178" i="5"/>
  <c r="M178" i="5"/>
  <c r="G179" i="5"/>
  <c r="H179" i="5"/>
  <c r="I179" i="5"/>
  <c r="J179" i="5"/>
  <c r="J180" i="5" s="1"/>
  <c r="J157" i="5" s="1"/>
  <c r="K179" i="5"/>
  <c r="L179" i="5"/>
  <c r="M179" i="5"/>
  <c r="F179" i="5"/>
  <c r="F180" i="5" s="1"/>
  <c r="F157" i="5" s="1"/>
  <c r="F178" i="5"/>
  <c r="F177" i="5"/>
  <c r="F176" i="5"/>
  <c r="G166" i="5"/>
  <c r="G170" i="5" s="1"/>
  <c r="G156" i="5" s="1"/>
  <c r="H166" i="5"/>
  <c r="I166" i="5"/>
  <c r="J166" i="5"/>
  <c r="K166" i="5"/>
  <c r="K170" i="5" s="1"/>
  <c r="K156" i="5" s="1"/>
  <c r="L166" i="5"/>
  <c r="M166" i="5"/>
  <c r="G167" i="5"/>
  <c r="H167" i="5"/>
  <c r="H170" i="5" s="1"/>
  <c r="H156" i="5" s="1"/>
  <c r="I167" i="5"/>
  <c r="J167" i="5"/>
  <c r="K167" i="5"/>
  <c r="L167" i="5"/>
  <c r="M167" i="5"/>
  <c r="G168" i="5"/>
  <c r="H168" i="5"/>
  <c r="I168" i="5"/>
  <c r="I170" i="5" s="1"/>
  <c r="I156" i="5" s="1"/>
  <c r="J168" i="5"/>
  <c r="K168" i="5"/>
  <c r="L168" i="5"/>
  <c r="M168" i="5"/>
  <c r="G169" i="5"/>
  <c r="H169" i="5"/>
  <c r="I169" i="5"/>
  <c r="J169" i="5"/>
  <c r="J170" i="5" s="1"/>
  <c r="J156" i="5" s="1"/>
  <c r="K169" i="5"/>
  <c r="L169" i="5"/>
  <c r="M169" i="5"/>
  <c r="F169" i="5"/>
  <c r="F168" i="5"/>
  <c r="F170" i="5" s="1"/>
  <c r="F156" i="5" s="1"/>
  <c r="F167" i="5"/>
  <c r="F166" i="5"/>
  <c r="L158" i="5"/>
  <c r="M158" i="5"/>
  <c r="G158" i="5"/>
  <c r="H158" i="5"/>
  <c r="I158" i="5"/>
  <c r="J158" i="5"/>
  <c r="K158" i="5"/>
  <c r="M170" i="5"/>
  <c r="M156" i="5"/>
  <c r="M180" i="5"/>
  <c r="M157" i="5"/>
  <c r="L170" i="5"/>
  <c r="L156" i="5"/>
  <c r="L180" i="5"/>
  <c r="L157" i="5"/>
  <c r="H180" i="5"/>
  <c r="H157" i="5" s="1"/>
  <c r="M66" i="16"/>
  <c r="L22" i="6"/>
  <c r="L61" i="16"/>
  <c r="K111" i="5"/>
  <c r="G110" i="5"/>
  <c r="H110" i="5"/>
  <c r="I110" i="5"/>
  <c r="J110" i="5"/>
  <c r="K110" i="5"/>
  <c r="L110" i="5"/>
  <c r="M110" i="5"/>
  <c r="M61" i="16"/>
  <c r="M111" i="5"/>
  <c r="L111" i="5"/>
  <c r="M22" i="6"/>
  <c r="G145" i="5"/>
  <c r="H145" i="5"/>
  <c r="I145" i="5"/>
  <c r="J145" i="5"/>
  <c r="K145" i="5"/>
  <c r="L145" i="5"/>
  <c r="M145" i="5"/>
  <c r="G140" i="5"/>
  <c r="H140" i="5"/>
  <c r="I140" i="5"/>
  <c r="J140" i="5"/>
  <c r="K140" i="5"/>
  <c r="L140" i="5"/>
  <c r="M140" i="5"/>
  <c r="G141" i="5"/>
  <c r="H141" i="5"/>
  <c r="I141" i="5"/>
  <c r="K146" i="5"/>
  <c r="K12" i="5" s="1"/>
  <c r="J141" i="5"/>
  <c r="L146" i="5"/>
  <c r="L12" i="5" s="1"/>
  <c r="K141" i="5"/>
  <c r="M146" i="5"/>
  <c r="M12" i="5" s="1"/>
  <c r="L141" i="5"/>
  <c r="M141" i="5"/>
  <c r="F145" i="5"/>
  <c r="F141" i="5"/>
  <c r="F140" i="5"/>
  <c r="M123" i="18"/>
  <c r="L123" i="18"/>
  <c r="K123" i="18"/>
  <c r="I123" i="18"/>
  <c r="G123" i="18"/>
  <c r="M89" i="18"/>
  <c r="L89" i="18"/>
  <c r="K89" i="18"/>
  <c r="J89" i="18"/>
  <c r="I89" i="18"/>
  <c r="H89" i="18"/>
  <c r="G89" i="18"/>
  <c r="F89" i="18"/>
  <c r="M10" i="7"/>
  <c r="L10" i="7"/>
  <c r="K10" i="7"/>
  <c r="J10" i="7"/>
  <c r="I10" i="7"/>
  <c r="H10" i="7"/>
  <c r="F10" i="7"/>
  <c r="E13" i="7"/>
  <c r="F17" i="7"/>
  <c r="E15" i="7"/>
  <c r="F18" i="7" s="1"/>
  <c r="F15" i="2" s="1"/>
  <c r="F53" i="18"/>
  <c r="F52" i="18"/>
  <c r="F54" i="18" s="1"/>
  <c r="G52" i="18"/>
  <c r="G54" i="18" s="1"/>
  <c r="H52" i="18"/>
  <c r="H54" i="18"/>
  <c r="H65" i="18" s="1"/>
  <c r="I52" i="18"/>
  <c r="I54" i="18"/>
  <c r="J52" i="18"/>
  <c r="J54" i="18" s="1"/>
  <c r="K52" i="18"/>
  <c r="K54" i="18"/>
  <c r="K65" i="18" s="1"/>
  <c r="L52" i="18"/>
  <c r="L54" i="18"/>
  <c r="L65" i="18"/>
  <c r="M52" i="18"/>
  <c r="M54" i="18"/>
  <c r="F64" i="18"/>
  <c r="G64" i="18"/>
  <c r="I64" i="18"/>
  <c r="J64" i="18"/>
  <c r="K64" i="18"/>
  <c r="L64" i="18"/>
  <c r="M64" i="18"/>
  <c r="D6" i="10"/>
  <c r="F50" i="18"/>
  <c r="G50" i="18"/>
  <c r="H50" i="18"/>
  <c r="I50" i="18"/>
  <c r="J50" i="18"/>
  <c r="K50" i="18"/>
  <c r="L50" i="18"/>
  <c r="M50" i="18"/>
  <c r="E14" i="7"/>
  <c r="M65" i="18"/>
  <c r="I65" i="18"/>
  <c r="F38" i="18"/>
  <c r="G38" i="18"/>
  <c r="H38" i="18"/>
  <c r="I38" i="18"/>
  <c r="J38" i="18"/>
  <c r="K38" i="18"/>
  <c r="L38" i="18"/>
  <c r="M38" i="18"/>
  <c r="M49" i="18"/>
  <c r="L49" i="18"/>
  <c r="K49" i="18"/>
  <c r="J49" i="18"/>
  <c r="I49" i="18"/>
  <c r="H49" i="18"/>
  <c r="G49" i="18"/>
  <c r="F49" i="18"/>
  <c r="F31" i="18"/>
  <c r="G31" i="18"/>
  <c r="H31" i="18"/>
  <c r="I31" i="18"/>
  <c r="J31" i="18"/>
  <c r="K31" i="18"/>
  <c r="L31" i="18"/>
  <c r="M31" i="18"/>
  <c r="G14" i="6"/>
  <c r="H14" i="6"/>
  <c r="I14" i="6"/>
  <c r="J14" i="6"/>
  <c r="K14" i="6"/>
  <c r="L14" i="6"/>
  <c r="M14" i="6"/>
  <c r="F14" i="6"/>
  <c r="G24" i="6"/>
  <c r="H24" i="6"/>
  <c r="I24" i="6"/>
  <c r="I27" i="6" s="1"/>
  <c r="I13" i="6" s="1"/>
  <c r="I15" i="6" s="1"/>
  <c r="J24" i="6"/>
  <c r="K24" i="6"/>
  <c r="L24" i="6"/>
  <c r="M24" i="6"/>
  <c r="F24" i="6"/>
  <c r="G25" i="6"/>
  <c r="H25" i="6"/>
  <c r="H27" i="6"/>
  <c r="H13" i="6" s="1"/>
  <c r="H15" i="6" s="1"/>
  <c r="I25" i="6"/>
  <c r="J25" i="6"/>
  <c r="K25" i="6"/>
  <c r="L25" i="6"/>
  <c r="M25" i="6"/>
  <c r="F49" i="6"/>
  <c r="F25" i="6"/>
  <c r="F27" i="6"/>
  <c r="F46" i="6" s="1"/>
  <c r="M27" i="6"/>
  <c r="K27" i="6"/>
  <c r="L27" i="6"/>
  <c r="J27" i="6"/>
  <c r="G27" i="6"/>
  <c r="F130" i="5"/>
  <c r="G130" i="5"/>
  <c r="H130" i="5"/>
  <c r="I130" i="5"/>
  <c r="J130" i="5"/>
  <c r="K130" i="5"/>
  <c r="L130" i="5"/>
  <c r="M130" i="5"/>
  <c r="G131" i="5"/>
  <c r="H131" i="5"/>
  <c r="J132" i="5" s="1"/>
  <c r="J11" i="5" s="1"/>
  <c r="I131" i="5"/>
  <c r="J131" i="5"/>
  <c r="K131" i="5"/>
  <c r="M132" i="5" s="1"/>
  <c r="M11" i="5" s="1"/>
  <c r="L131" i="5"/>
  <c r="M131" i="5"/>
  <c r="F131" i="5"/>
  <c r="H132" i="5" s="1"/>
  <c r="H11" i="5" s="1"/>
  <c r="F21" i="5"/>
  <c r="G21" i="5"/>
  <c r="F22" i="5"/>
  <c r="G22" i="5"/>
  <c r="F23" i="5"/>
  <c r="G23" i="5"/>
  <c r="G123" i="5"/>
  <c r="H123" i="5"/>
  <c r="H124" i="5" s="1"/>
  <c r="H113" i="5" s="1"/>
  <c r="H24" i="5" s="1"/>
  <c r="I123" i="5"/>
  <c r="J123" i="5"/>
  <c r="K123" i="5"/>
  <c r="L123" i="5"/>
  <c r="L124" i="5" s="1"/>
  <c r="L113" i="5" s="1"/>
  <c r="L24" i="5" s="1"/>
  <c r="M123" i="5"/>
  <c r="G122" i="5"/>
  <c r="H122" i="5"/>
  <c r="I122" i="5"/>
  <c r="J122" i="5"/>
  <c r="J124" i="5"/>
  <c r="J113" i="5" s="1"/>
  <c r="J24" i="5" s="1"/>
  <c r="K122" i="5"/>
  <c r="K124" i="5"/>
  <c r="K113" i="5" s="1"/>
  <c r="K24" i="5" s="1"/>
  <c r="L122" i="5"/>
  <c r="M122" i="5"/>
  <c r="M124" i="5"/>
  <c r="M113" i="5" s="1"/>
  <c r="M24" i="5" s="1"/>
  <c r="G59" i="5"/>
  <c r="I59" i="5"/>
  <c r="J59" i="5"/>
  <c r="K59" i="5"/>
  <c r="L59" i="5"/>
  <c r="M59" i="5"/>
  <c r="H59" i="5"/>
  <c r="I23" i="5"/>
  <c r="J23" i="5"/>
  <c r="K23" i="5"/>
  <c r="L23" i="5"/>
  <c r="M23" i="5"/>
  <c r="I22" i="5"/>
  <c r="J22" i="5"/>
  <c r="K22" i="5"/>
  <c r="L22" i="5"/>
  <c r="M22" i="5"/>
  <c r="I25" i="5"/>
  <c r="J25" i="5"/>
  <c r="K25" i="5"/>
  <c r="L25" i="5"/>
  <c r="M25" i="5"/>
  <c r="H25" i="5"/>
  <c r="H22" i="5"/>
  <c r="I21" i="5"/>
  <c r="J21" i="5"/>
  <c r="K21" i="5"/>
  <c r="L21" i="5"/>
  <c r="M21" i="5"/>
  <c r="H21" i="5"/>
  <c r="I124" i="5"/>
  <c r="I113" i="5" s="1"/>
  <c r="I24" i="5" s="1"/>
  <c r="G124" i="5"/>
  <c r="G113" i="5" s="1"/>
  <c r="G24" i="5" s="1"/>
  <c r="E10" i="17"/>
  <c r="H15" i="7"/>
  <c r="I15" i="7"/>
  <c r="J15" i="7"/>
  <c r="K15" i="7"/>
  <c r="L15" i="7"/>
  <c r="M15" i="7"/>
  <c r="F15" i="7"/>
  <c r="E54" i="3"/>
  <c r="E56" i="3"/>
  <c r="E23" i="18"/>
  <c r="E25" i="18"/>
  <c r="E9" i="18"/>
  <c r="E12" i="18"/>
  <c r="B2" i="13"/>
  <c r="E36" i="3"/>
  <c r="E78" i="3"/>
  <c r="G10" i="17"/>
  <c r="G19" i="3" s="1"/>
  <c r="A3" i="18"/>
  <c r="A2" i="18"/>
  <c r="G28" i="5"/>
  <c r="H10" i="17"/>
  <c r="H19" i="3"/>
  <c r="J28" i="3" s="1"/>
  <c r="H28" i="5"/>
  <c r="I10" i="17"/>
  <c r="A3" i="11"/>
  <c r="A3" i="6"/>
  <c r="A3" i="7"/>
  <c r="A3" i="2"/>
  <c r="A3" i="5"/>
  <c r="A3" i="4"/>
  <c r="A3" i="3"/>
  <c r="I19" i="3"/>
  <c r="I28" i="5"/>
  <c r="J10" i="17"/>
  <c r="J37" i="4" s="1"/>
  <c r="J17" i="4"/>
  <c r="M38" i="4"/>
  <c r="L38" i="4"/>
  <c r="K38" i="4"/>
  <c r="J38" i="4"/>
  <c r="I38" i="4"/>
  <c r="H38" i="4"/>
  <c r="G38" i="4"/>
  <c r="I37" i="4"/>
  <c r="H37" i="4"/>
  <c r="G37" i="4"/>
  <c r="M19" i="4"/>
  <c r="L19" i="4"/>
  <c r="K19" i="4"/>
  <c r="J19" i="4"/>
  <c r="I19" i="4"/>
  <c r="H19" i="4"/>
  <c r="G19" i="4"/>
  <c r="I17" i="4"/>
  <c r="H17" i="4"/>
  <c r="G17" i="4"/>
  <c r="D10" i="17"/>
  <c r="G16" i="4"/>
  <c r="H16" i="4"/>
  <c r="I16" i="4"/>
  <c r="J16" i="4"/>
  <c r="K16" i="4"/>
  <c r="L16" i="4"/>
  <c r="M16" i="4"/>
  <c r="G18" i="4"/>
  <c r="H18" i="4"/>
  <c r="I18" i="4"/>
  <c r="J18" i="4"/>
  <c r="K18" i="4"/>
  <c r="L18" i="4"/>
  <c r="M18" i="4"/>
  <c r="F18" i="4"/>
  <c r="F16" i="4"/>
  <c r="G9" i="3"/>
  <c r="I9" i="3"/>
  <c r="J9" i="3"/>
  <c r="K9" i="3"/>
  <c r="L9" i="3"/>
  <c r="M9" i="3"/>
  <c r="G8" i="3"/>
  <c r="J8" i="3"/>
  <c r="K8" i="3"/>
  <c r="L8" i="3"/>
  <c r="M8" i="3"/>
  <c r="D19" i="3"/>
  <c r="F28" i="3"/>
  <c r="F77" i="3"/>
  <c r="E19" i="3"/>
  <c r="J19" i="3"/>
  <c r="L28" i="3" s="1"/>
  <c r="L115" i="5" s="1"/>
  <c r="K10" i="17"/>
  <c r="K28" i="5" s="1"/>
  <c r="A2" i="11"/>
  <c r="A2" i="7"/>
  <c r="A2" i="6"/>
  <c r="A2" i="5"/>
  <c r="A2" i="4"/>
  <c r="A2" i="3"/>
  <c r="A2" i="2"/>
  <c r="A2" i="17"/>
  <c r="B3" i="13"/>
  <c r="A3" i="17"/>
  <c r="A3" i="16"/>
  <c r="A2" i="16"/>
  <c r="A3" i="15"/>
  <c r="A2" i="15"/>
  <c r="A3" i="14"/>
  <c r="A2" i="14"/>
  <c r="F11" i="3"/>
  <c r="F39" i="4"/>
  <c r="F9" i="4"/>
  <c r="F56" i="18"/>
  <c r="F66" i="18"/>
  <c r="F92" i="18"/>
  <c r="F93" i="18"/>
  <c r="F100" i="18" s="1"/>
  <c r="F81" i="18"/>
  <c r="F83" i="18" s="1"/>
  <c r="F9" i="18" s="1"/>
  <c r="F34" i="18"/>
  <c r="F35" i="18" s="1"/>
  <c r="F159" i="5"/>
  <c r="F14" i="2"/>
  <c r="F115" i="5"/>
  <c r="F97" i="18"/>
  <c r="F98" i="18" s="1"/>
  <c r="F114" i="18"/>
  <c r="F39" i="18"/>
  <c r="F23" i="18"/>
  <c r="F25" i="18"/>
  <c r="F124" i="18"/>
  <c r="F20" i="4"/>
  <c r="F30" i="5"/>
  <c r="K19" i="3"/>
  <c r="M10" i="17"/>
  <c r="M37" i="4" s="1"/>
  <c r="L10" i="17"/>
  <c r="L37" i="4" s="1"/>
  <c r="L28" i="5"/>
  <c r="F66" i="5"/>
  <c r="G14" i="2"/>
  <c r="G9" i="4"/>
  <c r="G71" i="3"/>
  <c r="M28" i="5"/>
  <c r="M19" i="3"/>
  <c r="L19" i="3"/>
  <c r="F68" i="3"/>
  <c r="G53" i="11"/>
  <c r="I19" i="10" s="1"/>
  <c r="G29" i="11"/>
  <c r="I17" i="10" s="1"/>
  <c r="A2" i="10"/>
  <c r="K35" i="10"/>
  <c r="K12" i="10"/>
  <c r="F13" i="6"/>
  <c r="F15" i="6" s="1"/>
  <c r="G11" i="2"/>
  <c r="G13" i="6"/>
  <c r="G15" i="6" s="1"/>
  <c r="G15" i="2"/>
  <c r="J13" i="6"/>
  <c r="J15" i="6"/>
  <c r="J8" i="6" s="1"/>
  <c r="K13" i="6"/>
  <c r="K15" i="6"/>
  <c r="K8" i="6" s="1"/>
  <c r="L13" i="6"/>
  <c r="L15" i="6"/>
  <c r="L8" i="6"/>
  <c r="M13" i="6"/>
  <c r="M15" i="6"/>
  <c r="M8" i="6"/>
  <c r="L12" i="2"/>
  <c r="M12" i="2"/>
  <c r="H64" i="18"/>
  <c r="F37" i="18"/>
  <c r="F40" i="18"/>
  <c r="H146" i="5"/>
  <c r="H12" i="5" s="1"/>
  <c r="I132" i="5" l="1"/>
  <c r="I11" i="5" s="1"/>
  <c r="L132" i="5"/>
  <c r="L11" i="5" s="1"/>
  <c r="F38" i="4"/>
  <c r="F29" i="5"/>
  <c r="F158" i="5"/>
  <c r="F19" i="4"/>
  <c r="F37" i="3"/>
  <c r="G38" i="3" s="1"/>
  <c r="G10" i="3" s="1"/>
  <c r="G28" i="3"/>
  <c r="I28" i="3"/>
  <c r="F142" i="5"/>
  <c r="F42" i="18"/>
  <c r="F10" i="18" s="1"/>
  <c r="F9" i="2"/>
  <c r="F26" i="5"/>
  <c r="G30" i="5"/>
  <c r="G81" i="18"/>
  <c r="G83" i="18" s="1"/>
  <c r="G97" i="18"/>
  <c r="G98" i="18" s="1"/>
  <c r="G56" i="18"/>
  <c r="G92" i="18"/>
  <c r="G23" i="18"/>
  <c r="G25" i="18" s="1"/>
  <c r="G39" i="4"/>
  <c r="G124" i="18"/>
  <c r="G125" i="18" s="1"/>
  <c r="G77" i="3"/>
  <c r="G115" i="5"/>
  <c r="G114" i="18"/>
  <c r="G116" i="18" s="1"/>
  <c r="G34" i="18"/>
  <c r="G20" i="4"/>
  <c r="G39" i="18"/>
  <c r="G40" i="18" s="1"/>
  <c r="G159" i="5"/>
  <c r="G66" i="18"/>
  <c r="G11" i="3"/>
  <c r="I23" i="18"/>
  <c r="I25" i="18" s="1"/>
  <c r="I9" i="18" s="1"/>
  <c r="I56" i="18"/>
  <c r="I58" i="18" s="1"/>
  <c r="I34" i="18"/>
  <c r="I35" i="18" s="1"/>
  <c r="I39" i="4"/>
  <c r="I40" i="4" s="1"/>
  <c r="I9" i="4" s="1"/>
  <c r="I71" i="3" s="1"/>
  <c r="I81" i="18"/>
  <c r="I83" i="18" s="1"/>
  <c r="I30" i="5"/>
  <c r="I39" i="18"/>
  <c r="I40" i="18" s="1"/>
  <c r="I42" i="18" s="1"/>
  <c r="I20" i="4"/>
  <c r="I21" i="4" s="1"/>
  <c r="I8" i="4" s="1"/>
  <c r="I115" i="5"/>
  <c r="I116" i="5" s="1"/>
  <c r="I114" i="18"/>
  <c r="I116" i="18" s="1"/>
  <c r="I77" i="3"/>
  <c r="I124" i="18"/>
  <c r="I125" i="18" s="1"/>
  <c r="I66" i="18"/>
  <c r="I67" i="18" s="1"/>
  <c r="I159" i="5"/>
  <c r="I97" i="18"/>
  <c r="I98" i="18" s="1"/>
  <c r="I92" i="18"/>
  <c r="I93" i="18" s="1"/>
  <c r="I11" i="3"/>
  <c r="H97" i="18"/>
  <c r="H98" i="18" s="1"/>
  <c r="H81" i="18"/>
  <c r="H83" i="18" s="1"/>
  <c r="H39" i="4"/>
  <c r="H92" i="18"/>
  <c r="H93" i="18" s="1"/>
  <c r="H124" i="18"/>
  <c r="H114" i="18"/>
  <c r="H116" i="18" s="1"/>
  <c r="H20" i="4"/>
  <c r="H21" i="4" s="1"/>
  <c r="H8" i="4" s="1"/>
  <c r="H69" i="3" s="1"/>
  <c r="H56" i="18"/>
  <c r="H58" i="18" s="1"/>
  <c r="H30" i="5"/>
  <c r="H159" i="5"/>
  <c r="H115" i="5"/>
  <c r="H77" i="3"/>
  <c r="H23" i="18"/>
  <c r="H25" i="18" s="1"/>
  <c r="H66" i="18"/>
  <c r="H67" i="18" s="1"/>
  <c r="H11" i="3"/>
  <c r="H39" i="18"/>
  <c r="H40" i="18" s="1"/>
  <c r="H34" i="18"/>
  <c r="H35" i="18" s="1"/>
  <c r="J39" i="18"/>
  <c r="J40" i="18" s="1"/>
  <c r="J97" i="18"/>
  <c r="J98" i="18" s="1"/>
  <c r="J115" i="5"/>
  <c r="J30" i="5"/>
  <c r="J56" i="18"/>
  <c r="J58" i="18" s="1"/>
  <c r="J124" i="18"/>
  <c r="J23" i="18"/>
  <c r="J25" i="18" s="1"/>
  <c r="J66" i="18"/>
  <c r="J114" i="18"/>
  <c r="J116" i="18" s="1"/>
  <c r="J20" i="4"/>
  <c r="J92" i="18"/>
  <c r="J93" i="18" s="1"/>
  <c r="J77" i="3"/>
  <c r="J81" i="18"/>
  <c r="J83" i="18" s="1"/>
  <c r="J34" i="18"/>
  <c r="J35" i="18" s="1"/>
  <c r="J39" i="4"/>
  <c r="J159" i="5"/>
  <c r="J11" i="3"/>
  <c r="H160" i="5"/>
  <c r="H75" i="3" s="1"/>
  <c r="F37" i="4"/>
  <c r="J21" i="4"/>
  <c r="J8" i="4" s="1"/>
  <c r="J69" i="3" s="1"/>
  <c r="J116" i="5"/>
  <c r="J10" i="5" s="1"/>
  <c r="G35" i="18"/>
  <c r="G42" i="18" s="1"/>
  <c r="G10" i="18" s="1"/>
  <c r="G93" i="18"/>
  <c r="G100" i="18" s="1"/>
  <c r="K28" i="3"/>
  <c r="K66" i="18" s="1"/>
  <c r="K67" i="18" s="1"/>
  <c r="F28" i="5"/>
  <c r="J40" i="4"/>
  <c r="J9" i="4" s="1"/>
  <c r="J71" i="3" s="1"/>
  <c r="F17" i="4"/>
  <c r="I160" i="5"/>
  <c r="I75" i="3" s="1"/>
  <c r="K56" i="18"/>
  <c r="K58" i="18" s="1"/>
  <c r="K81" i="18"/>
  <c r="K83" i="18" s="1"/>
  <c r="K30" i="5"/>
  <c r="K114" i="18"/>
  <c r="K116" i="18" s="1"/>
  <c r="K39" i="4"/>
  <c r="K40" i="4" s="1"/>
  <c r="K9" i="4" s="1"/>
  <c r="K71" i="3" s="1"/>
  <c r="K77" i="3"/>
  <c r="K20" i="4"/>
  <c r="K21" i="4" s="1"/>
  <c r="K8" i="4" s="1"/>
  <c r="K69" i="3" s="1"/>
  <c r="K20" i="10"/>
  <c r="H8" i="6"/>
  <c r="H12" i="2"/>
  <c r="I8" i="6"/>
  <c r="I12" i="2"/>
  <c r="F65" i="18"/>
  <c r="F67" i="18" s="1"/>
  <c r="F58" i="18"/>
  <c r="F69" i="18" s="1"/>
  <c r="J123" i="18"/>
  <c r="H123" i="18"/>
  <c r="H125" i="18" s="1"/>
  <c r="F8" i="6"/>
  <c r="F12" i="2"/>
  <c r="F116" i="18"/>
  <c r="F123" i="18"/>
  <c r="F125" i="18" s="1"/>
  <c r="G12" i="2"/>
  <c r="G8" i="6"/>
  <c r="G58" i="18"/>
  <c r="G65" i="18"/>
  <c r="G67" i="18" s="1"/>
  <c r="J65" i="18"/>
  <c r="J160" i="5"/>
  <c r="K12" i="2"/>
  <c r="J12" i="2"/>
  <c r="K37" i="4"/>
  <c r="K37" i="10"/>
  <c r="F8" i="5"/>
  <c r="F13" i="5" s="1"/>
  <c r="F11" i="2" s="1"/>
  <c r="F74" i="3"/>
  <c r="L116" i="5"/>
  <c r="L10" i="5" s="1"/>
  <c r="K132" i="5"/>
  <c r="K11" i="5" s="1"/>
  <c r="H116" i="5"/>
  <c r="M29" i="5"/>
  <c r="L17" i="4"/>
  <c r="M28" i="3"/>
  <c r="M81" i="18" s="1"/>
  <c r="M83" i="18" s="1"/>
  <c r="L11" i="3"/>
  <c r="K17" i="4"/>
  <c r="L77" i="3"/>
  <c r="L30" i="5"/>
  <c r="L20" i="4"/>
  <c r="L21" i="4" s="1"/>
  <c r="L8" i="4" s="1"/>
  <c r="L159" i="5"/>
  <c r="L160" i="5" s="1"/>
  <c r="L34" i="18"/>
  <c r="L35" i="18" s="1"/>
  <c r="L124" i="18"/>
  <c r="L125" i="18" s="1"/>
  <c r="L81" i="18"/>
  <c r="L83" i="18" s="1"/>
  <c r="L39" i="18"/>
  <c r="L40" i="18" s="1"/>
  <c r="M17" i="4"/>
  <c r="L66" i="18"/>
  <c r="L67" i="18" s="1"/>
  <c r="L39" i="4"/>
  <c r="L40" i="4" s="1"/>
  <c r="L9" i="4" s="1"/>
  <c r="L71" i="3" s="1"/>
  <c r="L92" i="18"/>
  <c r="L93" i="18" s="1"/>
  <c r="L114" i="18"/>
  <c r="L116" i="18" s="1"/>
  <c r="L23" i="18"/>
  <c r="L25" i="18" s="1"/>
  <c r="L97" i="18"/>
  <c r="L98" i="18" s="1"/>
  <c r="L56" i="18"/>
  <c r="L58" i="18" s="1"/>
  <c r="J28" i="5"/>
  <c r="I73" i="3" l="1"/>
  <c r="I10" i="5"/>
  <c r="I69" i="3"/>
  <c r="I10" i="4"/>
  <c r="I10" i="2" s="1"/>
  <c r="G12" i="3"/>
  <c r="K34" i="18"/>
  <c r="K35" i="18" s="1"/>
  <c r="K159" i="5"/>
  <c r="K160" i="5" s="1"/>
  <c r="K75" i="3" s="1"/>
  <c r="J125" i="18"/>
  <c r="J127" i="18" s="1"/>
  <c r="I14" i="2"/>
  <c r="K115" i="5"/>
  <c r="K116" i="5" s="1"/>
  <c r="K23" i="18"/>
  <c r="K25" i="18" s="1"/>
  <c r="K9" i="18" s="1"/>
  <c r="K69" i="18"/>
  <c r="J73" i="3"/>
  <c r="K92" i="18"/>
  <c r="K93" i="18" s="1"/>
  <c r="K39" i="18"/>
  <c r="K40" i="18" s="1"/>
  <c r="K11" i="3"/>
  <c r="K97" i="18"/>
  <c r="K98" i="18" s="1"/>
  <c r="J9" i="18"/>
  <c r="J10" i="4"/>
  <c r="J10" i="2" s="1"/>
  <c r="H14" i="2"/>
  <c r="J100" i="18"/>
  <c r="H9" i="18"/>
  <c r="M34" i="18"/>
  <c r="M35" i="18" s="1"/>
  <c r="M39" i="4"/>
  <c r="M40" i="4" s="1"/>
  <c r="M9" i="4" s="1"/>
  <c r="M71" i="3" s="1"/>
  <c r="M92" i="18"/>
  <c r="M93" i="18" s="1"/>
  <c r="J67" i="18"/>
  <c r="J69" i="18" s="1"/>
  <c r="H100" i="18"/>
  <c r="G9" i="18"/>
  <c r="H69" i="18"/>
  <c r="M77" i="3"/>
  <c r="H42" i="18"/>
  <c r="I127" i="18"/>
  <c r="I69" i="18"/>
  <c r="I11" i="18" s="1"/>
  <c r="G127" i="18"/>
  <c r="M23" i="18"/>
  <c r="M25" i="18" s="1"/>
  <c r="J42" i="18"/>
  <c r="M124" i="18"/>
  <c r="M125" i="18" s="1"/>
  <c r="L69" i="18"/>
  <c r="L11" i="18" s="1"/>
  <c r="M11" i="3"/>
  <c r="K124" i="18"/>
  <c r="K125" i="18" s="1"/>
  <c r="H40" i="4"/>
  <c r="H9" i="4" s="1"/>
  <c r="H71" i="3" s="1"/>
  <c r="I100" i="18"/>
  <c r="I10" i="18" s="1"/>
  <c r="I12" i="18" s="1"/>
  <c r="K100" i="18"/>
  <c r="K10" i="4"/>
  <c r="K10" i="2" s="1"/>
  <c r="K127" i="18"/>
  <c r="K11" i="18" s="1"/>
  <c r="G69" i="18"/>
  <c r="H127" i="18"/>
  <c r="F127" i="18"/>
  <c r="F11" i="18" s="1"/>
  <c r="F12" i="18" s="1"/>
  <c r="J75" i="3"/>
  <c r="J14" i="2"/>
  <c r="M97" i="18"/>
  <c r="M98" i="18" s="1"/>
  <c r="M100" i="18" s="1"/>
  <c r="M39" i="18"/>
  <c r="M40" i="18" s="1"/>
  <c r="M42" i="18" s="1"/>
  <c r="M159" i="5"/>
  <c r="M160" i="5" s="1"/>
  <c r="M14" i="2" s="1"/>
  <c r="M114" i="18"/>
  <c r="M116" i="18" s="1"/>
  <c r="M56" i="18"/>
  <c r="M58" i="18" s="1"/>
  <c r="M30" i="5"/>
  <c r="L73" i="3"/>
  <c r="L9" i="18"/>
  <c r="H73" i="3"/>
  <c r="H10" i="5"/>
  <c r="L127" i="18"/>
  <c r="M9" i="18"/>
  <c r="M115" i="5"/>
  <c r="M116" i="5" s="1"/>
  <c r="M66" i="18"/>
  <c r="M67" i="18" s="1"/>
  <c r="M20" i="4"/>
  <c r="M21" i="4" s="1"/>
  <c r="M8" i="4" s="1"/>
  <c r="M69" i="3" s="1"/>
  <c r="L100" i="18"/>
  <c r="L10" i="4"/>
  <c r="L10" i="2" s="1"/>
  <c r="L69" i="3"/>
  <c r="M75" i="3"/>
  <c r="L14" i="2"/>
  <c r="L75" i="3"/>
  <c r="L42" i="18"/>
  <c r="J10" i="18" l="1"/>
  <c r="K42" i="18"/>
  <c r="K10" i="18" s="1"/>
  <c r="G9" i="2"/>
  <c r="G68" i="3"/>
  <c r="G66" i="5"/>
  <c r="G26" i="5"/>
  <c r="G142" i="5"/>
  <c r="I146" i="5" s="1"/>
  <c r="I12" i="5" s="1"/>
  <c r="J11" i="18"/>
  <c r="J12" i="18" s="1"/>
  <c r="J76" i="3" s="1"/>
  <c r="K14" i="2"/>
  <c r="K10" i="5"/>
  <c r="K73" i="3"/>
  <c r="H10" i="18"/>
  <c r="I16" i="18"/>
  <c r="I76" i="3"/>
  <c r="M127" i="18"/>
  <c r="H10" i="4"/>
  <c r="H10" i="2" s="1"/>
  <c r="K12" i="18"/>
  <c r="L10" i="18"/>
  <c r="L12" i="18" s="1"/>
  <c r="L76" i="3" s="1"/>
  <c r="H11" i="18"/>
  <c r="H12" i="18" s="1"/>
  <c r="H16" i="18" s="1"/>
  <c r="M69" i="18"/>
  <c r="M11" i="18" s="1"/>
  <c r="G11" i="18"/>
  <c r="G12" i="18" s="1"/>
  <c r="G16" i="18" s="1"/>
  <c r="F76" i="3"/>
  <c r="F78" i="3" s="1"/>
  <c r="F36" i="3" s="1"/>
  <c r="H38" i="3" s="1"/>
  <c r="H10" i="3" s="1"/>
  <c r="H12" i="3" s="1"/>
  <c r="F16" i="18"/>
  <c r="J16" i="18"/>
  <c r="M10" i="18"/>
  <c r="M10" i="4"/>
  <c r="M10" i="2" s="1"/>
  <c r="K76" i="3"/>
  <c r="K16" i="18"/>
  <c r="M73" i="3"/>
  <c r="M10" i="5"/>
  <c r="L16" i="18"/>
  <c r="G76" i="3" l="1"/>
  <c r="G78" i="3" s="1"/>
  <c r="G36" i="3" s="1"/>
  <c r="I38" i="3" s="1"/>
  <c r="I10" i="3" s="1"/>
  <c r="I12" i="3" s="1"/>
  <c r="I26" i="5" s="1"/>
  <c r="H76" i="3"/>
  <c r="M12" i="18"/>
  <c r="M16" i="18" s="1"/>
  <c r="I67" i="5"/>
  <c r="I143" i="5"/>
  <c r="I13" i="2"/>
  <c r="I27" i="5"/>
  <c r="G27" i="5"/>
  <c r="I31" i="5" s="1"/>
  <c r="G143" i="5"/>
  <c r="G13" i="2"/>
  <c r="G17" i="2" s="1"/>
  <c r="G11" i="7" s="1"/>
  <c r="G67" i="5"/>
  <c r="H27" i="5"/>
  <c r="H67" i="5"/>
  <c r="H143" i="5"/>
  <c r="H13" i="2"/>
  <c r="F27" i="5"/>
  <c r="H31" i="5" s="1"/>
  <c r="F67" i="5"/>
  <c r="F13" i="2"/>
  <c r="F17" i="2" s="1"/>
  <c r="F11" i="7" s="1"/>
  <c r="F143" i="5"/>
  <c r="J143" i="5"/>
  <c r="J13" i="2"/>
  <c r="J27" i="5"/>
  <c r="J67" i="5"/>
  <c r="H66" i="5"/>
  <c r="H68" i="3"/>
  <c r="H142" i="5"/>
  <c r="J146" i="5" s="1"/>
  <c r="J12" i="5" s="1"/>
  <c r="H9" i="2"/>
  <c r="H26" i="5"/>
  <c r="J31" i="5" s="1"/>
  <c r="M76" i="3"/>
  <c r="K13" i="2"/>
  <c r="K143" i="5"/>
  <c r="K27" i="5"/>
  <c r="K67" i="5"/>
  <c r="M13" i="2"/>
  <c r="M27" i="5"/>
  <c r="M143" i="5"/>
  <c r="M67" i="5"/>
  <c r="L27" i="5"/>
  <c r="L13" i="2"/>
  <c r="L67" i="5"/>
  <c r="L143" i="5"/>
  <c r="I9" i="2" l="1"/>
  <c r="I142" i="5"/>
  <c r="I68" i="3"/>
  <c r="I66" i="5"/>
  <c r="I68" i="5" s="1"/>
  <c r="I57" i="5" s="1"/>
  <c r="K31" i="5"/>
  <c r="K8" i="5" s="1"/>
  <c r="F78" i="5"/>
  <c r="F58" i="5" s="1"/>
  <c r="F68" i="5"/>
  <c r="F57" i="5" s="1"/>
  <c r="H16" i="7"/>
  <c r="F14" i="7"/>
  <c r="J8" i="5"/>
  <c r="J74" i="3"/>
  <c r="H78" i="5"/>
  <c r="H58" i="5" s="1"/>
  <c r="H68" i="5"/>
  <c r="H57" i="5" s="1"/>
  <c r="H74" i="3"/>
  <c r="H78" i="3" s="1"/>
  <c r="H36" i="3" s="1"/>
  <c r="J38" i="3" s="1"/>
  <c r="J10" i="3" s="1"/>
  <c r="J12" i="3" s="1"/>
  <c r="H8" i="5"/>
  <c r="I74" i="3"/>
  <c r="I78" i="3" s="1"/>
  <c r="I36" i="3" s="1"/>
  <c r="K38" i="3" s="1"/>
  <c r="K10" i="3" s="1"/>
  <c r="K12" i="3" s="1"/>
  <c r="I8" i="5"/>
  <c r="G14" i="7"/>
  <c r="I16" i="7"/>
  <c r="G78" i="5"/>
  <c r="G58" i="5" s="1"/>
  <c r="G68" i="5"/>
  <c r="G57" i="5" s="1"/>
  <c r="H18" i="7" l="1"/>
  <c r="H15" i="2" s="1"/>
  <c r="I78" i="5"/>
  <c r="I58" i="5" s="1"/>
  <c r="K60" i="5" s="1"/>
  <c r="K9" i="5" s="1"/>
  <c r="K13" i="5" s="1"/>
  <c r="K11" i="2" s="1"/>
  <c r="K74" i="3"/>
  <c r="K142" i="5"/>
  <c r="K66" i="5"/>
  <c r="K26" i="5"/>
  <c r="M31" i="5" s="1"/>
  <c r="K68" i="3"/>
  <c r="K78" i="3" s="1"/>
  <c r="K36" i="3" s="1"/>
  <c r="M38" i="3" s="1"/>
  <c r="M10" i="3" s="1"/>
  <c r="M12" i="3" s="1"/>
  <c r="K9" i="2"/>
  <c r="J9" i="2"/>
  <c r="J142" i="5"/>
  <c r="J66" i="5"/>
  <c r="J26" i="5"/>
  <c r="L31" i="5" s="1"/>
  <c r="J68" i="3"/>
  <c r="J78" i="3" s="1"/>
  <c r="J36" i="3" s="1"/>
  <c r="L38" i="3" s="1"/>
  <c r="L10" i="3" s="1"/>
  <c r="L12" i="3" s="1"/>
  <c r="I60" i="5"/>
  <c r="I9" i="5" s="1"/>
  <c r="I13" i="5" s="1"/>
  <c r="I11" i="2" s="1"/>
  <c r="I18" i="7"/>
  <c r="I15" i="2" s="1"/>
  <c r="H60" i="5"/>
  <c r="J60" i="5"/>
  <c r="J9" i="5" s="1"/>
  <c r="J13" i="5" s="1"/>
  <c r="J11" i="2" s="1"/>
  <c r="F47" i="6" l="1"/>
  <c r="F50" i="6" s="1"/>
  <c r="F51" i="6" s="1"/>
  <c r="I17" i="2"/>
  <c r="I11" i="7" s="1"/>
  <c r="M74" i="3"/>
  <c r="M8" i="5"/>
  <c r="M66" i="5"/>
  <c r="M142" i="5"/>
  <c r="M9" i="2"/>
  <c r="M68" i="3"/>
  <c r="M26" i="5"/>
  <c r="H9" i="13"/>
  <c r="H9" i="5"/>
  <c r="H13" i="5" s="1"/>
  <c r="H11" i="2" s="1"/>
  <c r="H17" i="2" s="1"/>
  <c r="H11" i="7" s="1"/>
  <c r="H9" i="15"/>
  <c r="L66" i="5"/>
  <c r="L9" i="2"/>
  <c r="L26" i="5"/>
  <c r="L68" i="3"/>
  <c r="L142" i="5"/>
  <c r="K68" i="5"/>
  <c r="K57" i="5" s="1"/>
  <c r="K78" i="5"/>
  <c r="K58" i="5" s="1"/>
  <c r="J78" i="5"/>
  <c r="J58" i="5" s="1"/>
  <c r="J68" i="5"/>
  <c r="J57" i="5" s="1"/>
  <c r="L60" i="5" s="1"/>
  <c r="L9" i="5" s="1"/>
  <c r="L8" i="5"/>
  <c r="L74" i="3"/>
  <c r="L13" i="5" l="1"/>
  <c r="L11" i="2" s="1"/>
  <c r="L78" i="3"/>
  <c r="L36" i="3" s="1"/>
  <c r="M68" i="5"/>
  <c r="M57" i="5" s="1"/>
  <c r="M78" i="5"/>
  <c r="M58" i="5" s="1"/>
  <c r="L68" i="5"/>
  <c r="L57" i="5" s="1"/>
  <c r="L78" i="5"/>
  <c r="L58" i="5" s="1"/>
  <c r="J16" i="7"/>
  <c r="H14" i="7"/>
  <c r="M78" i="3"/>
  <c r="M36" i="3" s="1"/>
  <c r="M60" i="5"/>
  <c r="M9" i="5" s="1"/>
  <c r="M13" i="5" s="1"/>
  <c r="M11" i="2" s="1"/>
  <c r="K16" i="7"/>
  <c r="I14" i="7"/>
  <c r="K18" i="7" l="1"/>
  <c r="K15" i="2" s="1"/>
  <c r="K17" i="2" s="1"/>
  <c r="K11" i="7" s="1"/>
  <c r="J18" i="7"/>
  <c r="J15" i="2" s="1"/>
  <c r="J17" i="2" s="1"/>
  <c r="J11" i="7" s="1"/>
  <c r="J14" i="7" l="1"/>
  <c r="L16" i="7"/>
  <c r="M16" i="7"/>
  <c r="K14" i="7"/>
  <c r="M18" i="7" l="1"/>
  <c r="M15" i="2" s="1"/>
  <c r="M17" i="2" s="1"/>
  <c r="M11" i="7" s="1"/>
  <c r="M14" i="7" s="1"/>
  <c r="L18" i="7"/>
  <c r="L15" i="2" s="1"/>
  <c r="L17" i="2" s="1"/>
  <c r="L11" i="7" s="1"/>
  <c r="L14" i="7" s="1"/>
</calcChain>
</file>

<file path=xl/comments1.xml><?xml version="1.0" encoding="utf-8"?>
<comments xmlns="http://schemas.openxmlformats.org/spreadsheetml/2006/main">
  <authors>
    <author>Valerio Uccello</author>
    <author>Amrita Bhatt</author>
    <author>bhatta</author>
  </authors>
  <commentList>
    <comment ref="A82" authorId="0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Modified by 4 August 2016 decision document (see https://www.ofgem.gov.uk/system/files/docs/2016/08/scotcos_draft_stat_con_4_aug.pdf
and also https://www.ofgem.gov.uk/system/files/docs/2016/08/ss_output_decision_final_to_publish_4_aug_2016.pdf).</t>
        </r>
      </text>
    </comment>
    <comment ref="F90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A94" authorId="0" shapeId="0">
      <text>
        <r>
          <rPr>
            <b/>
            <sz val="9"/>
            <color indexed="81"/>
            <rFont val="Tahoma"/>
            <family val="2"/>
          </rPr>
          <t>Valerio Uccello:</t>
        </r>
        <r>
          <rPr>
            <sz val="9"/>
            <color indexed="81"/>
            <rFont val="Tahoma"/>
            <family val="2"/>
          </rPr>
          <t xml:space="preserve">
Modified by 4 August 2016 decision document (see https://www.ofgem.gov.uk/system/files/docs/2016/08/scotcos_draft_stat_con_4_aug.pdf
and also https://www.ofgem.gov.uk/system/files/docs/2016/08/ss_output_decision_final_to_publish_4_aug_2016.pdf).</t>
        </r>
      </text>
    </comment>
    <comment ref="F102" authorId="1" shapeId="0">
      <text>
        <r>
          <rPr>
            <b/>
            <sz val="8"/>
            <color indexed="81"/>
            <rFont val="Tahoma"/>
            <family val="2"/>
          </rPr>
          <t>Amrita Bhatt:</t>
        </r>
        <r>
          <rPr>
            <sz val="8"/>
            <color indexed="81"/>
            <rFont val="Tahoma"/>
            <family val="2"/>
          </rPr>
          <t xml:space="preserve">
As per Decision on 4th Aug 2016 (https://www.ofgem.gov.uk/publications-and-updates/decision-values-within-stakeholder-satisfaction-output-arrangements), Years 1-3 switched off.</t>
        </r>
      </text>
    </comment>
    <comment ref="F116" authorId="2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  <comment ref="G116" authorId="2" shapeId="0">
      <text>
        <r>
          <rPr>
            <b/>
            <sz val="8"/>
            <color indexed="81"/>
            <rFont val="Tahoma"/>
            <family val="2"/>
          </rPr>
          <t>bhatta:</t>
        </r>
        <r>
          <rPr>
            <sz val="8"/>
            <color indexed="81"/>
            <rFont val="Tahoma"/>
            <family val="2"/>
          </rPr>
          <t xml:space="preserve">
SC 3E.3:  For Relevant Years beginning on 1 April 2013 and 1 April 2014 the value of SFIt is 
equal to zero. </t>
        </r>
      </text>
    </comment>
  </commentList>
</comments>
</file>

<file path=xl/sharedStrings.xml><?xml version="1.0" encoding="utf-8"?>
<sst xmlns="http://schemas.openxmlformats.org/spreadsheetml/2006/main" count="1555" uniqueCount="611">
  <si>
    <t>Units</t>
  </si>
  <si>
    <t>£m</t>
  </si>
  <si>
    <t>Totex data</t>
  </si>
  <si>
    <t>Capex data</t>
  </si>
  <si>
    <t>Network data</t>
  </si>
  <si>
    <t>Outputs data</t>
  </si>
  <si>
    <t>Opex data</t>
  </si>
  <si>
    <t>Finance data</t>
  </si>
  <si>
    <t>Year</t>
  </si>
  <si>
    <t>Pass Through Items</t>
  </si>
  <si>
    <t>Correction Factor</t>
  </si>
  <si>
    <t>Allowed Transmission Owner Revenue</t>
  </si>
  <si>
    <t>TO</t>
  </si>
  <si>
    <t>Transmission Base Revenue</t>
  </si>
  <si>
    <t>BR t</t>
  </si>
  <si>
    <t>Output Incentive Payments</t>
  </si>
  <si>
    <t>Transmission Investment</t>
  </si>
  <si>
    <t>RPIF t</t>
  </si>
  <si>
    <t>PCFM Variable Values</t>
  </si>
  <si>
    <t>Base Revenue Allowance</t>
  </si>
  <si>
    <t>Pass Through Items Revenue</t>
  </si>
  <si>
    <t>RBt</t>
  </si>
  <si>
    <t>TPDt</t>
  </si>
  <si>
    <t>Business Rates Adjustment</t>
  </si>
  <si>
    <t>Temp Physical Disconnection Term</t>
  </si>
  <si>
    <t>OIPt Output Incentive Calculation and Components</t>
  </si>
  <si>
    <t>PTt Pass Through Calculation and Components</t>
  </si>
  <si>
    <t>Network Reliability Incentive</t>
  </si>
  <si>
    <t>Stakeholder Satisfaction Output</t>
  </si>
  <si>
    <t>SF6 Emissions</t>
  </si>
  <si>
    <t>Environmental Discretionary Reward</t>
  </si>
  <si>
    <t>IIt Innovation Incentive Calculation and Components</t>
  </si>
  <si>
    <t>It</t>
  </si>
  <si>
    <t>Kt Calculation and Components</t>
  </si>
  <si>
    <t>Transmission Network Revenue</t>
  </si>
  <si>
    <t>Interest Rate Adjustment in Yr T</t>
  </si>
  <si>
    <t>Network Innovation Allowance</t>
  </si>
  <si>
    <t>Under/Over Recovery</t>
  </si>
  <si>
    <t>RPIA t</t>
  </si>
  <si>
    <r>
      <t>RI</t>
    </r>
    <r>
      <rPr>
        <vertAlign val="subscript"/>
        <sz val="11"/>
        <color theme="1"/>
        <rFont val="Verdana"/>
        <family val="2"/>
      </rPr>
      <t>t</t>
    </r>
    <r>
      <rPr>
        <sz val="11"/>
        <color theme="1"/>
        <rFont val="Verdana"/>
        <family val="2"/>
      </rPr>
      <t xml:space="preserve"> = RILEG</t>
    </r>
    <r>
      <rPr>
        <vertAlign val="subscript"/>
        <sz val="11"/>
        <color theme="1"/>
        <rFont val="Verdana"/>
        <family val="2"/>
      </rPr>
      <t>t</t>
    </r>
  </si>
  <si>
    <t>TRUt Calculation</t>
  </si>
  <si>
    <t>Special Condition Rev Adjust</t>
  </si>
  <si>
    <t>Present Value</t>
  </si>
  <si>
    <t>Stakeholder Engagement Reward</t>
  </si>
  <si>
    <t>Stakeholder Survey Satisfaction</t>
  </si>
  <si>
    <t>SFIt Calculation</t>
  </si>
  <si>
    <t>CF</t>
  </si>
  <si>
    <t>Calculated Target Emissions</t>
  </si>
  <si>
    <t>Actual Licensee Emissions</t>
  </si>
  <si>
    <t>Conversion Factor</t>
  </si>
  <si>
    <t>Non Traded Price of Carbon</t>
  </si>
  <si>
    <t>BASE</t>
  </si>
  <si>
    <t>Network Innovation Allowance Calculation</t>
  </si>
  <si>
    <t xml:space="preserve">Allowable NIA </t>
  </si>
  <si>
    <t>Allowable Network Innovation Allowance Calculation</t>
  </si>
  <si>
    <t>PTRA</t>
  </si>
  <si>
    <t>BPC</t>
  </si>
  <si>
    <t>NIAV</t>
  </si>
  <si>
    <t>Pass Through Factor</t>
  </si>
  <si>
    <t>Eligible NIA Expenditure</t>
  </si>
  <si>
    <t>Licensee's NIA Percentage</t>
  </si>
  <si>
    <t>Base Revenue</t>
  </si>
  <si>
    <t>RPI Forecast</t>
  </si>
  <si>
    <t>Value of Lost Load</t>
  </si>
  <si>
    <t>Max Downside Adjustment</t>
  </si>
  <si>
    <t>Loss of Supply Volume Target</t>
  </si>
  <si>
    <t>Total Incentivised Energy not supplied</t>
  </si>
  <si>
    <t>Reliability Incentive Legacy</t>
  </si>
  <si>
    <t>Business Rates Allowance</t>
  </si>
  <si>
    <t>Business Rates Actual</t>
  </si>
  <si>
    <t>Business Rates Adjustment Calculation</t>
  </si>
  <si>
    <t>True Up</t>
  </si>
  <si>
    <t>Average Interest in Yr T</t>
  </si>
  <si>
    <t>Income Adjusting Event</t>
  </si>
  <si>
    <t>Commentary</t>
  </si>
  <si>
    <t>(please list)</t>
  </si>
  <si>
    <t>Other Adjustments</t>
  </si>
  <si>
    <t>De-Minimis Turnover</t>
  </si>
  <si>
    <t>(Less Connections Contributions)</t>
  </si>
  <si>
    <t>Other Turnover Items</t>
  </si>
  <si>
    <t>Transmission Operator</t>
  </si>
  <si>
    <t>Actual Turnover</t>
  </si>
  <si>
    <t>Excluded Services</t>
  </si>
  <si>
    <t>Please provide a list of excluded services for all items greater than or equal to £500k</t>
  </si>
  <si>
    <t>Activity Description</t>
  </si>
  <si>
    <t>Total</t>
  </si>
  <si>
    <t>De Minimis Activities</t>
  </si>
  <si>
    <t>Please provide a list of De Minimis Activities for all items greater than or equal to £500k</t>
  </si>
  <si>
    <r>
      <t>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 = (PU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MOD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TRU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  x RPIF</t>
    </r>
    <r>
      <rPr>
        <vertAlign val="subscript"/>
        <sz val="12"/>
        <color theme="1"/>
        <rFont val="Times New Roman"/>
        <family val="1"/>
      </rPr>
      <t>t</t>
    </r>
  </si>
  <si>
    <r>
      <t>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RPIA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(1+GRPIF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>) x (1+GRPIF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</si>
  <si>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t>R1 Cover</t>
  </si>
  <si>
    <t>Description</t>
  </si>
  <si>
    <r>
      <t xml:space="preserve">Screenshots of the worksheets in this workbook are given in the </t>
    </r>
    <r>
      <rPr>
        <i/>
        <sz val="10"/>
        <rFont val="Verdana"/>
        <family val="2"/>
      </rPr>
      <t>Instructions for completing revenue reporting</t>
    </r>
    <r>
      <rPr>
        <sz val="10"/>
        <rFont val="Verdana"/>
        <family val="2"/>
      </rPr>
      <t xml:space="preserve"> section of the Cost and Revenue Reporting RIGs
Note:  In the event of any inconsistency, the licence conditions and then the RIGs take precedence.  Any inconsistencies with the licence conditions should be reported to Ofgem straight away.</t>
    </r>
  </si>
  <si>
    <t>cells  containing formula</t>
  </si>
  <si>
    <t>input cells</t>
  </si>
  <si>
    <t>cells linked to other worksheet</t>
  </si>
  <si>
    <t>R2 Schematic</t>
  </si>
  <si>
    <t>R3 Version Log</t>
  </si>
  <si>
    <t>Date</t>
  </si>
  <si>
    <t>Version</t>
  </si>
  <si>
    <t>Amendment</t>
  </si>
  <si>
    <t>R4 Licence Condition Values</t>
  </si>
  <si>
    <t>Reg Yr ending 31 March:</t>
  </si>
  <si>
    <t xml:space="preserve">General </t>
  </si>
  <si>
    <t>Range Name</t>
  </si>
  <si>
    <t>%</t>
  </si>
  <si>
    <t>Base Demand Revenue</t>
  </si>
  <si>
    <t>PU</t>
  </si>
  <si>
    <t>Pass through items</t>
  </si>
  <si>
    <t>R5 Input Page</t>
  </si>
  <si>
    <t>Basic Information</t>
  </si>
  <si>
    <t>COMPNAME</t>
  </si>
  <si>
    <t>Regulatory Year</t>
  </si>
  <si>
    <t>R6 Base Revenue</t>
  </si>
  <si>
    <t>R7 Pass through items</t>
  </si>
  <si>
    <t>R8 Output incentives</t>
  </si>
  <si>
    <t>RPIF</t>
  </si>
  <si>
    <t>Factor</t>
  </si>
  <si>
    <t>Modification to Revenue from Annual Iteration Process - TO</t>
  </si>
  <si>
    <t>Present value factors</t>
  </si>
  <si>
    <t>RBE</t>
  </si>
  <si>
    <t>RBA</t>
  </si>
  <si>
    <t>RPIA</t>
  </si>
  <si>
    <t>RPI Actual</t>
  </si>
  <si>
    <t>Actual RPI</t>
  </si>
  <si>
    <t>RPI indices</t>
  </si>
  <si>
    <t>PVF</t>
  </si>
  <si>
    <t xml:space="preserve">Present value factor </t>
  </si>
  <si>
    <t>Temporary physical disconnection</t>
  </si>
  <si>
    <t>TPD</t>
  </si>
  <si>
    <t>TPA</t>
  </si>
  <si>
    <t>Physical disconnection costs</t>
  </si>
  <si>
    <t xml:space="preserve">Incentive Payments </t>
  </si>
  <si>
    <t>R9 Innovation incentive</t>
  </si>
  <si>
    <t>R10 Correction term</t>
  </si>
  <si>
    <t>RegYr</t>
  </si>
  <si>
    <t>TIRG</t>
  </si>
  <si>
    <t>FTIRGC</t>
  </si>
  <si>
    <t>FTIRGCDepn</t>
  </si>
  <si>
    <t>ETIRGORAV</t>
  </si>
  <si>
    <t>Dep</t>
  </si>
  <si>
    <t>CCTIRG</t>
  </si>
  <si>
    <t>PreCon</t>
  </si>
  <si>
    <t>ETIRGC</t>
  </si>
  <si>
    <t>IPTIRG</t>
  </si>
  <si>
    <t>TIRGIncAdj</t>
  </si>
  <si>
    <t>FTIRG</t>
  </si>
  <si>
    <t>ETIRG</t>
  </si>
  <si>
    <t>ATIRG</t>
  </si>
  <si>
    <t>CFTIRG</t>
  </si>
  <si>
    <t>AFFTIRG</t>
  </si>
  <si>
    <t>FTIRGDepn</t>
  </si>
  <si>
    <t>AFFTIRGDepn</t>
  </si>
  <si>
    <t>SAFTIRG</t>
  </si>
  <si>
    <t>Authority Adjustment</t>
  </si>
  <si>
    <t>SAFRTIRG</t>
  </si>
  <si>
    <t>Inflation</t>
  </si>
  <si>
    <t>Authority determined value</t>
  </si>
  <si>
    <t>Adjustment to Average Value of Transmission Project</t>
  </si>
  <si>
    <t>Adjustment to Depreciation</t>
  </si>
  <si>
    <t>Opening Asset Value for Transmission Project</t>
  </si>
  <si>
    <t>Actual Annual Revenue</t>
  </si>
  <si>
    <t>CCTIRG*(FTIRG+AFFTIRG)*RPIF</t>
  </si>
  <si>
    <t>(FTIRGDepn+AFFTIRGDepn)*RPIF</t>
  </si>
  <si>
    <t>Pre-construction funding</t>
  </si>
  <si>
    <t>GRPIF t</t>
  </si>
  <si>
    <t>used for 2014</t>
  </si>
  <si>
    <t>used for 2015</t>
  </si>
  <si>
    <t>used for 2016</t>
  </si>
  <si>
    <t>used for 2017</t>
  </si>
  <si>
    <t>used for 2018</t>
  </si>
  <si>
    <t>used for 2019</t>
  </si>
  <si>
    <t>used for 2020</t>
  </si>
  <si>
    <t>used for 2021</t>
  </si>
  <si>
    <t>REVt</t>
  </si>
  <si>
    <t>PVFt</t>
  </si>
  <si>
    <t>GRPIF c</t>
  </si>
  <si>
    <t>Calendar Year</t>
  </si>
  <si>
    <t>Retail Prices Index Forecast Growth Rate</t>
  </si>
  <si>
    <t>from November 2011</t>
  </si>
  <si>
    <t>from November 2012</t>
  </si>
  <si>
    <t>from November 2013</t>
  </si>
  <si>
    <t>from November 2014</t>
  </si>
  <si>
    <t>from November 2015</t>
  </si>
  <si>
    <t>from November 2016</t>
  </si>
  <si>
    <t>from November 2017</t>
  </si>
  <si>
    <t>from November 2018</t>
  </si>
  <si>
    <t>from November 2019</t>
  </si>
  <si>
    <t>OIP</t>
  </si>
  <si>
    <t>Dep*SAFRTIRG*RPIF</t>
  </si>
  <si>
    <t>Present value factor</t>
  </si>
  <si>
    <t>In 2014/15</t>
  </si>
  <si>
    <t xml:space="preserve">For 2013/14: </t>
  </si>
  <si>
    <t>Average Specified Rate</t>
  </si>
  <si>
    <t>Reliability incentive legacy term</t>
  </si>
  <si>
    <t>RILEG</t>
  </si>
  <si>
    <t>Incentives</t>
  </si>
  <si>
    <t>VOLL</t>
  </si>
  <si>
    <t>Value of lost load per MWh</t>
  </si>
  <si>
    <t>MWh</t>
  </si>
  <si>
    <t>ENST</t>
  </si>
  <si>
    <t>RIDPA</t>
  </si>
  <si>
    <t>ENSA</t>
  </si>
  <si>
    <t>Base revenue</t>
  </si>
  <si>
    <t>TIRG revenue</t>
  </si>
  <si>
    <t>Revenue adjustment factor</t>
  </si>
  <si>
    <t>Product</t>
  </si>
  <si>
    <t>Average specified rate</t>
  </si>
  <si>
    <t>SER</t>
  </si>
  <si>
    <t>Incentive in respect of Sulphur Hexafluoride</t>
  </si>
  <si>
    <t>PTIS</t>
  </si>
  <si>
    <t>RPI factor</t>
  </si>
  <si>
    <t>TIS</t>
  </si>
  <si>
    <t>Totex Incentive Strength</t>
  </si>
  <si>
    <t>TR</t>
  </si>
  <si>
    <t>Corporation tax rate</t>
  </si>
  <si>
    <t>Post tax incentive strength</t>
  </si>
  <si>
    <t>Base leakage</t>
  </si>
  <si>
    <t>ALE</t>
  </si>
  <si>
    <t>NTPC</t>
  </si>
  <si>
    <t>Non traded price of carbon</t>
  </si>
  <si>
    <t>SFI</t>
  </si>
  <si>
    <r>
      <t>EDR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= EDRO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x (1 + 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/ 100) x (1 + I</t>
    </r>
    <r>
      <rPr>
        <vertAlign val="subscript"/>
        <sz val="12"/>
        <rFont val="Times New Roman"/>
        <family val="1"/>
      </rPr>
      <t>t-1</t>
    </r>
    <r>
      <rPr>
        <sz val="12"/>
        <rFont val="Times New Roman"/>
        <family val="1"/>
      </rPr>
      <t xml:space="preserve"> / 100)</t>
    </r>
  </si>
  <si>
    <r>
      <t>EDR</t>
    </r>
    <r>
      <rPr>
        <b/>
        <vertAlign val="subscript"/>
        <sz val="10"/>
        <color theme="1"/>
        <rFont val="Verdana"/>
        <family val="2"/>
      </rPr>
      <t>t</t>
    </r>
    <r>
      <rPr>
        <b/>
        <sz val="10"/>
        <color theme="1"/>
        <rFont val="Verdana"/>
        <family val="2"/>
      </rPr>
      <t xml:space="preserve"> calculation</t>
    </r>
  </si>
  <si>
    <r>
      <t>I</t>
    </r>
    <r>
      <rPr>
        <vertAlign val="subscript"/>
        <sz val="10"/>
        <color theme="1"/>
        <rFont val="Verdana"/>
        <family val="2"/>
      </rPr>
      <t>t</t>
    </r>
  </si>
  <si>
    <r>
      <t>EDR</t>
    </r>
    <r>
      <rPr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</t>
    </r>
  </si>
  <si>
    <t>EDRO</t>
  </si>
  <si>
    <t>EDR scheme adjustment</t>
  </si>
  <si>
    <r>
      <t>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= 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- NIAR</t>
    </r>
    <r>
      <rPr>
        <vertAlign val="subscript"/>
        <sz val="12"/>
        <color theme="1"/>
        <rFont val="Times New Roman"/>
        <family val="1"/>
      </rPr>
      <t>t</t>
    </r>
  </si>
  <si>
    <t>NIC Eligible Bid Preparation Costs</t>
  </si>
  <si>
    <t>ENIA</t>
  </si>
  <si>
    <t>NIA</t>
  </si>
  <si>
    <t>NIAR</t>
  </si>
  <si>
    <r>
      <t>PU</t>
    </r>
    <r>
      <rPr>
        <vertAlign val="subscript"/>
        <sz val="10"/>
        <rFont val="Verdana"/>
        <family val="2"/>
      </rPr>
      <t>t</t>
    </r>
  </si>
  <si>
    <r>
      <t>MOD</t>
    </r>
    <r>
      <rPr>
        <vertAlign val="subscript"/>
        <sz val="10"/>
        <rFont val="Verdana"/>
        <family val="2"/>
      </rPr>
      <t>t</t>
    </r>
  </si>
  <si>
    <r>
      <t>TRU</t>
    </r>
    <r>
      <rPr>
        <vertAlign val="subscript"/>
        <sz val="10"/>
        <rFont val="Verdana"/>
        <family val="2"/>
      </rPr>
      <t>t</t>
    </r>
  </si>
  <si>
    <r>
      <t>RPIF</t>
    </r>
    <r>
      <rPr>
        <vertAlign val="subscript"/>
        <sz val="10"/>
        <rFont val="Verdana"/>
        <family val="2"/>
      </rPr>
      <t>t</t>
    </r>
    <r>
      <rPr>
        <sz val="10"/>
        <rFont val="Verdana"/>
        <family val="2"/>
      </rPr>
      <t xml:space="preserve"> </t>
    </r>
  </si>
  <si>
    <r>
      <t>BR</t>
    </r>
    <r>
      <rPr>
        <vertAlign val="subscript"/>
        <sz val="10"/>
        <rFont val="Verdana"/>
        <family val="2"/>
      </rPr>
      <t>t</t>
    </r>
  </si>
  <si>
    <r>
      <t>BR</t>
    </r>
    <r>
      <rPr>
        <vertAlign val="subscript"/>
        <sz val="10"/>
        <color rgb="FFFF0000"/>
        <rFont val="Verdana"/>
        <family val="2"/>
      </rPr>
      <t>t</t>
    </r>
  </si>
  <si>
    <r>
      <t>TRU</t>
    </r>
    <r>
      <rPr>
        <vertAlign val="subscript"/>
        <sz val="10"/>
        <color rgb="FFFF0000"/>
        <rFont val="Verdana"/>
        <family val="2"/>
      </rPr>
      <t>t</t>
    </r>
  </si>
  <si>
    <t xml:space="preserve">Pre tax TIRG cost of capital </t>
  </si>
  <si>
    <t>Adjustment to Av asset value</t>
  </si>
  <si>
    <t>(CCTIRG*(ETIRG*SAFTRTIRG)*RPIF)</t>
  </si>
  <si>
    <t>R11 TIRG</t>
  </si>
  <si>
    <t>Adjustment to Av asset depreciation</t>
  </si>
  <si>
    <t>Preconstruction</t>
  </si>
  <si>
    <t>Authority directed adjustments</t>
  </si>
  <si>
    <t>Opening asset value</t>
  </si>
  <si>
    <t xml:space="preserve"> Period:</t>
  </si>
  <si>
    <t>Reconciliation to Regulatory / Statutory Accounts</t>
  </si>
  <si>
    <t>Building phase - average asset value</t>
  </si>
  <si>
    <t>Building phase - depreciation value</t>
  </si>
  <si>
    <t xml:space="preserve">Incentive phase opening RAV </t>
  </si>
  <si>
    <t xml:space="preserve">Incentive phase depreciation allowed </t>
  </si>
  <si>
    <t>Incentive phase average asset value</t>
  </si>
  <si>
    <t>Incentive period</t>
  </si>
  <si>
    <t>Construction period</t>
  </si>
  <si>
    <t>Income adjusting event</t>
  </si>
  <si>
    <t>Weighted average cost of capital (from PCFM)</t>
  </si>
  <si>
    <t>WACC</t>
  </si>
  <si>
    <t>Company name</t>
  </si>
  <si>
    <t xml:space="preserve">Relevant TO Special Condition revenue adjustments </t>
  </si>
  <si>
    <r>
      <t>RB</t>
    </r>
    <r>
      <rPr>
        <vertAlign val="subscript"/>
        <sz val="10"/>
        <color rgb="FFFF0000"/>
        <rFont val="Verdana"/>
        <family val="2"/>
      </rPr>
      <t>t</t>
    </r>
  </si>
  <si>
    <r>
      <t>REV</t>
    </r>
    <r>
      <rPr>
        <vertAlign val="subscript"/>
        <sz val="10"/>
        <color rgb="FFFF0000"/>
        <rFont val="Verdana"/>
        <family val="2"/>
      </rPr>
      <t>t</t>
    </r>
  </si>
  <si>
    <t>RI</t>
  </si>
  <si>
    <t>Reliability incentive</t>
  </si>
  <si>
    <t>From 2015/16:</t>
  </si>
  <si>
    <t>TNR</t>
  </si>
  <si>
    <t xml:space="preserve">Max Allowed Revenue </t>
  </si>
  <si>
    <t>R13 Excluded/ De Minimis revenue</t>
  </si>
  <si>
    <t>Sub total</t>
  </si>
  <si>
    <t>SubTIRG</t>
  </si>
  <si>
    <t xml:space="preserve">Subtotal of TIRG </t>
  </si>
  <si>
    <t>TIRG - Project 1</t>
  </si>
  <si>
    <t>TIRG - Project 2</t>
  </si>
  <si>
    <t>SAFTIRG1</t>
  </si>
  <si>
    <t>SAFTIRG2</t>
  </si>
  <si>
    <t>Determination of IPTIRG 1</t>
  </si>
  <si>
    <t>Determination of FTIRG 1</t>
  </si>
  <si>
    <t>Determination of ETIRG 1</t>
  </si>
  <si>
    <t xml:space="preserve">Determination of TIRG Project 1 - </t>
  </si>
  <si>
    <t xml:space="preserve">Determination of TIRG Project 2 - </t>
  </si>
  <si>
    <t>Determination of IPTIRG 2</t>
  </si>
  <si>
    <t>Determination of FTIRG 2</t>
  </si>
  <si>
    <t>Determination of ETIRG 2</t>
  </si>
  <si>
    <t>MOD</t>
  </si>
  <si>
    <t>FOR INFORMATION ONLY</t>
  </si>
  <si>
    <t>Allowable Network Innovation Expenditure</t>
  </si>
  <si>
    <t>Z</t>
  </si>
  <si>
    <t xml:space="preserve">Eligible NIA Internal Expenditure </t>
  </si>
  <si>
    <t>NIAIE</t>
  </si>
  <si>
    <t>CONADJ</t>
  </si>
  <si>
    <t xml:space="preserve">Performance re offers of timely connection </t>
  </si>
  <si>
    <t>CONADJ calculation</t>
  </si>
  <si>
    <t>Untimely offers</t>
  </si>
  <si>
    <t>Total offers</t>
  </si>
  <si>
    <t>Base Transmission Revenue</t>
  </si>
  <si>
    <t>BR</t>
  </si>
  <si>
    <t>Interest</t>
  </si>
  <si>
    <t>UNTO</t>
  </si>
  <si>
    <t>TOTO</t>
  </si>
  <si>
    <t>SSI</t>
  </si>
  <si>
    <t>SSI Calculation</t>
  </si>
  <si>
    <t>SS</t>
  </si>
  <si>
    <t>SKPI</t>
  </si>
  <si>
    <t>SEA</t>
  </si>
  <si>
    <t>CTE</t>
  </si>
  <si>
    <t>Scottish Hydro Electric Transmission Plc</t>
  </si>
  <si>
    <r>
      <t>TO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BR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OIP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TIRG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+ SHCP</t>
    </r>
    <r>
      <rPr>
        <vertAlign val="subscript"/>
        <sz val="12"/>
        <color theme="1"/>
        <rFont val="Times New Roman"/>
        <family val="1"/>
      </rPr>
      <t>t</t>
    </r>
    <r>
      <rPr>
        <u/>
        <sz val="12"/>
        <color rgb="FF00808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- K</t>
    </r>
    <r>
      <rPr>
        <vertAlign val="subscript"/>
        <sz val="12"/>
        <color theme="1"/>
        <rFont val="Times New Roman"/>
        <family val="1"/>
      </rPr>
      <t>t</t>
    </r>
  </si>
  <si>
    <t>SHCP</t>
  </si>
  <si>
    <t xml:space="preserve">TIRG </t>
  </si>
  <si>
    <t xml:space="preserve">BR </t>
  </si>
  <si>
    <t xml:space="preserve">PT </t>
  </si>
  <si>
    <t xml:space="preserve">OIP </t>
  </si>
  <si>
    <t xml:space="preserve">K </t>
  </si>
  <si>
    <t xml:space="preserve">Compensatory Payments Adjustment </t>
  </si>
  <si>
    <t>(CCTIRG*(ETIRG*SAFRTIRG)*RPIF)</t>
  </si>
  <si>
    <t>Compensatory payments adjustment</t>
  </si>
  <si>
    <r>
      <t>SHCP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(DCP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+ CCP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 x PVF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PVF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 xml:space="preserve"> x RPIF</t>
    </r>
    <r>
      <rPr>
        <vertAlign val="subscript"/>
        <sz val="12"/>
        <color theme="1"/>
        <rFont val="Times New Roman"/>
        <family val="1"/>
      </rPr>
      <t>t</t>
    </r>
  </si>
  <si>
    <t>DCP</t>
  </si>
  <si>
    <t>CCP</t>
  </si>
  <si>
    <t xml:space="preserve">Paid for Domestic Loss of Supply Events </t>
  </si>
  <si>
    <t xml:space="preserve">Paid for Commercial Loss of Supply Events </t>
  </si>
  <si>
    <t>DCOS</t>
  </si>
  <si>
    <t>DC</t>
  </si>
  <si>
    <t>EDCOS</t>
  </si>
  <si>
    <t>EDC</t>
  </si>
  <si>
    <t>CCOS</t>
  </si>
  <si>
    <t>CC</t>
  </si>
  <si>
    <t>ECCOS</t>
  </si>
  <si>
    <t>ECC</t>
  </si>
  <si>
    <t>Payment per Compensatory Payment Statement</t>
  </si>
  <si>
    <t>Domestic Customers off supply &gt;12 hrs</t>
  </si>
  <si>
    <t>Domestic Customers off supply &gt;6 hrs</t>
  </si>
  <si>
    <t>Enhanced compensatory payment</t>
  </si>
  <si>
    <t>Calculation of DCP</t>
  </si>
  <si>
    <t>Calculation of CCP</t>
  </si>
  <si>
    <t>CommercialCustomers off supply &gt;6 hrs</t>
  </si>
  <si>
    <t>Commercial Customers off supply &gt;12 hrs</t>
  </si>
  <si>
    <r>
      <t>PT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RB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</t>
    </r>
    <r>
      <rPr>
        <sz val="12"/>
        <color theme="1"/>
        <rFont val="Times New Roman"/>
        <family val="1"/>
      </rPr>
      <t xml:space="preserve"> TPD</t>
    </r>
    <r>
      <rPr>
        <vertAlign val="subscript"/>
        <sz val="12"/>
        <color theme="1"/>
        <rFont val="Times New Roman"/>
        <family val="1"/>
      </rPr>
      <t>t</t>
    </r>
  </si>
  <si>
    <t>RB</t>
  </si>
  <si>
    <t>PT</t>
  </si>
  <si>
    <t>Network Reliability Incentive Calculation</t>
  </si>
  <si>
    <t>Post Tax Totex Incentive Strength calculation</t>
  </si>
  <si>
    <t xml:space="preserve">Post Tax Totex Incentive Strength </t>
  </si>
  <si>
    <t>Actual RPI factor</t>
  </si>
  <si>
    <t>Forecast RPI factor</t>
  </si>
  <si>
    <t>SSO Calculation</t>
  </si>
  <si>
    <t>SSO</t>
  </si>
  <si>
    <t>EDR</t>
  </si>
  <si>
    <t>SSC</t>
  </si>
  <si>
    <t>KPI measured score</t>
  </si>
  <si>
    <t>I</t>
  </si>
  <si>
    <t>ANIA</t>
  </si>
  <si>
    <t>PR</t>
  </si>
  <si>
    <t>K</t>
  </si>
  <si>
    <r>
      <t>SFI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(CTE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– ALE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>) x CF x NTPC</t>
    </r>
    <r>
      <rPr>
        <vertAlign val="subscript"/>
        <sz val="12"/>
        <color theme="1"/>
        <rFont val="Times New Roman"/>
        <family val="1"/>
      </rPr>
      <t xml:space="preserve">t-2 </t>
    </r>
    <r>
      <rPr>
        <sz val="12"/>
        <color theme="1"/>
        <rFont val="Times New Roman"/>
        <family val="1"/>
      </rPr>
      <t>x PTIS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PVF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x PVF</t>
    </r>
    <r>
      <rPr>
        <vertAlign val="subscript"/>
        <sz val="12"/>
        <color theme="1"/>
        <rFont val="Times New Roman"/>
        <family val="1"/>
      </rPr>
      <t>t-1</t>
    </r>
    <r>
      <rPr>
        <sz val="12"/>
        <color theme="1"/>
        <rFont val="Times New Roman"/>
        <family val="1"/>
      </rPr>
      <t xml:space="preserve"> x RPIF</t>
    </r>
    <r>
      <rPr>
        <vertAlign val="subscript"/>
        <sz val="12"/>
        <color theme="1"/>
        <rFont val="Times New Roman"/>
        <family val="1"/>
      </rPr>
      <t>t</t>
    </r>
  </si>
  <si>
    <t>AFFTIRG1</t>
  </si>
  <si>
    <t>AFFTIRGDepn1</t>
  </si>
  <si>
    <t>TIRGIncAdj1</t>
  </si>
  <si>
    <t>ATIRG1</t>
  </si>
  <si>
    <t>AFFTIRG2</t>
  </si>
  <si>
    <t>AFFTIRGDepn2</t>
  </si>
  <si>
    <t>TIRGIncAdj2</t>
  </si>
  <si>
    <t>ATIRG2</t>
  </si>
  <si>
    <t>Beauly-Denny</t>
  </si>
  <si>
    <t>Sloy</t>
  </si>
  <si>
    <t>ETIRGC2</t>
  </si>
  <si>
    <t>FTIRGC2</t>
  </si>
  <si>
    <t>FTIRGCDepn2</t>
  </si>
  <si>
    <r>
      <t>ANIA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= PTRA x min((ENIA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+ BPC</t>
    </r>
    <r>
      <rPr>
        <vertAlign val="subscript"/>
        <sz val="12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), (NIAV x AFR</t>
    </r>
    <r>
      <rPr>
        <sz val="12"/>
        <color theme="1"/>
        <rFont val="Times New Roman"/>
        <family val="1"/>
      </rPr>
      <t>))</t>
    </r>
  </si>
  <si>
    <t>AFR</t>
  </si>
  <si>
    <t>Average annual forecast revenue</t>
  </si>
  <si>
    <t>Stakeholder Satisfaction Incentive</t>
  </si>
  <si>
    <t xml:space="preserve">Network Innovation Allowance </t>
  </si>
  <si>
    <t>£/tonne</t>
  </si>
  <si>
    <t xml:space="preserve">CTE calculation </t>
  </si>
  <si>
    <t>For relevant year beginning on 1 April 2015:</t>
  </si>
  <si>
    <t>Qualifying NIA Internal Expenditure</t>
  </si>
  <si>
    <t>Eligible Internal NIA Expenditure</t>
  </si>
  <si>
    <t>Excluded Services and De minimis Activities</t>
  </si>
  <si>
    <t>Turnover as per Profit and Loss (Regulatory Accounts)</t>
  </si>
  <si>
    <t>Forecast pre-construction and contingency costs</t>
  </si>
  <si>
    <t>CFTIRG2</t>
  </si>
  <si>
    <t>CFTIRG1</t>
  </si>
  <si>
    <t>DEPN2</t>
  </si>
  <si>
    <t>fixed value - check cells</t>
  </si>
  <si>
    <t xml:space="preserve">Transmission Network Revenue </t>
  </si>
  <si>
    <t xml:space="preserve">Base leakage </t>
  </si>
  <si>
    <t>Transmission Network Reliability Incentive (from 12/13 revenue model)</t>
  </si>
  <si>
    <t>Incentivised Loss Supply - Lower Limit</t>
  </si>
  <si>
    <t>RILT</t>
  </si>
  <si>
    <t>Incentivised Loss Supply - Upper Limit</t>
  </si>
  <si>
    <t>RIUT</t>
  </si>
  <si>
    <t>Percentage Adjust - Lower Limit</t>
  </si>
  <si>
    <t>RIUPA</t>
  </si>
  <si>
    <t>Percentage Adjust - UpperLimit</t>
  </si>
  <si>
    <t>Supply Collar</t>
  </si>
  <si>
    <t>RICOL</t>
  </si>
  <si>
    <t xml:space="preserve">Number of Incentivised loss of supply events </t>
  </si>
  <si>
    <t>RIP</t>
  </si>
  <si>
    <t>Calculation for 2013/14 (taken from 2012/13 revenue model)</t>
  </si>
  <si>
    <t xml:space="preserve">PR </t>
  </si>
  <si>
    <t>Base revenue in year t-1</t>
  </si>
  <si>
    <t>PR t-1</t>
  </si>
  <si>
    <t>Revenue Adjustment</t>
  </si>
  <si>
    <t xml:space="preserve">Maximum Upside % </t>
  </si>
  <si>
    <t>Maximum Downside %</t>
  </si>
  <si>
    <t>Incentivised Upper Target</t>
  </si>
  <si>
    <t>Incentivised loss of supply collar</t>
  </si>
  <si>
    <t>Unsupplied Energy Volumes - events</t>
  </si>
  <si>
    <t xml:space="preserve">Lower Limit target </t>
  </si>
  <si>
    <t>Revenue Adjustment Factor in incentive period y</t>
  </si>
  <si>
    <t>RAF</t>
  </si>
  <si>
    <t>Transmission Network Reliability Incentive</t>
  </si>
  <si>
    <t>Events</t>
  </si>
  <si>
    <t>TIRGt</t>
  </si>
  <si>
    <t>SFIt</t>
  </si>
  <si>
    <t>RIt</t>
  </si>
  <si>
    <t>Compensatory Payments Adjustment</t>
  </si>
  <si>
    <t>SHCPt</t>
  </si>
  <si>
    <t>From 15/16 onwards:</t>
  </si>
  <si>
    <t>Base Transmission Revenue 12/13</t>
  </si>
  <si>
    <t>Subtotal TIRG 12/13</t>
  </si>
  <si>
    <t>Transmission Investment Incentives Projects adjustment 12/13</t>
  </si>
  <si>
    <t>Capital expenditure inventive revenue adjustment 12/13</t>
  </si>
  <si>
    <t>Network rates allowance 12/13</t>
  </si>
  <si>
    <t>RPI Forecast 12/13</t>
  </si>
  <si>
    <t>SC 3A.11</t>
  </si>
  <si>
    <t>SC 3A.10</t>
  </si>
  <si>
    <r>
      <t xml:space="preserve">TOInc </t>
    </r>
    <r>
      <rPr>
        <sz val="8"/>
        <rFont val="Verdana"/>
        <family val="2"/>
      </rPr>
      <t>t-2</t>
    </r>
  </si>
  <si>
    <r>
      <t xml:space="preserve">PR </t>
    </r>
    <r>
      <rPr>
        <sz val="8"/>
        <rFont val="Verdana"/>
        <family val="2"/>
      </rPr>
      <t>t-2</t>
    </r>
  </si>
  <si>
    <r>
      <t xml:space="preserve">TIRG </t>
    </r>
    <r>
      <rPr>
        <sz val="8"/>
        <rFont val="Verdana"/>
        <family val="2"/>
      </rPr>
      <t>t-2</t>
    </r>
  </si>
  <si>
    <r>
      <t xml:space="preserve">CXIncRA </t>
    </r>
    <r>
      <rPr>
        <sz val="8"/>
        <rFont val="Verdana"/>
        <family val="2"/>
      </rPr>
      <t>t-2</t>
    </r>
  </si>
  <si>
    <r>
      <t xml:space="preserve">RPIF </t>
    </r>
    <r>
      <rPr>
        <sz val="8"/>
        <rFont val="Verdana"/>
        <family val="2"/>
      </rPr>
      <t>t-2</t>
    </r>
  </si>
  <si>
    <r>
      <t xml:space="preserve">RV </t>
    </r>
    <r>
      <rPr>
        <sz val="8"/>
        <rFont val="Verdana"/>
        <family val="2"/>
      </rPr>
      <t>t-2</t>
    </r>
  </si>
  <si>
    <r>
      <t xml:space="preserve">REV </t>
    </r>
    <r>
      <rPr>
        <sz val="8"/>
        <rFont val="Verdana"/>
        <family val="2"/>
      </rPr>
      <t>t-2</t>
    </r>
  </si>
  <si>
    <t>PRPIF</t>
  </si>
  <si>
    <t>SC 3B.9 - 3B.11</t>
  </si>
  <si>
    <t>SC 3B.5 - 3B.8</t>
  </si>
  <si>
    <t>SC 3B.3 - 3B.4</t>
  </si>
  <si>
    <t>Amended formula to minus CONADJ</t>
  </si>
  <si>
    <t>CSWWE</t>
  </si>
  <si>
    <t>Cumulative calculated emissions</t>
  </si>
  <si>
    <t>CONADJ t</t>
  </si>
  <si>
    <t>SWWE</t>
  </si>
  <si>
    <t>TF</t>
  </si>
  <si>
    <t>KG</t>
  </si>
  <si>
    <t xml:space="preserve">Time adjustment factor </t>
  </si>
  <si>
    <t>ASWWE</t>
  </si>
  <si>
    <t xml:space="preserve">UNTO </t>
  </si>
  <si>
    <t>Licence Condition 3H.7</t>
  </si>
  <si>
    <t>Check:</t>
  </si>
  <si>
    <t>PRO</t>
  </si>
  <si>
    <t xml:space="preserve">Determination of TIRG Total - </t>
  </si>
  <si>
    <t>Ofgem £m</t>
  </si>
  <si>
    <t>SC 3A.5</t>
  </si>
  <si>
    <t>SC 3A.8</t>
  </si>
  <si>
    <t>SC 3A.12</t>
  </si>
  <si>
    <t>SC 3C.3 (2012-2014); SC 3C.4 (2014/2015)</t>
  </si>
  <si>
    <t>SC 3H.6</t>
  </si>
  <si>
    <t>SC 3H.4</t>
  </si>
  <si>
    <t>SC 3H.8</t>
  </si>
  <si>
    <t>SC 3H.7</t>
  </si>
  <si>
    <t>SC 3D.3</t>
  </si>
  <si>
    <t>SC 3D.11</t>
  </si>
  <si>
    <t>SC 3E.5</t>
  </si>
  <si>
    <t>score/100</t>
  </si>
  <si>
    <t>SC 3E.3</t>
  </si>
  <si>
    <t>SC 3E.6</t>
  </si>
  <si>
    <t>SC 3F.7</t>
  </si>
  <si>
    <t>SC 3G.12</t>
  </si>
  <si>
    <t>SC 3C.14</t>
  </si>
  <si>
    <t>SC 3C.16</t>
  </si>
  <si>
    <t>SC 3C.17</t>
  </si>
  <si>
    <t>SC 3E.4</t>
  </si>
  <si>
    <t>SC 3A.15</t>
  </si>
  <si>
    <t>SC 3A.14</t>
  </si>
  <si>
    <t>SC 3A.3</t>
  </si>
  <si>
    <t>SC 3J.2</t>
  </si>
  <si>
    <t>SC 3J.3</t>
  </si>
  <si>
    <t>SC 3J.5</t>
  </si>
  <si>
    <t>SC 3J.7</t>
  </si>
  <si>
    <t>Business Rates Allowance (SC 3B.6)</t>
  </si>
  <si>
    <t>Opening Base Revenue Allowance - TO (SC 3A.6)</t>
  </si>
  <si>
    <t>Reliability (SC 3C.4)</t>
  </si>
  <si>
    <t>Totex Incentive Strength (SC 6C)</t>
  </si>
  <si>
    <t>Stakeholder Engagement Reward Limit (SC 3D.5)</t>
  </si>
  <si>
    <t>Sulphur Hexafluoride Incentive (SC 3E)</t>
  </si>
  <si>
    <t>kg</t>
  </si>
  <si>
    <t>Pass Through Factor (SC 3H.6)</t>
  </si>
  <si>
    <r>
      <t xml:space="preserve">TIRG </t>
    </r>
    <r>
      <rPr>
        <b/>
        <sz val="9"/>
        <color theme="1"/>
        <rFont val="Verdana"/>
        <family val="2"/>
      </rPr>
      <t>(SC 3J - Schedule C)</t>
    </r>
  </si>
  <si>
    <t>Cost of capital (TIRG) - (SC 3J.5)</t>
  </si>
  <si>
    <t>Present value factor (SC 3A.9)</t>
  </si>
  <si>
    <t>#</t>
  </si>
  <si>
    <t>Volume</t>
  </si>
  <si>
    <t>#1-10</t>
  </si>
  <si>
    <t>Network Reliability Incentive (SC 3C)</t>
  </si>
  <si>
    <t>Stakeholder Incentive (SC 3D)</t>
  </si>
  <si>
    <t>Output Incentives CONADJ calculation (SC 3G)</t>
  </si>
  <si>
    <t>SC 3C</t>
  </si>
  <si>
    <t>£m (09/10)</t>
  </si>
  <si>
    <r>
      <t xml:space="preserve">Innovation Incentive </t>
    </r>
    <r>
      <rPr>
        <b/>
        <sz val="9"/>
        <color theme="1"/>
        <rFont val="Verdana"/>
        <family val="2"/>
      </rPr>
      <t>(SC 3H)</t>
    </r>
  </si>
  <si>
    <t>Index</t>
  </si>
  <si>
    <t>v1</t>
  </si>
  <si>
    <t>SC 3A.7</t>
  </si>
  <si>
    <t>TIRG (Annual preconstruction and contingency revenue allowance)</t>
  </si>
  <si>
    <r>
      <t xml:space="preserve">IPTIRG </t>
    </r>
    <r>
      <rPr>
        <sz val="8"/>
        <rFont val="Verdana"/>
        <family val="2"/>
      </rPr>
      <t>t-2</t>
    </r>
  </si>
  <si>
    <t>TIRG (Annual construction revenue allowance)</t>
  </si>
  <si>
    <r>
      <t xml:space="preserve">FTIRG </t>
    </r>
    <r>
      <rPr>
        <sz val="8"/>
        <rFont val="Verdana"/>
        <family val="2"/>
      </rPr>
      <t>t-2</t>
    </r>
  </si>
  <si>
    <t>Transmission Investment Incentives Projects adjustment</t>
  </si>
  <si>
    <t>TIRG (Annual incentive revenue allowance)</t>
  </si>
  <si>
    <r>
      <t xml:space="preserve">ETIRG </t>
    </r>
    <r>
      <rPr>
        <sz val="8"/>
        <rFont val="Verdana"/>
        <family val="2"/>
      </rPr>
      <t>t-2</t>
    </r>
  </si>
  <si>
    <t>Revenue for rollover year 2012/13 - per definition in Special Condition 3A 11</t>
  </si>
  <si>
    <t>Capital expenditure incentive revenue adjustment</t>
  </si>
  <si>
    <t>£ per customer</t>
  </si>
  <si>
    <t>Stakeholder satisfaction output</t>
  </si>
  <si>
    <t>Stakeholder engagement reward</t>
  </si>
  <si>
    <t>Actual emissions</t>
  </si>
  <si>
    <t>Environmental discretionary reward scheme - 3F</t>
  </si>
  <si>
    <r>
      <t>PTIS</t>
    </r>
    <r>
      <rPr>
        <sz val="9"/>
        <color theme="1"/>
        <rFont val="Times New Roman"/>
        <family val="1"/>
      </rPr>
      <t xml:space="preserve">t </t>
    </r>
    <r>
      <rPr>
        <sz val="12"/>
        <color theme="1"/>
        <rFont val="Times New Roman"/>
        <family val="1"/>
      </rPr>
      <t>= TIS</t>
    </r>
    <r>
      <rPr>
        <sz val="9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 xml:space="preserve"> / (1-TR</t>
    </r>
    <r>
      <rPr>
        <sz val="9"/>
        <color theme="1"/>
        <rFont val="Times New Roman"/>
        <family val="1"/>
      </rPr>
      <t>t</t>
    </r>
    <r>
      <rPr>
        <sz val="12"/>
        <color theme="1"/>
        <rFont val="Times New Roman"/>
        <family val="1"/>
      </rPr>
      <t>)</t>
    </r>
  </si>
  <si>
    <r>
      <t>EDRO</t>
    </r>
    <r>
      <rPr>
        <vertAlign val="subscript"/>
        <sz val="10"/>
        <color theme="1"/>
        <rFont val="Verdana"/>
        <family val="2"/>
      </rPr>
      <t>t</t>
    </r>
  </si>
  <si>
    <t>For the Relevant Year beginning on 1 April 2015</t>
  </si>
  <si>
    <t>For Relevant Years beginning on or after 1 April 2016</t>
  </si>
  <si>
    <t>Business rates payments (SC 3B.6)</t>
  </si>
  <si>
    <t>Temporary physical disconnection costs incurred (SC 3B.10)</t>
  </si>
  <si>
    <t>For 2013/14 &amp; 2014/15:</t>
  </si>
  <si>
    <t>For 2015/16:</t>
  </si>
  <si>
    <t>Sum NIA over 8 years</t>
  </si>
  <si>
    <t>2014 -2021</t>
  </si>
  <si>
    <t>Sum BR over 8 years</t>
  </si>
  <si>
    <t>Network Innovation Competition</t>
  </si>
  <si>
    <t>NICF</t>
  </si>
  <si>
    <t>Licence Condition 3H and 3I</t>
  </si>
  <si>
    <t>Excluded Services (inc. Connections Contributions and diversion activities)</t>
  </si>
  <si>
    <t>Stakeholder Satisfaction Target</t>
  </si>
  <si>
    <t>SST</t>
  </si>
  <si>
    <t>Score</t>
  </si>
  <si>
    <t>Stakeholder Satisfaction Survey cap</t>
  </si>
  <si>
    <t>SSCAP</t>
  </si>
  <si>
    <t>Stakeholder Satisfaction Survey collar</t>
  </si>
  <si>
    <t>SSCOL</t>
  </si>
  <si>
    <t>Stakeholder Satisfaction Survey upside adj</t>
  </si>
  <si>
    <t>SSUPA</t>
  </si>
  <si>
    <t xml:space="preserve">Stakeholder Satisfaction Survey downside </t>
  </si>
  <si>
    <t>SSDPA</t>
  </si>
  <si>
    <t>Stakeholder Satisfaction Survey Proportion</t>
  </si>
  <si>
    <t>SSPRO</t>
  </si>
  <si>
    <t>SERLIMIT</t>
  </si>
  <si>
    <t>-</t>
  </si>
  <si>
    <t>Key Performance Indicator Target</t>
  </si>
  <si>
    <t>SKPIT</t>
  </si>
  <si>
    <t>Key Performance Indicator cap</t>
  </si>
  <si>
    <t>SKPICAP</t>
  </si>
  <si>
    <t>Key Performance Indicator upside adj</t>
  </si>
  <si>
    <t>SKPIUPA</t>
  </si>
  <si>
    <t>Key Performance Indicator collar</t>
  </si>
  <si>
    <t>SKPICOL</t>
  </si>
  <si>
    <t xml:space="preserve">Key Performance Indicator downside </t>
  </si>
  <si>
    <t>SKPIDPA</t>
  </si>
  <si>
    <t>Key Performance Indicator Proportion</t>
  </si>
  <si>
    <t>SKPIPRO</t>
  </si>
  <si>
    <t>External Assurance of Stakeholder Engagement Proportion</t>
  </si>
  <si>
    <t>SEAPRO</t>
  </si>
  <si>
    <t>Revenue adjustment factor - External Assurance of Stakeholder Engagement</t>
  </si>
  <si>
    <t>SKPIC</t>
  </si>
  <si>
    <t>Proportion</t>
  </si>
  <si>
    <r>
      <t>SS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</si>
  <si>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(SC 3D.11)</t>
  </si>
  <si>
    <t>Stakeholder Satisfaction Survey score</t>
  </si>
  <si>
    <r>
      <t>SKPI</t>
    </r>
    <r>
      <rPr>
        <b/>
        <vertAlign val="subscript"/>
        <sz val="10"/>
        <rFont val="Verdana"/>
        <family val="2"/>
      </rPr>
      <t>t-2</t>
    </r>
    <r>
      <rPr>
        <b/>
        <sz val="10"/>
        <rFont val="Verdana"/>
        <family val="2"/>
      </rPr>
      <t xml:space="preserve"> calculation</t>
    </r>
  </si>
  <si>
    <t>Key Performance Indicator score</t>
  </si>
  <si>
    <t>Adjustment</t>
  </si>
  <si>
    <t>- Template set up for 2016/17 RIGs Consultation
- Added MOD value from AIP 2016.
- 2012/13 RPIF input  unrounded so that the correct TRU and SOTRU terms are calculated for inclusion in the 2013/14 revenue calculation</t>
  </si>
  <si>
    <t>4.0.1</t>
  </si>
  <si>
    <t>Added the following for 16/17 in R5 input page:
- RPI Indices: 264.992
- GRPIFc 2016 row
- Average specified rate: 0.34%
- Corporation Tax Rate: 20%</t>
  </si>
  <si>
    <t>Post Decision</t>
  </si>
  <si>
    <t>Populated with historic data.</t>
  </si>
  <si>
    <t>£m/MWh</t>
  </si>
  <si>
    <t>Commercial Customers off supply &gt;6 hrs</t>
  </si>
  <si>
    <r>
      <t>SSI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= ((SSPRO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* 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+ (SKPIPRO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* 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 + (SEAPRO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* SEA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>)) x (BR</t>
    </r>
    <r>
      <rPr>
        <vertAlign val="subscript"/>
        <sz val="12"/>
        <rFont val="Times New Roman"/>
        <family val="1"/>
      </rPr>
      <t xml:space="preserve">t-2 </t>
    </r>
    <r>
      <rPr>
        <sz val="12"/>
        <rFont val="Times New Roman"/>
        <family val="1"/>
      </rPr>
      <t>+ TIRG</t>
    </r>
    <r>
      <rPr>
        <vertAlign val="subscript"/>
        <sz val="11"/>
        <rFont val="Times New Roman"/>
        <family val="1"/>
      </rPr>
      <t>t-2</t>
    </r>
    <r>
      <rPr>
        <sz val="12"/>
        <rFont val="Times New Roman"/>
        <family val="1"/>
      </rPr>
      <t>) * 0.01</t>
    </r>
  </si>
  <si>
    <t>£m/tonne</t>
  </si>
  <si>
    <t>FTIRGC1</t>
  </si>
  <si>
    <t>FTIRGDepn1</t>
  </si>
  <si>
    <t>Depn2</t>
  </si>
  <si>
    <t>ETIRG2</t>
  </si>
  <si>
    <t>ETIRGORAV2</t>
  </si>
  <si>
    <t>Source: RPIF Calculation</t>
  </si>
  <si>
    <t>.</t>
  </si>
  <si>
    <t>Unrecoverable NIA</t>
  </si>
  <si>
    <r>
      <t>If SSC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SST:</t>
    </r>
  </si>
  <si>
    <r>
      <t>If SSC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SST:</t>
    </r>
  </si>
  <si>
    <r>
      <t>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min (SSUPA, SSUPA × [(SSC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 xml:space="preserve"> − SST) / (SSCAP − SST)])</t>
    </r>
  </si>
  <si>
    <r>
      <t>If SKPIC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&gt; SKPIT:</t>
    </r>
  </si>
  <si>
    <r>
      <t>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min (SKPIUPA, SSKPIUPA × [(SKPIC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 xml:space="preserve"> − SKPIT) / (SKPICAP − SKPIT)])</t>
    </r>
  </si>
  <si>
    <r>
      <t>If SKPIC</t>
    </r>
    <r>
      <rPr>
        <vertAlign val="subscript"/>
        <sz val="12"/>
        <color theme="1"/>
        <rFont val="Times New Roman"/>
        <family val="1"/>
      </rPr>
      <t>t-2</t>
    </r>
    <r>
      <rPr>
        <sz val="12"/>
        <color theme="1"/>
        <rFont val="Times New Roman"/>
        <family val="1"/>
      </rPr>
      <t xml:space="preserve"> &lt; SKPIT:</t>
    </r>
  </si>
  <si>
    <r>
      <t>SKPI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max (SKPIDPA, SKPIDPA × [(SKPIT - SKPIC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>) / (SKPIT - SKPICOL)])</t>
    </r>
  </si>
  <si>
    <r>
      <t>SS</t>
    </r>
    <r>
      <rPr>
        <vertAlign val="subscript"/>
        <sz val="12"/>
        <rFont val="Times New Roman"/>
        <family val="1"/>
      </rPr>
      <t>t-2</t>
    </r>
    <r>
      <rPr>
        <sz val="12"/>
        <rFont val="Times New Roman"/>
        <family val="1"/>
      </rPr>
      <t xml:space="preserve"> = max (SSDPA, SSDPA × [(SST - SSC</t>
    </r>
    <r>
      <rPr>
        <vertAlign val="subscript"/>
        <sz val="12"/>
        <rFont val="Times New Roman"/>
        <family val="1"/>
      </rPr>
      <t>t−2</t>
    </r>
    <r>
      <rPr>
        <sz val="12"/>
        <rFont val="Times New Roman"/>
        <family val="1"/>
      </rPr>
      <t>) / (SST - SSCOL)])</t>
    </r>
  </si>
  <si>
    <t>v2</t>
  </si>
  <si>
    <r>
      <t>- 2017-18 template set up for RIGS Consultation.
- Added the following for 17/18 in R5 input page:
    - RPI Indices: 274.056 (provisionary)    
    - GRPIFc 2017 row
    - MOD: 52.688</t>
    </r>
    <r>
      <rPr>
        <b/>
        <sz val="10"/>
        <color rgb="FFFF0000"/>
        <rFont val="Verdana"/>
        <family val="2"/>
      </rPr>
      <t xml:space="preserve">
</t>
    </r>
    <r>
      <rPr>
        <sz val="10"/>
        <rFont val="Verdana"/>
        <family val="2"/>
      </rPr>
      <t xml:space="preserve">    - WACC: 3.98%
    - Average specified rate: 0.35%
    - Corporation Tax Rate: 19%</t>
    </r>
    <r>
      <rPr>
        <b/>
        <sz val="10"/>
        <color rgb="FFFF0000"/>
        <rFont val="Verdana"/>
        <family val="2"/>
      </rPr>
      <t xml:space="preserve">
</t>
    </r>
    <r>
      <rPr>
        <sz val="10"/>
        <rFont val="Verdana"/>
        <family val="2"/>
      </rPr>
      <t>- Tab 4: rescaled coefficients in cells F31, F32 (dividing by 100).
- Tab 4: revised units of measure label (cell C48 from "£m" to "Factor"). 
- Tab 5: amended 2019-2021 RPI indices in cells K11:M11 (assuming 2.8% inflation rate from final proposals).
- Tab 5: revised 2015-2017 and 2019-2021</t>
    </r>
    <r>
      <rPr>
        <sz val="10"/>
        <color rgb="FFFF0000"/>
        <rFont val="Verdana"/>
        <family val="2"/>
      </rPr>
      <t xml:space="preserve"> </t>
    </r>
    <r>
      <rPr>
        <sz val="10"/>
        <rFont val="Verdana"/>
        <family val="2"/>
      </rPr>
      <t>WACC values in cells G46:I46 and K46:M46 (source: 2017 AIP PCFM).
- Tab 5: revised label (cell A113, from "Recovered NIA" to "Unrecoverable NIA").
- Tab 8: formula inconsistency in cell H27. Copied and pasted formula from adjacent cell.
- Tab 8: formulae missing in cells I109:M109. Copied and pasted formula from adjacent cell.
- Tab 8: revised link in cell F37 (2012/13 Base Revenue).
- Tab 8: revised unit of measure labels (cell C21 from "£/MWh" to "£m/MWh", cell C112 from "£/tonne" to "£m/tonne").
- Tab 8: replaced Base Leakage hardcoded values (cells F187:M187) with links to corresponding input cells in Licence Condition Values sheet.
- Tab 9: revised label (cell A14, from "Recovered NIA" to "Unrecoverable NIA").
- Corrected typos, inserted missing item labels, units of measures and named ranges.</t>
    </r>
  </si>
  <si>
    <t xml:space="preserve">This workbook incoporates the detailed and forecast returns referred to in Standard Condition 15 of the Electricity Transmission Licence.  
</t>
  </si>
  <si>
    <t>v3</t>
  </si>
  <si>
    <t>- Tab 5: updated GRPIF value for 2018 in cell J21, reflecting revised HMT November 2017 forecast publication.</t>
  </si>
  <si>
    <t>v4</t>
  </si>
  <si>
    <t>- 2018-19 template set up for RIGS Consultation.
- Added the following for 18/19 in R5 input page:
    - RPI Indices
    - GRPIFc 2018 row
    - WACC
    - Average specified rate
    - Corporation Tax Rate</t>
  </si>
  <si>
    <t>Regulatory Year ending 31 March 2019</t>
  </si>
  <si>
    <t xml:space="preserve"> [Reported in RFPR, not required for 2018-19 reporting]</t>
  </si>
  <si>
    <t>R12 Maximum allowed revenue summary</t>
  </si>
  <si>
    <t>R14 - At top of R14 tab added "[Reported in RFPR, not required for 2018-19 reporting]"</t>
  </si>
  <si>
    <t>v5</t>
  </si>
  <si>
    <t>R5 - Input Tab - MOD values rounded to 3dp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</si>
</sst>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_-* #,##0.000_-;\-* #,##0.000_-;_-* &quot;-&quot;??_-;_-@_-"/>
    <numFmt numFmtId="166" formatCode="_-* #,##0.00\ _D_M_-;\-* #,##0.00\ _D_M_-;_-* &quot;-&quot;??\ _D_M_-;_-@_-"/>
    <numFmt numFmtId="167" formatCode="#,##0.000"/>
    <numFmt numFmtId="168" formatCode="0.000"/>
    <numFmt numFmtId="169" formatCode="#,##0.00;[Red]\-#,##0.00;0.00"/>
    <numFmt numFmtId="170" formatCode="#,##0.00;[Red]\-#,##0.00;\-"/>
    <numFmt numFmtId="171" formatCode="#,##0.000;[Red]\-#,##0.000;\-"/>
    <numFmt numFmtId="172" formatCode="0.0%"/>
    <numFmt numFmtId="173" formatCode="#,##0.000;[Red]\-#,##0.000;0.000"/>
    <numFmt numFmtId="174" formatCode="#,##0;[Red]\-#,##0;\-"/>
    <numFmt numFmtId="175" formatCode="_-* #,##0.0_-;\-* #,##0.0_-;_-* &quot;-&quot;??_-;_-@_-"/>
    <numFmt numFmtId="176" formatCode="0.000_ ;[Red]\-0.000\ "/>
    <numFmt numFmtId="177" formatCode="_-* #,##0.000_-;\-* #,##0.000_-;_-* &quot;-&quot;???_-;_-@_-"/>
    <numFmt numFmtId="178" formatCode="0.000%"/>
    <numFmt numFmtId="179" formatCode="#,##0.000_ ;[Red]\-#,##0.000\ "/>
    <numFmt numFmtId="180" formatCode="_(* #,##0.000_);_(* \(#,##0.000\);_(* &quot;-&quot;??_);_(@_)"/>
    <numFmt numFmtId="181" formatCode="0.0"/>
    <numFmt numFmtId="182" formatCode="0.0000"/>
    <numFmt numFmtId="183" formatCode="0.00000"/>
  </numFmts>
  <fonts count="9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1"/>
      <name val="CG Omega"/>
      <family val="2"/>
    </font>
    <font>
      <sz val="11"/>
      <name val="Verdana"/>
      <family val="2"/>
    </font>
    <font>
      <b/>
      <sz val="16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11"/>
      <color rgb="FF92D05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Verdana"/>
      <family val="2"/>
    </font>
    <font>
      <vertAlign val="subscript"/>
      <sz val="11"/>
      <color theme="1"/>
      <name val="Verdana"/>
      <family val="2"/>
    </font>
    <font>
      <sz val="22"/>
      <color rgb="FF00B050"/>
      <name val="Verdana"/>
      <family val="2"/>
    </font>
    <font>
      <sz val="10"/>
      <color rgb="FF0070C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Helv"/>
    </font>
    <font>
      <sz val="10"/>
      <name val="CG Omeg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  <font>
      <sz val="18"/>
      <color rgb="FFFF0000"/>
      <name val="Verdana"/>
      <family val="2"/>
    </font>
    <font>
      <b/>
      <sz val="14"/>
      <color theme="1"/>
      <name val="Verdana"/>
      <family val="2"/>
    </font>
    <font>
      <b/>
      <sz val="11"/>
      <name val="Arial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color theme="5" tint="0.39997558519241921"/>
      <name val="Verdana"/>
      <family val="2"/>
    </font>
    <font>
      <b/>
      <sz val="11"/>
      <color theme="1"/>
      <name val="Verdana"/>
      <family val="2"/>
    </font>
    <font>
      <vertAlign val="subscript"/>
      <sz val="10"/>
      <color theme="1"/>
      <name val="Verdana"/>
      <family val="2"/>
    </font>
    <font>
      <vertAlign val="subscript"/>
      <sz val="10"/>
      <color rgb="FFFF0000"/>
      <name val="Verdana"/>
      <family val="2"/>
    </font>
    <font>
      <b/>
      <vertAlign val="subscript"/>
      <sz val="10"/>
      <color theme="1"/>
      <name val="Verdana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vertAlign val="subscript"/>
      <sz val="10"/>
      <name val="Verdana"/>
      <family val="2"/>
    </font>
    <font>
      <b/>
      <u/>
      <sz val="11"/>
      <name val="Verdana"/>
      <family val="2"/>
    </font>
    <font>
      <u/>
      <sz val="12"/>
      <color rgb="FF008080"/>
      <name val="Times New Roman"/>
      <family val="1"/>
    </font>
    <font>
      <sz val="10"/>
      <color rgb="FF00B0F0"/>
      <name val="Verdana"/>
      <family val="2"/>
    </font>
    <font>
      <b/>
      <sz val="11"/>
      <name val="Calibri"/>
      <family val="2"/>
      <scheme val="minor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i/>
      <sz val="9"/>
      <name val="Arial"/>
      <family val="2"/>
    </font>
    <font>
      <sz val="10"/>
      <color rgb="FFFF33CC"/>
      <name val="Verdana"/>
      <family val="2"/>
    </font>
    <font>
      <sz val="8"/>
      <name val="Verdana"/>
      <family val="2"/>
    </font>
    <font>
      <b/>
      <sz val="12"/>
      <color theme="1"/>
      <name val="Times New Roman"/>
      <family val="1"/>
    </font>
    <font>
      <b/>
      <sz val="9"/>
      <color theme="1"/>
      <name val="Verdana"/>
      <family val="2"/>
    </font>
    <font>
      <b/>
      <u/>
      <sz val="10"/>
      <color theme="1"/>
      <name val="Verdana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9"/>
      <color theme="1"/>
      <name val="Times New Roman"/>
      <family val="1"/>
    </font>
    <font>
      <b/>
      <u/>
      <sz val="12"/>
      <name val="Arial"/>
      <family val="2"/>
    </font>
    <font>
      <sz val="10"/>
      <color rgb="FFFF3399"/>
      <name val="Verdana"/>
      <family val="2"/>
    </font>
    <font>
      <vertAlign val="subscript"/>
      <sz val="11"/>
      <name val="Times New Roman"/>
      <family val="1"/>
    </font>
    <font>
      <b/>
      <vertAlign val="subscript"/>
      <sz val="10"/>
      <name val="Verdana"/>
      <family val="2"/>
    </font>
    <font>
      <sz val="11"/>
      <color theme="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Verdana"/>
      <family val="2"/>
    </font>
    <font>
      <sz val="12"/>
      <color rgb="FFFF0000"/>
      <name val="Verdana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CCCCFF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/>
    <xf numFmtId="0" fontId="28" fillId="0" borderId="0"/>
    <xf numFmtId="9" fontId="29" fillId="0" borderId="0" applyFont="0" applyFill="0" applyBorder="0" applyAlignment="0" applyProtection="0"/>
    <xf numFmtId="4" fontId="30" fillId="17" borderId="8" applyNumberFormat="0" applyProtection="0">
      <alignment vertical="center"/>
    </xf>
    <xf numFmtId="4" fontId="31" fillId="17" borderId="8" applyNumberFormat="0" applyProtection="0">
      <alignment vertical="center"/>
    </xf>
    <xf numFmtId="4" fontId="30" fillId="17" borderId="8" applyNumberFormat="0" applyProtection="0">
      <alignment horizontal="left" vertical="center" indent="1"/>
    </xf>
    <xf numFmtId="0" fontId="30" fillId="17" borderId="8" applyNumberFormat="0" applyProtection="0">
      <alignment horizontal="left" vertical="top" indent="1"/>
    </xf>
    <xf numFmtId="4" fontId="30" fillId="18" borderId="0" applyNumberFormat="0" applyProtection="0">
      <alignment horizontal="left" vertical="center" indent="1"/>
    </xf>
    <xf numFmtId="4" fontId="32" fillId="19" borderId="8" applyNumberFormat="0" applyProtection="0">
      <alignment horizontal="right" vertical="center"/>
    </xf>
    <xf numFmtId="4" fontId="32" fillId="20" borderId="8" applyNumberFormat="0" applyProtection="0">
      <alignment horizontal="right" vertical="center"/>
    </xf>
    <xf numFmtId="4" fontId="32" fillId="21" borderId="8" applyNumberFormat="0" applyProtection="0">
      <alignment horizontal="right" vertical="center"/>
    </xf>
    <xf numFmtId="4" fontId="32" fillId="22" borderId="8" applyNumberFormat="0" applyProtection="0">
      <alignment horizontal="right" vertical="center"/>
    </xf>
    <xf numFmtId="4" fontId="32" fillId="23" borderId="8" applyNumberFormat="0" applyProtection="0">
      <alignment horizontal="right" vertical="center"/>
    </xf>
    <xf numFmtId="4" fontId="32" fillId="24" borderId="8" applyNumberFormat="0" applyProtection="0">
      <alignment horizontal="right" vertical="center"/>
    </xf>
    <xf numFmtId="4" fontId="32" fillId="25" borderId="8" applyNumberFormat="0" applyProtection="0">
      <alignment horizontal="right" vertical="center"/>
    </xf>
    <xf numFmtId="4" fontId="32" fillId="26" borderId="8" applyNumberFormat="0" applyProtection="0">
      <alignment horizontal="right" vertical="center"/>
    </xf>
    <xf numFmtId="4" fontId="32" fillId="27" borderId="8" applyNumberFormat="0" applyProtection="0">
      <alignment horizontal="right" vertical="center"/>
    </xf>
    <xf numFmtId="4" fontId="30" fillId="28" borderId="9" applyNumberFormat="0" applyProtection="0">
      <alignment horizontal="left" vertical="center" indent="1"/>
    </xf>
    <xf numFmtId="4" fontId="32" fillId="29" borderId="0" applyNumberFormat="0" applyProtection="0">
      <alignment horizontal="left" vertical="center" indent="1"/>
    </xf>
    <xf numFmtId="4" fontId="33" fillId="30" borderId="0" applyNumberFormat="0" applyProtection="0">
      <alignment horizontal="left" vertical="center" indent="1"/>
    </xf>
    <xf numFmtId="4" fontId="32" fillId="18" borderId="8" applyNumberFormat="0" applyProtection="0">
      <alignment horizontal="right" vertical="center"/>
    </xf>
    <xf numFmtId="4" fontId="32" fillId="29" borderId="0" applyNumberFormat="0" applyProtection="0">
      <alignment horizontal="left" vertical="center" indent="1"/>
    </xf>
    <xf numFmtId="4" fontId="32" fillId="18" borderId="0" applyNumberFormat="0" applyProtection="0">
      <alignment horizontal="left" vertical="center" indent="1"/>
    </xf>
    <xf numFmtId="0" fontId="2" fillId="30" borderId="8" applyNumberFormat="0" applyProtection="0">
      <alignment horizontal="left" vertical="center" indent="1"/>
    </xf>
    <xf numFmtId="0" fontId="2" fillId="30" borderId="8" applyNumberFormat="0" applyProtection="0">
      <alignment horizontal="left" vertical="top" indent="1"/>
    </xf>
    <xf numFmtId="0" fontId="2" fillId="18" borderId="8" applyNumberFormat="0" applyProtection="0">
      <alignment horizontal="left" vertical="center" indent="1"/>
    </xf>
    <xf numFmtId="0" fontId="2" fillId="18" borderId="8" applyNumberFormat="0" applyProtection="0">
      <alignment horizontal="left" vertical="top" indent="1"/>
    </xf>
    <xf numFmtId="0" fontId="2" fillId="31" borderId="8" applyNumberFormat="0" applyProtection="0">
      <alignment horizontal="left" vertical="center" indent="1"/>
    </xf>
    <xf numFmtId="0" fontId="2" fillId="31" borderId="8" applyNumberFormat="0" applyProtection="0">
      <alignment horizontal="left" vertical="top" indent="1"/>
    </xf>
    <xf numFmtId="0" fontId="2" fillId="29" borderId="8" applyNumberFormat="0" applyProtection="0">
      <alignment horizontal="left" vertical="center" indent="1"/>
    </xf>
    <xf numFmtId="0" fontId="2" fillId="29" borderId="8" applyNumberFormat="0" applyProtection="0">
      <alignment horizontal="left" vertical="top" indent="1"/>
    </xf>
    <xf numFmtId="0" fontId="2" fillId="32" borderId="1" applyNumberFormat="0">
      <protection locked="0"/>
    </xf>
    <xf numFmtId="4" fontId="32" fillId="33" borderId="8" applyNumberFormat="0" applyProtection="0">
      <alignment vertical="center"/>
    </xf>
    <xf numFmtId="4" fontId="34" fillId="33" borderId="8" applyNumberFormat="0" applyProtection="0">
      <alignment vertical="center"/>
    </xf>
    <xf numFmtId="4" fontId="32" fillId="33" borderId="8" applyNumberFormat="0" applyProtection="0">
      <alignment horizontal="left" vertical="center" indent="1"/>
    </xf>
    <xf numFmtId="0" fontId="32" fillId="33" borderId="8" applyNumberFormat="0" applyProtection="0">
      <alignment horizontal="left" vertical="top" indent="1"/>
    </xf>
    <xf numFmtId="4" fontId="32" fillId="29" borderId="8" applyNumberFormat="0" applyProtection="0">
      <alignment horizontal="right" vertical="center"/>
    </xf>
    <xf numFmtId="4" fontId="34" fillId="29" borderId="8" applyNumberFormat="0" applyProtection="0">
      <alignment horizontal="right" vertical="center"/>
    </xf>
    <xf numFmtId="4" fontId="32" fillId="18" borderId="8" applyNumberFormat="0" applyProtection="0">
      <alignment horizontal="left" vertical="center" indent="1"/>
    </xf>
    <xf numFmtId="0" fontId="32" fillId="18" borderId="8" applyNumberFormat="0" applyProtection="0">
      <alignment horizontal="left" vertical="top" indent="1"/>
    </xf>
    <xf numFmtId="4" fontId="35" fillId="34" borderId="0" applyNumberFormat="0" applyProtection="0">
      <alignment horizontal="left" vertical="center" indent="1"/>
    </xf>
    <xf numFmtId="4" fontId="36" fillId="29" borderId="8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9" fontId="47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7" fillId="47" borderId="0" applyNumberFormat="0" applyBorder="0" applyAlignment="0" applyProtection="0"/>
    <xf numFmtId="0" fontId="78" fillId="49" borderId="14" applyNumberFormat="0" applyAlignment="0" applyProtection="0"/>
    <xf numFmtId="0" fontId="79" fillId="46" borderId="0" applyNumberFormat="0" applyBorder="0" applyAlignment="0" applyProtection="0"/>
    <xf numFmtId="0" fontId="80" fillId="48" borderId="0" applyNumberFormat="0" applyBorder="0" applyAlignment="0" applyProtection="0"/>
  </cellStyleXfs>
  <cellXfs count="417">
    <xf numFmtId="0" fontId="0" fillId="0" borderId="0" xfId="0"/>
    <xf numFmtId="0" fontId="11" fillId="0" borderId="0" xfId="0" applyFont="1"/>
    <xf numFmtId="0" fontId="20" fillId="0" borderId="0" xfId="0" applyFont="1"/>
    <xf numFmtId="0" fontId="9" fillId="0" borderId="0" xfId="31" applyFont="1" applyBorder="1" applyProtection="1">
      <protection locked="0"/>
    </xf>
    <xf numFmtId="0" fontId="41" fillId="36" borderId="0" xfId="0" applyFont="1" applyFill="1" applyProtection="1"/>
    <xf numFmtId="0" fontId="29" fillId="36" borderId="0" xfId="0" applyFont="1" applyFill="1" applyProtection="1"/>
    <xf numFmtId="0" fontId="42" fillId="36" borderId="0" xfId="0" applyFont="1" applyFill="1" applyProtection="1"/>
    <xf numFmtId="0" fontId="29" fillId="36" borderId="0" xfId="0" applyFont="1" applyFill="1" applyAlignment="1" applyProtection="1">
      <alignment horizontal="center"/>
    </xf>
    <xf numFmtId="0" fontId="43" fillId="36" borderId="0" xfId="0" applyFont="1" applyFill="1" applyProtection="1"/>
    <xf numFmtId="0" fontId="29" fillId="0" borderId="0" xfId="0" applyFont="1" applyProtection="1"/>
    <xf numFmtId="0" fontId="29" fillId="36" borderId="0" xfId="0" applyFont="1" applyFill="1" applyBorder="1" applyProtection="1"/>
    <xf numFmtId="0" fontId="44" fillId="36" borderId="0" xfId="0" applyFont="1" applyFill="1" applyBorder="1" applyProtection="1"/>
    <xf numFmtId="0" fontId="44" fillId="36" borderId="0" xfId="0" applyFont="1" applyFill="1" applyBorder="1" applyAlignment="1" applyProtection="1">
      <alignment horizontal="center"/>
    </xf>
    <xf numFmtId="17" fontId="44" fillId="36" borderId="0" xfId="0" quotePrefix="1" applyNumberFormat="1" applyFont="1" applyFill="1" applyBorder="1" applyProtection="1"/>
    <xf numFmtId="0" fontId="29" fillId="36" borderId="0" xfId="0" applyFont="1" applyFill="1" applyBorder="1" applyAlignment="1" applyProtection="1">
      <alignment vertical="center" wrapText="1"/>
    </xf>
    <xf numFmtId="0" fontId="29" fillId="36" borderId="0" xfId="0" applyFont="1" applyFill="1" applyBorder="1" applyAlignment="1" applyProtection="1">
      <alignment horizontal="center"/>
    </xf>
    <xf numFmtId="0" fontId="29" fillId="36" borderId="0" xfId="0" applyFont="1" applyFill="1" applyAlignment="1" applyProtection="1">
      <alignment wrapText="1"/>
    </xf>
    <xf numFmtId="169" fontId="29" fillId="35" borderId="1" xfId="73" applyNumberFormat="1" applyFont="1" applyFill="1" applyBorder="1" applyAlignment="1" applyProtection="1">
      <alignment horizontal="center" vertical="center"/>
    </xf>
    <xf numFmtId="169" fontId="29" fillId="37" borderId="1" xfId="74" applyNumberFormat="1" applyFont="1" applyFill="1" applyBorder="1" applyAlignment="1" applyProtection="1">
      <alignment horizontal="center" vertical="center"/>
    </xf>
    <xf numFmtId="169" fontId="29" fillId="38" borderId="1" xfId="0" applyNumberFormat="1" applyFont="1" applyFill="1" applyBorder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41" fillId="36" borderId="0" xfId="0" applyFont="1" applyFill="1"/>
    <xf numFmtId="0" fontId="29" fillId="36" borderId="0" xfId="0" applyFont="1" applyFill="1"/>
    <xf numFmtId="0" fontId="42" fillId="36" borderId="0" xfId="0" applyFont="1" applyFill="1"/>
    <xf numFmtId="0" fontId="29" fillId="36" borderId="0" xfId="0" applyFont="1" applyFill="1" applyAlignment="1">
      <alignment horizontal="center"/>
    </xf>
    <xf numFmtId="0" fontId="0" fillId="36" borderId="0" xfId="0" applyFont="1" applyFill="1"/>
    <xf numFmtId="0" fontId="0" fillId="36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1" fillId="36" borderId="0" xfId="0" applyFont="1" applyFill="1" applyAlignment="1">
      <alignment horizontal="center"/>
    </xf>
    <xf numFmtId="169" fontId="29" fillId="36" borderId="0" xfId="0" applyNumberFormat="1" applyFont="1" applyFill="1" applyBorder="1" applyAlignment="1" applyProtection="1">
      <alignment horizontal="center"/>
    </xf>
    <xf numFmtId="169" fontId="29" fillId="38" borderId="1" xfId="0" applyNumberFormat="1" applyFont="1" applyFill="1" applyBorder="1" applyAlignment="1" applyProtection="1">
      <alignment horizontal="left"/>
    </xf>
    <xf numFmtId="0" fontId="41" fillId="36" borderId="0" xfId="0" applyFont="1" applyFill="1" applyAlignment="1">
      <alignment vertical="top"/>
    </xf>
    <xf numFmtId="0" fontId="29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horizontal="center" vertical="top"/>
    </xf>
    <xf numFmtId="0" fontId="43" fillId="36" borderId="0" xfId="0" applyFont="1" applyFill="1" applyAlignment="1" applyProtection="1">
      <alignment vertical="top"/>
    </xf>
    <xf numFmtId="0" fontId="20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top" wrapText="1"/>
    </xf>
    <xf numFmtId="0" fontId="29" fillId="39" borderId="0" xfId="0" applyFont="1" applyFill="1" applyAlignment="1" applyProtection="1">
      <alignment vertical="top" wrapText="1"/>
    </xf>
    <xf numFmtId="0" fontId="29" fillId="0" borderId="0" xfId="0" applyFont="1" applyAlignment="1" applyProtection="1">
      <alignment vertical="top" wrapText="1"/>
    </xf>
    <xf numFmtId="0" fontId="4" fillId="36" borderId="0" xfId="0" applyFont="1" applyFill="1" applyAlignment="1" applyProtection="1">
      <alignment vertical="top"/>
    </xf>
    <xf numFmtId="0" fontId="4" fillId="36" borderId="0" xfId="0" applyFont="1" applyFill="1" applyAlignment="1" applyProtection="1">
      <alignment horizontal="center" vertical="top"/>
    </xf>
    <xf numFmtId="0" fontId="0" fillId="36" borderId="0" xfId="0" applyFont="1" applyFill="1" applyAlignment="1" applyProtection="1">
      <alignment horizontal="center" vertical="top"/>
    </xf>
    <xf numFmtId="0" fontId="29" fillId="36" borderId="0" xfId="0" applyFont="1" applyFill="1" applyBorder="1" applyAlignment="1" applyProtection="1">
      <alignment horizontal="center" vertical="top"/>
    </xf>
    <xf numFmtId="0" fontId="0" fillId="36" borderId="0" xfId="0" applyFont="1" applyFill="1" applyBorder="1" applyAlignment="1" applyProtection="1">
      <alignment horizontal="center" vertical="top"/>
    </xf>
    <xf numFmtId="0" fontId="48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</xf>
    <xf numFmtId="0" fontId="20" fillId="36" borderId="0" xfId="0" applyFont="1" applyFill="1" applyBorder="1" applyAlignment="1" applyProtection="1">
      <alignment horizontal="center" vertical="center" wrapText="1"/>
    </xf>
    <xf numFmtId="170" fontId="29" fillId="37" borderId="1" xfId="74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 wrapText="1"/>
    </xf>
    <xf numFmtId="0" fontId="29" fillId="0" borderId="0" xfId="0" applyFont="1" applyAlignment="1" applyProtection="1">
      <alignment horizontal="center" vertical="center" wrapText="1"/>
    </xf>
    <xf numFmtId="0" fontId="50" fillId="36" borderId="0" xfId="0" applyFont="1" applyFill="1"/>
    <xf numFmtId="0" fontId="29" fillId="0" borderId="0" xfId="0" applyFont="1"/>
    <xf numFmtId="0" fontId="2" fillId="0" borderId="0" xfId="0" applyFont="1"/>
    <xf numFmtId="0" fontId="1" fillId="36" borderId="0" xfId="0" applyFont="1" applyFill="1" applyAlignment="1" applyProtection="1">
      <alignment vertical="top"/>
    </xf>
    <xf numFmtId="0" fontId="53" fillId="36" borderId="0" xfId="0" applyFont="1" applyFill="1" applyAlignment="1" applyProtection="1">
      <alignment vertical="top"/>
    </xf>
    <xf numFmtId="0" fontId="0" fillId="36" borderId="0" xfId="0" applyFill="1" applyAlignment="1" applyProtection="1">
      <alignment vertical="top"/>
    </xf>
    <xf numFmtId="169" fontId="55" fillId="40" borderId="1" xfId="0" applyNumberFormat="1" applyFont="1" applyFill="1" applyBorder="1" applyAlignment="1" applyProtection="1">
      <alignment horizontal="center"/>
    </xf>
    <xf numFmtId="0" fontId="0" fillId="36" borderId="0" xfId="0" applyFill="1" applyAlignment="1" applyProtection="1">
      <alignment horizontal="center" vertical="top"/>
    </xf>
    <xf numFmtId="0" fontId="44" fillId="0" borderId="0" xfId="0" applyFont="1"/>
    <xf numFmtId="170" fontId="29" fillId="0" borderId="0" xfId="74" applyNumberFormat="1" applyFont="1" applyFill="1" applyBorder="1" applyAlignment="1" applyProtection="1">
      <alignment horizontal="center" vertical="center"/>
      <protection locked="0"/>
    </xf>
    <xf numFmtId="169" fontId="29" fillId="35" borderId="1" xfId="73" applyNumberFormat="1" applyFont="1" applyFill="1" applyBorder="1" applyAlignment="1" applyProtection="1">
      <alignment horizontal="right" vertical="center"/>
    </xf>
    <xf numFmtId="168" fontId="9" fillId="2" borderId="1" xfId="31" applyNumberFormat="1" applyFont="1" applyFill="1" applyBorder="1" applyAlignment="1" applyProtection="1">
      <alignment horizontal="right" wrapText="1"/>
      <protection locked="0"/>
    </xf>
    <xf numFmtId="172" fontId="29" fillId="43" borderId="0" xfId="76" applyNumberFormat="1" applyFont="1" applyFill="1" applyBorder="1" applyAlignment="1" applyProtection="1">
      <alignment horizontal="center" vertical="top"/>
    </xf>
    <xf numFmtId="0" fontId="65" fillId="43" borderId="0" xfId="0" applyFont="1" applyFill="1"/>
    <xf numFmtId="164" fontId="65" fillId="43" borderId="0" xfId="0" applyNumberFormat="1" applyFont="1" applyFill="1" applyBorder="1"/>
    <xf numFmtId="170" fontId="65" fillId="37" borderId="1" xfId="74" applyNumberFormat="1" applyFont="1" applyFill="1" applyBorder="1" applyAlignment="1" applyProtection="1">
      <alignment horizontal="center" vertical="center"/>
      <protection locked="0"/>
    </xf>
    <xf numFmtId="0" fontId="65" fillId="36" borderId="0" xfId="0" applyFont="1" applyFill="1" applyBorder="1" applyProtection="1"/>
    <xf numFmtId="171" fontId="29" fillId="44" borderId="1" xfId="0" applyNumberFormat="1" applyFont="1" applyFill="1" applyBorder="1" applyAlignment="1" applyProtection="1">
      <alignment horizontal="center" vertical="top"/>
    </xf>
    <xf numFmtId="176" fontId="29" fillId="44" borderId="1" xfId="0" applyNumberFormat="1" applyFont="1" applyFill="1" applyBorder="1" applyAlignment="1" applyProtection="1">
      <alignment horizontal="center" vertical="top"/>
    </xf>
    <xf numFmtId="174" fontId="29" fillId="44" borderId="1" xfId="0" applyNumberFormat="1" applyFont="1" applyFill="1" applyBorder="1" applyAlignment="1" applyProtection="1">
      <alignment horizontal="center" vertical="top"/>
    </xf>
    <xf numFmtId="172" fontId="29" fillId="44" borderId="1" xfId="76" applyNumberFormat="1" applyFont="1" applyFill="1" applyBorder="1" applyAlignment="1" applyProtection="1">
      <alignment horizontal="center" vertical="top"/>
    </xf>
    <xf numFmtId="168" fontId="29" fillId="44" borderId="1" xfId="0" applyNumberFormat="1" applyFont="1" applyFill="1" applyBorder="1" applyAlignment="1" applyProtection="1">
      <alignment horizontal="center" vertical="top"/>
    </xf>
    <xf numFmtId="10" fontId="29" fillId="44" borderId="1" xfId="76" applyNumberFormat="1" applyFont="1" applyFill="1" applyBorder="1" applyAlignment="1" applyProtection="1">
      <alignment horizontal="center" vertical="center"/>
      <protection locked="0"/>
    </xf>
    <xf numFmtId="171" fontId="29" fillId="44" borderId="1" xfId="74" applyNumberFormat="1" applyFont="1" applyFill="1" applyBorder="1" applyAlignment="1" applyProtection="1">
      <alignment horizontal="center" vertical="center"/>
      <protection locked="0"/>
    </xf>
    <xf numFmtId="170" fontId="29" fillId="44" borderId="1" xfId="74" applyNumberFormat="1" applyFont="1" applyFill="1" applyBorder="1" applyAlignment="1" applyProtection="1">
      <alignment horizontal="center" vertical="center"/>
      <protection locked="0"/>
    </xf>
    <xf numFmtId="169" fontId="29" fillId="44" borderId="1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29" fillId="36" borderId="0" xfId="0" applyFont="1" applyFill="1" applyAlignment="1" applyProtection="1">
      <alignment vertical="center" wrapText="1"/>
    </xf>
    <xf numFmtId="0" fontId="68" fillId="0" borderId="0" xfId="0" applyFont="1" applyAlignment="1">
      <alignment horizontal="center"/>
    </xf>
    <xf numFmtId="14" fontId="29" fillId="38" borderId="1" xfId="0" applyNumberFormat="1" applyFont="1" applyFill="1" applyBorder="1" applyAlignment="1" applyProtection="1">
      <alignment horizontal="center"/>
    </xf>
    <xf numFmtId="0" fontId="70" fillId="0" borderId="0" xfId="0" applyFont="1"/>
    <xf numFmtId="0" fontId="7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4" borderId="1" xfId="0" applyFont="1" applyFill="1" applyBorder="1"/>
    <xf numFmtId="0" fontId="69" fillId="0" borderId="0" xfId="0" applyFont="1"/>
    <xf numFmtId="0" fontId="2" fillId="0" borderId="0" xfId="0" applyFont="1" applyAlignment="1">
      <alignment horizontal="center"/>
    </xf>
    <xf numFmtId="168" fontId="29" fillId="44" borderId="1" xfId="76" applyNumberFormat="1" applyFont="1" applyFill="1" applyBorder="1" applyAlignment="1" applyProtection="1">
      <alignment horizontal="center" vertical="top"/>
    </xf>
    <xf numFmtId="164" fontId="29" fillId="44" borderId="1" xfId="0" applyNumberFormat="1" applyFont="1" applyFill="1" applyBorder="1"/>
    <xf numFmtId="0" fontId="29" fillId="43" borderId="0" xfId="0" applyFont="1" applyFill="1" applyAlignment="1" applyProtection="1">
      <alignment vertical="center" wrapText="1"/>
    </xf>
    <xf numFmtId="170" fontId="29" fillId="43" borderId="0" xfId="74" applyNumberFormat="1" applyFont="1" applyFill="1" applyBorder="1" applyAlignment="1" applyProtection="1">
      <alignment horizontal="center" vertical="center"/>
      <protection locked="0"/>
    </xf>
    <xf numFmtId="168" fontId="29" fillId="43" borderId="0" xfId="76" applyNumberFormat="1" applyFont="1" applyFill="1" applyBorder="1" applyAlignment="1" applyProtection="1">
      <alignment horizontal="center" vertical="top"/>
    </xf>
    <xf numFmtId="0" fontId="41" fillId="36" borderId="0" xfId="0" applyFont="1" applyFill="1" applyAlignment="1" applyProtection="1">
      <alignment vertical="center"/>
      <protection locked="0"/>
    </xf>
    <xf numFmtId="0" fontId="49" fillId="36" borderId="0" xfId="0" applyFont="1" applyFill="1" applyBorder="1" applyAlignment="1" applyProtection="1">
      <alignment horizontal="left" vertical="center"/>
      <protection locked="0"/>
    </xf>
    <xf numFmtId="0" fontId="29" fillId="36" borderId="0" xfId="0" applyFont="1" applyFill="1" applyAlignment="1" applyProtection="1">
      <alignment horizontal="center"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vertical="center" wrapText="1"/>
      <protection locked="0"/>
    </xf>
    <xf numFmtId="0" fontId="43" fillId="36" borderId="0" xfId="0" applyFont="1" applyFill="1" applyProtection="1"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4" fillId="36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44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Border="1" applyAlignment="1" applyProtection="1">
      <alignment vertical="center" wrapText="1"/>
      <protection locked="0"/>
    </xf>
    <xf numFmtId="0" fontId="20" fillId="36" borderId="0" xfId="0" applyFont="1" applyFill="1" applyAlignment="1" applyProtection="1">
      <alignment horizontal="center" vertical="center" wrapText="1"/>
      <protection locked="0"/>
    </xf>
    <xf numFmtId="0" fontId="20" fillId="36" borderId="0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vertical="center" wrapText="1"/>
      <protection locked="0"/>
    </xf>
    <xf numFmtId="0" fontId="44" fillId="36" borderId="0" xfId="0" applyFont="1" applyFill="1" applyAlignment="1" applyProtection="1">
      <alignment horizontal="center" vertical="center" wrapText="1"/>
      <protection locked="0"/>
    </xf>
    <xf numFmtId="0" fontId="44" fillId="36" borderId="0" xfId="0" applyFont="1" applyFill="1" applyBorder="1" applyAlignment="1" applyProtection="1">
      <alignment horizontal="center" vertical="center" wrapText="1"/>
      <protection locked="0"/>
    </xf>
    <xf numFmtId="0" fontId="41" fillId="3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0" fillId="36" borderId="0" xfId="0" applyFill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53" fillId="36" borderId="0" xfId="0" applyFont="1" applyFill="1" applyAlignment="1" applyProtection="1">
      <alignment vertical="top"/>
      <protection locked="0"/>
    </xf>
    <xf numFmtId="0" fontId="65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top"/>
      <protection locked="0"/>
    </xf>
    <xf numFmtId="0" fontId="65" fillId="0" borderId="0" xfId="0" applyFont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/>
      <protection locked="0"/>
    </xf>
    <xf numFmtId="171" fontId="29" fillId="42" borderId="1" xfId="74" applyNumberFormat="1" applyFont="1" applyFill="1" applyBorder="1" applyAlignment="1" applyProtection="1">
      <alignment horizontal="center" vertical="center"/>
    </xf>
    <xf numFmtId="0" fontId="41" fillId="36" borderId="0" xfId="0" applyFont="1" applyFill="1" applyAlignment="1" applyProtection="1">
      <alignment vertical="top"/>
      <protection locked="0"/>
    </xf>
    <xf numFmtId="0" fontId="29" fillId="36" borderId="0" xfId="0" applyFont="1" applyFill="1" applyAlignment="1" applyProtection="1">
      <alignment horizontal="center" vertical="top"/>
      <protection locked="0"/>
    </xf>
    <xf numFmtId="0" fontId="43" fillId="36" borderId="0" xfId="0" applyFont="1" applyFill="1" applyAlignment="1" applyProtection="1">
      <alignment vertical="top"/>
      <protection locked="0"/>
    </xf>
    <xf numFmtId="0" fontId="21" fillId="0" borderId="0" xfId="0" applyFont="1" applyAlignment="1" applyProtection="1">
      <alignment horizontal="left" indent="4"/>
      <protection locked="0"/>
    </xf>
    <xf numFmtId="0" fontId="11" fillId="0" borderId="0" xfId="0" applyFont="1" applyFill="1" applyProtection="1">
      <protection locked="0"/>
    </xf>
    <xf numFmtId="0" fontId="29" fillId="0" borderId="0" xfId="0" applyFont="1" applyProtection="1">
      <protection locked="0"/>
    </xf>
    <xf numFmtId="0" fontId="19" fillId="0" borderId="0" xfId="0" applyFont="1" applyProtection="1">
      <protection locked="0"/>
    </xf>
    <xf numFmtId="164" fontId="0" fillId="40" borderId="1" xfId="0" applyNumberFormat="1" applyFill="1" applyBorder="1" applyProtection="1">
      <protection locked="0"/>
    </xf>
    <xf numFmtId="0" fontId="0" fillId="0" borderId="0" xfId="0" applyFont="1" applyProtection="1">
      <protection locked="0"/>
    </xf>
    <xf numFmtId="165" fontId="1" fillId="41" borderId="1" xfId="0" applyNumberFormat="1" applyFont="1" applyFill="1" applyBorder="1" applyProtection="1"/>
    <xf numFmtId="164" fontId="1" fillId="41" borderId="1" xfId="0" applyNumberFormat="1" applyFont="1" applyFill="1" applyBorder="1" applyProtection="1"/>
    <xf numFmtId="0" fontId="0" fillId="0" borderId="0" xfId="0" applyBorder="1" applyProtection="1">
      <protection locked="0"/>
    </xf>
    <xf numFmtId="0" fontId="51" fillId="0" borderId="0" xfId="0" applyFont="1" applyProtection="1">
      <protection locked="0"/>
    </xf>
    <xf numFmtId="164" fontId="29" fillId="40" borderId="1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5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66" fillId="0" borderId="1" xfId="0" applyFont="1" applyBorder="1" applyAlignment="1" applyProtection="1">
      <alignment horizontal="center"/>
      <protection locked="0"/>
    </xf>
    <xf numFmtId="0" fontId="67" fillId="0" borderId="0" xfId="0" applyFont="1" applyProtection="1">
      <protection locked="0"/>
    </xf>
    <xf numFmtId="0" fontId="68" fillId="0" borderId="0" xfId="0" applyFont="1" applyAlignment="1" applyProtection="1">
      <alignment horizontal="center"/>
      <protection locked="0"/>
    </xf>
    <xf numFmtId="168" fontId="2" fillId="40" borderId="1" xfId="0" applyNumberFormat="1" applyFont="1" applyFill="1" applyBorder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Protection="1">
      <protection locked="0"/>
    </xf>
    <xf numFmtId="0" fontId="56" fillId="0" borderId="0" xfId="0" applyFont="1" applyProtection="1">
      <protection locked="0"/>
    </xf>
    <xf numFmtId="172" fontId="0" fillId="40" borderId="1" xfId="76" applyNumberFormat="1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60" fillId="0" borderId="0" xfId="0" applyFont="1" applyProtection="1">
      <protection locked="0"/>
    </xf>
    <xf numFmtId="164" fontId="29" fillId="40" borderId="4" xfId="0" applyNumberFormat="1" applyFont="1" applyFill="1" applyBorder="1" applyProtection="1">
      <protection locked="0"/>
    </xf>
    <xf numFmtId="0" fontId="0" fillId="0" borderId="0" xfId="0" applyProtection="1"/>
    <xf numFmtId="164" fontId="29" fillId="41" borderId="1" xfId="0" applyNumberFormat="1" applyFont="1" applyFill="1" applyBorder="1" applyProtection="1"/>
    <xf numFmtId="0" fontId="53" fillId="0" borderId="0" xfId="0" applyFont="1" applyProtection="1">
      <protection locked="0"/>
    </xf>
    <xf numFmtId="0" fontId="65" fillId="0" borderId="0" xfId="0" applyFont="1" applyProtection="1">
      <protection locked="0"/>
    </xf>
    <xf numFmtId="164" fontId="20" fillId="40" borderId="1" xfId="0" applyNumberFormat="1" applyFont="1" applyFill="1" applyBorder="1" applyProtection="1">
      <protection locked="0"/>
    </xf>
    <xf numFmtId="165" fontId="0" fillId="44" borderId="1" xfId="0" applyNumberFormat="1" applyFill="1" applyBorder="1" applyProtection="1">
      <protection locked="0"/>
    </xf>
    <xf numFmtId="0" fontId="17" fillId="0" borderId="0" xfId="0" applyFont="1" applyProtection="1">
      <protection locked="0"/>
    </xf>
    <xf numFmtId="168" fontId="0" fillId="40" borderId="1" xfId="0" applyNumberFormat="1" applyFill="1" applyBorder="1" applyProtection="1">
      <protection locked="0"/>
    </xf>
    <xf numFmtId="0" fontId="49" fillId="36" borderId="0" xfId="0" applyFont="1" applyFill="1" applyAlignment="1" applyProtection="1">
      <alignment vertical="top"/>
      <protection locked="0"/>
    </xf>
    <xf numFmtId="0" fontId="20" fillId="36" borderId="0" xfId="0" applyFont="1" applyFill="1" applyAlignment="1" applyProtection="1">
      <alignment vertical="top"/>
      <protection locked="0"/>
    </xf>
    <xf numFmtId="0" fontId="49" fillId="0" borderId="0" xfId="0" applyFont="1" applyProtection="1">
      <protection locked="0"/>
    </xf>
    <xf numFmtId="175" fontId="11" fillId="0" borderId="0" xfId="0" applyNumberFormat="1" applyFont="1" applyProtection="1">
      <protection locked="0"/>
    </xf>
    <xf numFmtId="0" fontId="9" fillId="0" borderId="0" xfId="3" applyFont="1" applyProtection="1">
      <protection locked="0"/>
    </xf>
    <xf numFmtId="0" fontId="63" fillId="0" borderId="0" xfId="3" applyFont="1" applyProtection="1">
      <protection locked="0"/>
    </xf>
    <xf numFmtId="0" fontId="39" fillId="0" borderId="0" xfId="3" applyFont="1" applyProtection="1">
      <protection locked="0"/>
    </xf>
    <xf numFmtId="0" fontId="46" fillId="0" borderId="0" xfId="3" applyFont="1" applyProtection="1">
      <protection locked="0"/>
    </xf>
    <xf numFmtId="0" fontId="23" fillId="0" borderId="0" xfId="3" applyFont="1" applyProtection="1">
      <protection locked="0"/>
    </xf>
    <xf numFmtId="0" fontId="29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20" fillId="0" borderId="0" xfId="3" applyFont="1" applyAlignment="1" applyProtection="1">
      <alignment horizontal="center"/>
      <protection locked="0"/>
    </xf>
    <xf numFmtId="168" fontId="29" fillId="2" borderId="1" xfId="3" applyNumberFormat="1" applyFont="1" applyFill="1" applyBorder="1" applyProtection="1">
      <protection locked="0"/>
    </xf>
    <xf numFmtId="0" fontId="9" fillId="0" borderId="0" xfId="3" applyFont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Fill="1" applyBorder="1" applyProtection="1">
      <protection locked="0"/>
    </xf>
    <xf numFmtId="168" fontId="9" fillId="35" borderId="1" xfId="3" applyNumberFormat="1" applyFont="1" applyFill="1" applyBorder="1" applyProtection="1">
      <protection locked="0"/>
    </xf>
    <xf numFmtId="0" fontId="29" fillId="2" borderId="4" xfId="3" applyFont="1" applyFill="1" applyBorder="1" applyAlignment="1" applyProtection="1">
      <alignment horizontal="left"/>
      <protection locked="0"/>
    </xf>
    <xf numFmtId="0" fontId="29" fillId="2" borderId="6" xfId="3" applyFont="1" applyFill="1" applyBorder="1" applyAlignment="1" applyProtection="1">
      <alignment horizontal="left"/>
      <protection locked="0"/>
    </xf>
    <xf numFmtId="0" fontId="29" fillId="2" borderId="5" xfId="3" applyFont="1" applyFill="1" applyBorder="1" applyAlignment="1" applyProtection="1">
      <alignment horizontal="left"/>
      <protection locked="0"/>
    </xf>
    <xf numFmtId="0" fontId="29" fillId="2" borderId="1" xfId="3" applyFont="1" applyFill="1" applyBorder="1" applyProtection="1">
      <protection locked="0"/>
    </xf>
    <xf numFmtId="168" fontId="9" fillId="0" borderId="13" xfId="3" applyNumberFormat="1" applyFont="1" applyBorder="1" applyProtection="1"/>
    <xf numFmtId="0" fontId="9" fillId="0" borderId="0" xfId="31" applyFont="1" applyFill="1" applyBorder="1" applyProtection="1">
      <protection locked="0"/>
    </xf>
    <xf numFmtId="0" fontId="9" fillId="0" borderId="0" xfId="31" applyFont="1" applyFill="1" applyBorder="1" applyAlignment="1" applyProtection="1">
      <alignment horizontal="center"/>
      <protection locked="0"/>
    </xf>
    <xf numFmtId="0" fontId="9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Alignment="1" applyProtection="1">
      <alignment horizontal="center"/>
      <protection locked="0"/>
    </xf>
    <xf numFmtId="0" fontId="8" fillId="0" borderId="0" xfId="31" applyFont="1" applyBorder="1" applyProtection="1">
      <protection locked="0"/>
    </xf>
    <xf numFmtId="169" fontId="29" fillId="37" borderId="1" xfId="74" applyNumberFormat="1" applyFont="1" applyFill="1" applyBorder="1" applyAlignment="1" applyProtection="1">
      <alignment horizontal="center" vertical="center"/>
      <protection locked="0"/>
    </xf>
    <xf numFmtId="168" fontId="9" fillId="0" borderId="0" xfId="31" applyNumberFormat="1" applyFont="1" applyBorder="1" applyAlignment="1" applyProtection="1">
      <alignment horizontal="right"/>
      <protection locked="0"/>
    </xf>
    <xf numFmtId="167" fontId="9" fillId="0" borderId="0" xfId="3" applyNumberFormat="1" applyFont="1" applyProtection="1">
      <protection locked="0"/>
    </xf>
    <xf numFmtId="168" fontId="9" fillId="0" borderId="0" xfId="31" applyNumberFormat="1" applyFont="1" applyFill="1" applyBorder="1" applyAlignment="1" applyProtection="1">
      <alignment horizontal="right"/>
      <protection locked="0"/>
    </xf>
    <xf numFmtId="0" fontId="9" fillId="0" borderId="0" xfId="3" applyFont="1" applyBorder="1" applyProtection="1">
      <protection locked="0"/>
    </xf>
    <xf numFmtId="0" fontId="10" fillId="0" borderId="0" xfId="31" applyFont="1" applyBorder="1" applyProtection="1">
      <protection locked="0"/>
    </xf>
    <xf numFmtId="168" fontId="9" fillId="2" borderId="1" xfId="3" applyNumberFormat="1" applyFont="1" applyFill="1" applyBorder="1" applyProtection="1">
      <protection locked="0"/>
    </xf>
    <xf numFmtId="0" fontId="23" fillId="0" borderId="0" xfId="31" applyFont="1" applyBorder="1" applyProtection="1">
      <protection locked="0"/>
    </xf>
    <xf numFmtId="167" fontId="9" fillId="0" borderId="0" xfId="31" applyNumberFormat="1" applyFont="1" applyBorder="1" applyAlignment="1" applyProtection="1">
      <alignment horizontal="right"/>
      <protection locked="0"/>
    </xf>
    <xf numFmtId="167" fontId="9" fillId="0" borderId="0" xfId="31" applyNumberFormat="1" applyFont="1" applyBorder="1" applyProtection="1">
      <protection locked="0"/>
    </xf>
    <xf numFmtId="0" fontId="3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72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9" fontId="29" fillId="35" borderId="1" xfId="73" applyNumberFormat="1" applyFont="1" applyFill="1" applyBorder="1" applyAlignment="1" applyProtection="1">
      <alignment horizontal="right" vertic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43" borderId="0" xfId="0" applyFont="1" applyFill="1" applyAlignment="1" applyProtection="1">
      <alignment vertical="top"/>
    </xf>
    <xf numFmtId="0" fontId="20" fillId="43" borderId="0" xfId="0" applyFont="1" applyFill="1" applyAlignment="1" applyProtection="1">
      <alignment horizontal="center" vertical="top"/>
    </xf>
    <xf numFmtId="0" fontId="20" fillId="43" borderId="0" xfId="0" applyFont="1" applyFill="1" applyAlignment="1" applyProtection="1">
      <alignment horizontal="center" vertical="center" wrapText="1"/>
      <protection locked="0"/>
    </xf>
    <xf numFmtId="0" fontId="72" fillId="36" borderId="0" xfId="0" applyFont="1" applyFill="1" applyAlignment="1" applyProtection="1">
      <alignment vertical="top"/>
    </xf>
    <xf numFmtId="2" fontId="0" fillId="0" borderId="0" xfId="0" applyNumberFormat="1" applyProtection="1">
      <protection locked="0"/>
    </xf>
    <xf numFmtId="2" fontId="1" fillId="41" borderId="1" xfId="0" applyNumberFormat="1" applyFont="1" applyFill="1" applyBorder="1" applyProtection="1"/>
    <xf numFmtId="10" fontId="29" fillId="41" borderId="1" xfId="76" applyNumberFormat="1" applyFont="1" applyFill="1" applyBorder="1" applyAlignment="1" applyProtection="1">
      <alignment horizontal="center" vertical="center"/>
    </xf>
    <xf numFmtId="10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168" fontId="1" fillId="41" borderId="1" xfId="0" applyNumberFormat="1" applyFont="1" applyFill="1" applyBorder="1" applyProtection="1">
      <protection locked="0"/>
    </xf>
    <xf numFmtId="168" fontId="29" fillId="40" borderId="1" xfId="0" applyNumberFormat="1" applyFont="1" applyFill="1" applyBorder="1" applyAlignment="1" applyProtection="1">
      <alignment horizontal="center"/>
      <protection locked="0"/>
    </xf>
    <xf numFmtId="168" fontId="1" fillId="41" borderId="1" xfId="0" applyNumberFormat="1" applyFont="1" applyFill="1" applyBorder="1" applyAlignment="1" applyProtection="1">
      <alignment horizontal="center" vertical="center"/>
    </xf>
    <xf numFmtId="168" fontId="1" fillId="45" borderId="1" xfId="0" applyNumberFormat="1" applyFont="1" applyFill="1" applyBorder="1" applyProtection="1">
      <protection locked="0"/>
    </xf>
    <xf numFmtId="168" fontId="29" fillId="0" borderId="0" xfId="0" applyNumberFormat="1" applyFont="1" applyProtection="1">
      <protection locked="0"/>
    </xf>
    <xf numFmtId="168" fontId="1" fillId="41" borderId="1" xfId="0" applyNumberFormat="1" applyFont="1" applyFill="1" applyBorder="1" applyProtection="1"/>
    <xf numFmtId="2" fontId="0" fillId="40" borderId="1" xfId="0" applyNumberFormat="1" applyFill="1" applyBorder="1" applyProtection="1">
      <protection locked="0"/>
    </xf>
    <xf numFmtId="2" fontId="29" fillId="0" borderId="0" xfId="0" applyNumberFormat="1" applyFont="1" applyProtection="1">
      <protection locked="0"/>
    </xf>
    <xf numFmtId="177" fontId="29" fillId="40" borderId="1" xfId="0" applyNumberFormat="1" applyFont="1" applyFill="1" applyBorder="1" applyProtection="1">
      <protection locked="0"/>
    </xf>
    <xf numFmtId="177" fontId="1" fillId="41" borderId="1" xfId="0" applyNumberFormat="1" applyFont="1" applyFill="1" applyBorder="1" applyProtection="1"/>
    <xf numFmtId="177" fontId="0" fillId="40" borderId="1" xfId="0" applyNumberFormat="1" applyFill="1" applyBorder="1" applyProtection="1">
      <protection locked="0"/>
    </xf>
    <xf numFmtId="0" fontId="21" fillId="0" borderId="0" xfId="0" applyFont="1" applyAlignment="1" applyProtection="1">
      <protection locked="0"/>
    </xf>
    <xf numFmtId="0" fontId="21" fillId="0" borderId="0" xfId="0" applyFont="1" applyAlignment="1" applyProtection="1">
      <alignment horizontal="left" vertical="center" indent="4"/>
      <protection locked="0"/>
    </xf>
    <xf numFmtId="168" fontId="0" fillId="44" borderId="1" xfId="0" applyNumberFormat="1" applyFill="1" applyBorder="1" applyProtection="1">
      <protection locked="0"/>
    </xf>
    <xf numFmtId="168" fontId="7" fillId="0" borderId="0" xfId="0" applyNumberFormat="1" applyFont="1" applyProtection="1">
      <protection locked="0"/>
    </xf>
    <xf numFmtId="178" fontId="0" fillId="40" borderId="1" xfId="0" applyNumberFormat="1" applyFill="1" applyBorder="1" applyProtection="1">
      <protection locked="0"/>
    </xf>
    <xf numFmtId="178" fontId="0" fillId="40" borderId="1" xfId="76" applyNumberFormat="1" applyFont="1" applyFill="1" applyBorder="1" applyProtection="1">
      <protection locked="0"/>
    </xf>
    <xf numFmtId="168" fontId="2" fillId="40" borderId="1" xfId="4" applyNumberFormat="1" applyFont="1" applyFill="1" applyBorder="1" applyProtection="1">
      <protection locked="0"/>
    </xf>
    <xf numFmtId="168" fontId="11" fillId="0" borderId="0" xfId="0" applyNumberFormat="1" applyFont="1" applyProtection="1">
      <protection locked="0"/>
    </xf>
    <xf numFmtId="168" fontId="69" fillId="41" borderId="1" xfId="4" applyNumberFormat="1" applyFont="1" applyFill="1" applyBorder="1" applyProtection="1"/>
    <xf numFmtId="168" fontId="29" fillId="40" borderId="1" xfId="0" applyNumberFormat="1" applyFont="1" applyFill="1" applyBorder="1" applyProtection="1">
      <protection locked="0"/>
    </xf>
    <xf numFmtId="0" fontId="0" fillId="43" borderId="0" xfId="0" applyFill="1" applyProtection="1">
      <protection locked="0"/>
    </xf>
    <xf numFmtId="168" fontId="1" fillId="43" borderId="0" xfId="0" applyNumberFormat="1" applyFont="1" applyFill="1" applyBorder="1" applyProtection="1"/>
    <xf numFmtId="172" fontId="0" fillId="44" borderId="1" xfId="76" applyNumberFormat="1" applyFont="1" applyFill="1" applyBorder="1" applyProtection="1">
      <protection locked="0"/>
    </xf>
    <xf numFmtId="164" fontId="29" fillId="44" borderId="1" xfId="0" applyNumberFormat="1" applyFont="1" applyFill="1" applyBorder="1" applyProtection="1">
      <protection locked="0"/>
    </xf>
    <xf numFmtId="177" fontId="0" fillId="0" borderId="0" xfId="0" applyNumberFormat="1" applyProtection="1">
      <protection locked="0"/>
    </xf>
    <xf numFmtId="164" fontId="29" fillId="43" borderId="0" xfId="0" applyNumberFormat="1" applyFont="1" applyFill="1" applyBorder="1" applyProtection="1"/>
    <xf numFmtId="0" fontId="29" fillId="43" borderId="0" xfId="0" applyFont="1" applyFill="1" applyAlignment="1" applyProtection="1">
      <alignment vertical="center" wrapText="1"/>
      <protection locked="0"/>
    </xf>
    <xf numFmtId="177" fontId="29" fillId="44" borderId="1" xfId="0" applyNumberFormat="1" applyFont="1" applyFill="1" applyBorder="1" applyProtection="1">
      <protection locked="0"/>
    </xf>
    <xf numFmtId="177" fontId="29" fillId="40" borderId="4" xfId="0" applyNumberFormat="1" applyFont="1" applyFill="1" applyBorder="1" applyProtection="1">
      <protection locked="0"/>
    </xf>
    <xf numFmtId="177" fontId="29" fillId="41" borderId="1" xfId="0" applyNumberFormat="1" applyFont="1" applyFill="1" applyBorder="1" applyProtection="1"/>
    <xf numFmtId="169" fontId="19" fillId="41" borderId="1" xfId="74" applyNumberFormat="1" applyFont="1" applyFill="1" applyBorder="1" applyAlignment="1" applyProtection="1">
      <alignment horizontal="right" vertical="center"/>
    </xf>
    <xf numFmtId="177" fontId="0" fillId="43" borderId="0" xfId="0" applyNumberFormat="1" applyFill="1" applyProtection="1">
      <protection locked="0"/>
    </xf>
    <xf numFmtId="177" fontId="1" fillId="43" borderId="0" xfId="0" applyNumberFormat="1" applyFont="1" applyFill="1" applyBorder="1" applyProtection="1"/>
    <xf numFmtId="177" fontId="7" fillId="43" borderId="0" xfId="0" applyNumberFormat="1" applyFont="1" applyFill="1" applyProtection="1">
      <protection locked="0"/>
    </xf>
    <xf numFmtId="177" fontId="1" fillId="42" borderId="1" xfId="0" applyNumberFormat="1" applyFont="1" applyFill="1" applyBorder="1" applyProtection="1"/>
    <xf numFmtId="0" fontId="29" fillId="36" borderId="0" xfId="0" applyFont="1" applyFill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74" fillId="0" borderId="0" xfId="0" applyFont="1" applyAlignme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56" fillId="36" borderId="0" xfId="0" applyFont="1" applyFill="1" applyAlignment="1" applyProtection="1">
      <alignment vertical="top"/>
      <protection locked="0"/>
    </xf>
    <xf numFmtId="0" fontId="20" fillId="0" borderId="0" xfId="0" applyFont="1" applyAlignment="1" applyProtection="1">
      <alignment vertical="center" wrapText="1"/>
      <protection locked="0"/>
    </xf>
    <xf numFmtId="168" fontId="29" fillId="42" borderId="1" xfId="76" applyNumberFormat="1" applyFont="1" applyFill="1" applyBorder="1" applyAlignment="1" applyProtection="1">
      <alignment horizontal="center" vertical="center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69" fontId="29" fillId="44" borderId="1" xfId="74" applyNumberFormat="1" applyFont="1" applyFill="1" applyBorder="1" applyAlignment="1" applyProtection="1">
      <alignment horizontal="right" vertic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0" fontId="46" fillId="36" borderId="0" xfId="0" applyFont="1" applyFill="1" applyAlignment="1" applyProtection="1">
      <alignment vertical="center"/>
      <protection locked="0"/>
    </xf>
    <xf numFmtId="171" fontId="29" fillId="37" borderId="1" xfId="74" applyNumberFormat="1" applyFont="1" applyFill="1" applyBorder="1" applyAlignment="1" applyProtection="1">
      <alignment horizontal="center" vertical="center"/>
      <protection locked="0"/>
    </xf>
    <xf numFmtId="179" fontId="29" fillId="36" borderId="0" xfId="0" applyNumberFormat="1" applyFont="1" applyFill="1" applyBorder="1" applyAlignment="1" applyProtection="1">
      <alignment vertical="center" wrapText="1"/>
      <protection locked="0"/>
    </xf>
    <xf numFmtId="179" fontId="29" fillId="36" borderId="0" xfId="0" applyNumberFormat="1" applyFont="1" applyFill="1" applyAlignment="1" applyProtection="1">
      <alignment vertical="center" wrapText="1"/>
      <protection locked="0"/>
    </xf>
    <xf numFmtId="179" fontId="29" fillId="44" borderId="1" xfId="74" applyNumberFormat="1" applyFont="1" applyFill="1" applyBorder="1" applyAlignment="1" applyProtection="1">
      <alignment horizontal="center" vertical="center"/>
      <protection locked="0"/>
    </xf>
    <xf numFmtId="179" fontId="29" fillId="37" borderId="1" xfId="74" applyNumberFormat="1" applyFont="1" applyFill="1" applyBorder="1" applyAlignment="1" applyProtection="1">
      <alignment horizontal="center" vertical="center"/>
      <protection locked="0"/>
    </xf>
    <xf numFmtId="179" fontId="29" fillId="44" borderId="15" xfId="74" applyNumberFormat="1" applyFont="1" applyFill="1" applyBorder="1" applyAlignment="1" applyProtection="1">
      <alignment horizontal="center" vertical="center"/>
      <protection locked="0"/>
    </xf>
    <xf numFmtId="179" fontId="29" fillId="0" borderId="7" xfId="74" applyNumberFormat="1" applyFont="1" applyFill="1" applyBorder="1" applyAlignment="1" applyProtection="1">
      <alignment horizontal="center" vertical="center"/>
      <protection locked="0"/>
    </xf>
    <xf numFmtId="171" fontId="29" fillId="36" borderId="0" xfId="0" applyNumberFormat="1" applyFont="1" applyFill="1" applyAlignment="1" applyProtection="1">
      <alignment horizontal="center" vertical="center" wrapText="1"/>
      <protection locked="0"/>
    </xf>
    <xf numFmtId="171" fontId="29" fillId="36" borderId="0" xfId="0" applyNumberFormat="1" applyFont="1" applyFill="1" applyBorder="1" applyAlignment="1" applyProtection="1">
      <alignment vertical="center" wrapText="1"/>
      <protection locked="0"/>
    </xf>
    <xf numFmtId="171" fontId="29" fillId="0" borderId="0" xfId="0" applyNumberFormat="1" applyFont="1" applyAlignment="1" applyProtection="1">
      <alignment vertical="center" wrapText="1"/>
      <protection locked="0"/>
    </xf>
    <xf numFmtId="171" fontId="29" fillId="0" borderId="0" xfId="0" applyNumberFormat="1" applyFont="1" applyAlignment="1" applyProtection="1">
      <alignment horizontal="center" vertical="center" wrapText="1"/>
      <protection locked="0"/>
    </xf>
    <xf numFmtId="179" fontId="0" fillId="36" borderId="0" xfId="0" applyNumberFormat="1" applyFont="1" applyFill="1" applyAlignment="1" applyProtection="1">
      <alignment vertical="top"/>
    </xf>
    <xf numFmtId="177" fontId="1" fillId="41" borderId="5" xfId="0" applyNumberFormat="1" applyFont="1" applyFill="1" applyBorder="1" applyProtection="1"/>
    <xf numFmtId="177" fontId="0" fillId="40" borderId="17" xfId="0" applyNumberFormat="1" applyFill="1" applyBorder="1" applyProtection="1">
      <protection locked="0"/>
    </xf>
    <xf numFmtId="177" fontId="1" fillId="0" borderId="18" xfId="0" applyNumberFormat="1" applyFont="1" applyFill="1" applyBorder="1" applyProtection="1"/>
    <xf numFmtId="0" fontId="0" fillId="0" borderId="0" xfId="0" applyAlignment="1" applyProtection="1">
      <alignment horizontal="right"/>
      <protection locked="0"/>
    </xf>
    <xf numFmtId="2" fontId="29" fillId="44" borderId="1" xfId="76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64" fontId="29" fillId="40" borderId="5" xfId="0" applyNumberFormat="1" applyFont="1" applyFill="1" applyBorder="1" applyProtection="1">
      <protection locked="0"/>
    </xf>
    <xf numFmtId="164" fontId="29" fillId="41" borderId="5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  <protection locked="0"/>
    </xf>
    <xf numFmtId="164" fontId="29" fillId="0" borderId="0" xfId="0" applyNumberFormat="1" applyFont="1" applyFill="1" applyBorder="1" applyProtection="1">
      <protection locked="0"/>
    </xf>
    <xf numFmtId="164" fontId="29" fillId="0" borderId="0" xfId="0" applyNumberFormat="1" applyFont="1" applyFill="1" applyBorder="1" applyProtection="1"/>
    <xf numFmtId="0" fontId="6" fillId="0" borderId="16" xfId="0" applyFont="1" applyFill="1" applyBorder="1" applyAlignment="1" applyProtection="1">
      <alignment horizontal="center"/>
      <protection locked="0"/>
    </xf>
    <xf numFmtId="164" fontId="29" fillId="0" borderId="16" xfId="0" applyNumberFormat="1" applyFont="1" applyFill="1" applyBorder="1" applyProtection="1">
      <protection locked="0"/>
    </xf>
    <xf numFmtId="164" fontId="29" fillId="0" borderId="16" xfId="0" applyNumberFormat="1" applyFont="1" applyFill="1" applyBorder="1" applyProtection="1"/>
    <xf numFmtId="173" fontId="29" fillId="35" borderId="1" xfId="73" applyNumberFormat="1" applyFont="1" applyFill="1" applyBorder="1" applyAlignment="1" applyProtection="1">
      <alignment horizontal="right" vertical="center"/>
    </xf>
    <xf numFmtId="0" fontId="82" fillId="0" borderId="0" xfId="0" applyFont="1" applyProtection="1">
      <protection locked="0"/>
    </xf>
    <xf numFmtId="0" fontId="76" fillId="36" borderId="0" xfId="0" applyFont="1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11" fillId="43" borderId="0" xfId="0" applyFont="1" applyFill="1" applyProtection="1">
      <protection locked="0"/>
    </xf>
    <xf numFmtId="0" fontId="29" fillId="43" borderId="0" xfId="0" applyFont="1" applyFill="1" applyProtection="1">
      <protection locked="0"/>
    </xf>
    <xf numFmtId="0" fontId="29" fillId="43" borderId="0" xfId="0" applyFont="1" applyFill="1" applyAlignment="1" applyProtection="1">
      <alignment horizontal="center"/>
      <protection locked="0"/>
    </xf>
    <xf numFmtId="0" fontId="29" fillId="36" borderId="0" xfId="0" applyFont="1" applyFill="1" applyAlignment="1" applyProtection="1">
      <alignment vertical="center" wrapText="1"/>
      <protection locked="0"/>
    </xf>
    <xf numFmtId="169" fontId="29" fillId="38" borderId="1" xfId="0" quotePrefix="1" applyNumberFormat="1" applyFont="1" applyFill="1" applyBorder="1" applyAlignment="1" applyProtection="1">
      <alignment horizontal="left" wrapText="1"/>
    </xf>
    <xf numFmtId="180" fontId="0" fillId="40" borderId="1" xfId="0" applyNumberFormat="1" applyFill="1" applyBorder="1" applyProtection="1">
      <protection locked="0"/>
    </xf>
    <xf numFmtId="0" fontId="29" fillId="36" borderId="0" xfId="0" quotePrefix="1" applyFont="1" applyFill="1" applyAlignment="1" applyProtection="1">
      <alignment vertical="top"/>
    </xf>
    <xf numFmtId="0" fontId="83" fillId="0" borderId="0" xfId="0" applyFont="1" applyProtection="1">
      <protection locked="0"/>
    </xf>
    <xf numFmtId="0" fontId="60" fillId="0" borderId="0" xfId="0" applyFont="1" applyAlignment="1" applyProtection="1">
      <alignment horizontal="left"/>
      <protection locked="0"/>
    </xf>
    <xf numFmtId="175" fontId="29" fillId="40" borderId="1" xfId="0" applyNumberFormat="1" applyFont="1" applyFill="1" applyBorder="1" applyProtection="1">
      <protection locked="0"/>
    </xf>
    <xf numFmtId="175" fontId="0" fillId="40" borderId="1" xfId="0" applyNumberFormat="1" applyFill="1" applyBorder="1" applyProtection="1">
      <protection locked="0"/>
    </xf>
    <xf numFmtId="175" fontId="20" fillId="42" borderId="1" xfId="0" applyNumberFormat="1" applyFont="1" applyFill="1" applyBorder="1" applyProtection="1"/>
    <xf numFmtId="175" fontId="1" fillId="42" borderId="1" xfId="0" applyNumberFormat="1" applyFont="1" applyFill="1" applyBorder="1" applyProtection="1"/>
    <xf numFmtId="164" fontId="20" fillId="42" borderId="1" xfId="0" applyNumberFormat="1" applyFont="1" applyFill="1" applyBorder="1" applyProtection="1"/>
    <xf numFmtId="164" fontId="1" fillId="42" borderId="1" xfId="0" applyNumberFormat="1" applyFont="1" applyFill="1" applyBorder="1" applyProtection="1"/>
    <xf numFmtId="167" fontId="20" fillId="41" borderId="1" xfId="0" applyNumberFormat="1" applyFont="1" applyFill="1" applyBorder="1" applyProtection="1"/>
    <xf numFmtId="169" fontId="29" fillId="38" borderId="1" xfId="0" applyNumberFormat="1" applyFont="1" applyFill="1" applyBorder="1" applyAlignment="1" applyProtection="1">
      <alignment horizontal="center" wrapText="1"/>
    </xf>
    <xf numFmtId="181" fontId="29" fillId="44" borderId="1" xfId="76" applyNumberFormat="1" applyFont="1" applyFill="1" applyBorder="1" applyAlignment="1" applyProtection="1">
      <alignment horizontal="center" vertical="top"/>
    </xf>
    <xf numFmtId="0" fontId="20" fillId="0" borderId="0" xfId="0" applyFont="1" applyFill="1" applyProtection="1">
      <protection locked="0"/>
    </xf>
    <xf numFmtId="0" fontId="2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1" fillId="0" borderId="0" xfId="0" applyFont="1" applyFill="1"/>
    <xf numFmtId="0" fontId="0" fillId="0" borderId="0" xfId="0" applyFont="1" applyFill="1" applyAlignment="1" applyProtection="1">
      <alignment vertical="top"/>
    </xf>
    <xf numFmtId="0" fontId="29" fillId="0" borderId="0" xfId="0" applyFont="1" applyFill="1"/>
    <xf numFmtId="0" fontId="1" fillId="0" borderId="0" xfId="0" applyFont="1" applyFill="1" applyProtection="1">
      <protection locked="0"/>
    </xf>
    <xf numFmtId="0" fontId="29" fillId="0" borderId="0" xfId="0" applyFont="1" applyFill="1" applyAlignment="1" applyProtection="1">
      <alignment vertical="center" wrapText="1"/>
      <protection locked="0"/>
    </xf>
    <xf numFmtId="0" fontId="29" fillId="36" borderId="0" xfId="0" applyFont="1" applyFill="1" applyAlignment="1" applyProtection="1">
      <alignment vertical="center"/>
      <protection locked="0"/>
    </xf>
    <xf numFmtId="182" fontId="0" fillId="40" borderId="1" xfId="0" applyNumberFormat="1" applyFill="1" applyBorder="1" applyProtection="1">
      <protection locked="0"/>
    </xf>
    <xf numFmtId="183" fontId="0" fillId="40" borderId="1" xfId="0" applyNumberFormat="1" applyFill="1" applyBorder="1" applyProtection="1">
      <protection locked="0"/>
    </xf>
    <xf numFmtId="173" fontId="20" fillId="41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46" fillId="0" borderId="0" xfId="0" applyFont="1" applyFill="1" applyAlignment="1" applyProtection="1">
      <alignment vertical="center" wrapText="1"/>
      <protection locked="0"/>
    </xf>
    <xf numFmtId="0" fontId="9" fillId="50" borderId="0" xfId="3" applyFont="1" applyFill="1" applyProtection="1"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center" vertical="top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center" wrapText="1"/>
      <protection locked="0"/>
    </xf>
    <xf numFmtId="172" fontId="29" fillId="44" borderId="1" xfId="0" applyNumberFormat="1" applyFont="1" applyFill="1" applyBorder="1" applyProtection="1">
      <protection locked="0"/>
    </xf>
    <xf numFmtId="0" fontId="0" fillId="0" borderId="0" xfId="0" applyFill="1" applyAlignment="1" applyProtection="1">
      <alignment vertical="top"/>
    </xf>
    <xf numFmtId="0" fontId="29" fillId="36" borderId="0" xfId="0" applyFont="1" applyFill="1" applyAlignment="1" applyProtection="1">
      <alignment vertical="center" wrapText="1"/>
      <protection locked="0"/>
    </xf>
    <xf numFmtId="168" fontId="40" fillId="0" borderId="0" xfId="3" applyNumberFormat="1" applyFont="1" applyFill="1" applyProtection="1">
      <protection locked="0"/>
    </xf>
    <xf numFmtId="0" fontId="9" fillId="0" borderId="0" xfId="3" applyFont="1" applyFill="1" applyProtection="1">
      <protection locked="0"/>
    </xf>
    <xf numFmtId="2" fontId="9" fillId="0" borderId="0" xfId="31" applyNumberFormat="1" applyFont="1" applyFill="1" applyBorder="1" applyAlignment="1" applyProtection="1">
      <alignment horizontal="right"/>
      <protection locked="0"/>
    </xf>
    <xf numFmtId="167" fontId="9" fillId="0" borderId="0" xfId="31" applyNumberFormat="1" applyFont="1" applyFill="1" applyBorder="1" applyProtection="1">
      <protection locked="0"/>
    </xf>
    <xf numFmtId="0" fontId="29" fillId="0" borderId="0" xfId="0" applyFont="1" applyFill="1" applyAlignment="1" applyProtection="1">
      <alignment vertical="top"/>
    </xf>
    <xf numFmtId="0" fontId="29" fillId="0" borderId="0" xfId="0" applyFont="1" applyFill="1" applyAlignment="1" applyProtection="1">
      <alignment vertical="top" wrapText="1"/>
    </xf>
    <xf numFmtId="0" fontId="11" fillId="0" borderId="0" xfId="0" applyFont="1" applyFill="1"/>
    <xf numFmtId="179" fontId="29" fillId="51" borderId="1" xfId="74" applyNumberFormat="1" applyFont="1" applyFill="1" applyBorder="1" applyAlignment="1" applyProtection="1">
      <alignment horizontal="center" vertical="center"/>
      <protection locked="0"/>
    </xf>
    <xf numFmtId="10" fontId="29" fillId="36" borderId="0" xfId="0" applyNumberFormat="1" applyFont="1" applyFill="1" applyBorder="1" applyAlignment="1" applyProtection="1">
      <alignment vertical="center" wrapText="1"/>
      <protection locked="0"/>
    </xf>
    <xf numFmtId="10" fontId="29" fillId="0" borderId="0" xfId="0" applyNumberFormat="1" applyFont="1" applyFill="1" applyBorder="1" applyAlignment="1" applyProtection="1">
      <alignment vertical="center" wrapText="1"/>
      <protection locked="0"/>
    </xf>
    <xf numFmtId="0" fontId="40" fillId="0" borderId="0" xfId="3" quotePrefix="1" applyFont="1" applyFill="1" applyAlignment="1" applyProtection="1">
      <alignment horizontal="right"/>
      <protection locked="0"/>
    </xf>
    <xf numFmtId="0" fontId="86" fillId="0" borderId="0" xfId="3" applyFont="1" applyFill="1" applyProtection="1">
      <protection locked="0"/>
    </xf>
    <xf numFmtId="0" fontId="8" fillId="0" borderId="0" xfId="31" applyFont="1" applyFill="1" applyBorder="1" applyAlignment="1" applyProtection="1">
      <alignment horizontal="center"/>
      <protection locked="0"/>
    </xf>
    <xf numFmtId="168" fontId="9" fillId="0" borderId="11" xfId="4" applyNumberFormat="1" applyFont="1" applyFill="1" applyBorder="1" applyAlignment="1" applyProtection="1">
      <alignment horizontal="right"/>
    </xf>
    <xf numFmtId="2" fontId="8" fillId="0" borderId="10" xfId="31" applyNumberFormat="1" applyFont="1" applyFill="1" applyBorder="1" applyAlignment="1" applyProtection="1">
      <alignment horizontal="right"/>
    </xf>
    <xf numFmtId="0" fontId="29" fillId="36" borderId="0" xfId="0" applyFont="1" applyFill="1" applyAlignment="1" applyProtection="1">
      <alignment vertical="center" wrapText="1"/>
      <protection locked="0"/>
    </xf>
    <xf numFmtId="10" fontId="2" fillId="44" borderId="1" xfId="32" applyNumberFormat="1" applyFont="1" applyFill="1" applyBorder="1"/>
    <xf numFmtId="10" fontId="2" fillId="40" borderId="1" xfId="0" applyNumberFormat="1" applyFont="1" applyFill="1" applyBorder="1" applyProtection="1">
      <protection locked="0"/>
    </xf>
    <xf numFmtId="0" fontId="65" fillId="0" borderId="0" xfId="0" applyFont="1" applyFill="1"/>
    <xf numFmtId="0" fontId="53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89" fillId="0" borderId="0" xfId="0" applyFont="1" applyProtection="1">
      <protection locked="0"/>
    </xf>
    <xf numFmtId="0" fontId="90" fillId="0" borderId="0" xfId="0" applyFont="1" applyProtection="1">
      <protection locked="0"/>
    </xf>
    <xf numFmtId="9" fontId="29" fillId="44" borderId="1" xfId="74" applyNumberFormat="1" applyFont="1" applyFill="1" applyBorder="1" applyAlignment="1" applyProtection="1">
      <alignment horizontal="center" vertical="center"/>
      <protection locked="0"/>
    </xf>
    <xf numFmtId="14" fontId="29" fillId="38" borderId="1" xfId="0" quotePrefix="1" applyNumberFormat="1" applyFont="1" applyFill="1" applyBorder="1" applyAlignment="1" applyProtection="1">
      <alignment horizontal="center"/>
    </xf>
    <xf numFmtId="169" fontId="29" fillId="38" borderId="1" xfId="0" applyNumberFormat="1" applyFont="1" applyFill="1" applyBorder="1" applyAlignment="1" applyProtection="1">
      <alignment horizontal="left" wrapText="1"/>
    </xf>
    <xf numFmtId="0" fontId="29" fillId="36" borderId="0" xfId="0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9" fillId="36" borderId="0" xfId="0" applyFont="1" applyFill="1" applyAlignment="1" applyProtection="1">
      <alignment vertical="center" wrapText="1"/>
      <protection locked="0"/>
    </xf>
    <xf numFmtId="0" fontId="29" fillId="37" borderId="2" xfId="75" applyNumberFormat="1" applyFont="1" applyFill="1" applyBorder="1" applyAlignment="1" applyProtection="1">
      <alignment horizontal="center" vertical="center"/>
      <protection locked="0"/>
    </xf>
    <xf numFmtId="0" fontId="29" fillId="37" borderId="7" xfId="75" applyNumberFormat="1" applyFont="1" applyFill="1" applyBorder="1" applyAlignment="1" applyProtection="1">
      <alignment horizontal="center" vertical="center"/>
      <protection locked="0"/>
    </xf>
    <xf numFmtId="0" fontId="29" fillId="37" borderId="3" xfId="75" applyNumberFormat="1" applyFont="1" applyFill="1" applyBorder="1" applyAlignment="1" applyProtection="1">
      <alignment horizontal="center" vertical="center"/>
      <protection locked="0"/>
    </xf>
    <xf numFmtId="0" fontId="41" fillId="36" borderId="4" xfId="0" applyFont="1" applyFill="1" applyBorder="1" applyAlignment="1" applyProtection="1">
      <alignment horizontal="center" vertical="center"/>
      <protection locked="0"/>
    </xf>
    <xf numFmtId="0" fontId="41" fillId="36" borderId="12" xfId="0" applyFont="1" applyFill="1" applyBorder="1" applyAlignment="1" applyProtection="1">
      <alignment horizontal="center" vertical="center"/>
      <protection locked="0"/>
    </xf>
    <xf numFmtId="0" fontId="41" fillId="36" borderId="5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horizontal="center"/>
      <protection locked="0"/>
    </xf>
    <xf numFmtId="0" fontId="65" fillId="0" borderId="20" xfId="0" applyFont="1" applyBorder="1" applyAlignment="1" applyProtection="1">
      <alignment horizontal="center"/>
      <protection locked="0"/>
    </xf>
    <xf numFmtId="0" fontId="29" fillId="2" borderId="4" xfId="3" applyFont="1" applyFill="1" applyBorder="1" applyAlignment="1" applyProtection="1">
      <alignment horizontal="left"/>
      <protection locked="0"/>
    </xf>
    <xf numFmtId="0" fontId="29" fillId="2" borderId="6" xfId="3" applyFont="1" applyFill="1" applyBorder="1" applyAlignment="1" applyProtection="1">
      <alignment horizontal="left"/>
      <protection locked="0"/>
    </xf>
    <xf numFmtId="0" fontId="29" fillId="2" borderId="5" xfId="3" applyFont="1" applyFill="1" applyBorder="1" applyAlignment="1" applyProtection="1">
      <alignment horizontal="left"/>
      <protection locked="0"/>
    </xf>
    <xf numFmtId="0" fontId="29" fillId="2" borderId="1" xfId="3" applyFont="1" applyFill="1" applyBorder="1" applyAlignment="1" applyProtection="1">
      <alignment horizontal="left"/>
      <protection locked="0"/>
    </xf>
    <xf numFmtId="0" fontId="9" fillId="2" borderId="1" xfId="31" applyFont="1" applyFill="1" applyBorder="1" applyAlignment="1" applyProtection="1">
      <alignment wrapText="1"/>
      <protection locked="0"/>
    </xf>
    <xf numFmtId="0" fontId="2" fillId="2" borderId="1" xfId="3" applyFill="1" applyBorder="1" applyAlignment="1" applyProtection="1">
      <alignment wrapText="1"/>
      <protection locked="0"/>
    </xf>
    <xf numFmtId="0" fontId="9" fillId="2" borderId="4" xfId="31" applyFont="1" applyFill="1" applyBorder="1" applyAlignment="1" applyProtection="1">
      <alignment wrapText="1"/>
      <protection locked="0"/>
    </xf>
    <xf numFmtId="0" fontId="29" fillId="2" borderId="12" xfId="3" applyFont="1" applyFill="1" applyBorder="1" applyAlignment="1" applyProtection="1">
      <alignment wrapText="1"/>
      <protection locked="0"/>
    </xf>
    <xf numFmtId="0" fontId="29" fillId="2" borderId="5" xfId="3" applyFont="1" applyFill="1" applyBorder="1" applyAlignment="1" applyProtection="1">
      <alignment wrapText="1"/>
      <protection locked="0"/>
    </xf>
    <xf numFmtId="0" fontId="29" fillId="2" borderId="1" xfId="3" applyFont="1" applyFill="1" applyBorder="1" applyAlignment="1" applyProtection="1">
      <alignment wrapText="1"/>
      <protection locked="0"/>
    </xf>
    <xf numFmtId="0" fontId="9" fillId="2" borderId="1" xfId="30" applyFont="1" applyFill="1" applyBorder="1" applyAlignment="1" applyProtection="1">
      <alignment horizontal="left" vertical="top" wrapText="1"/>
      <protection locked="0"/>
    </xf>
    <xf numFmtId="0" fontId="2" fillId="2" borderId="1" xfId="3" applyFill="1" applyBorder="1" applyAlignment="1" applyProtection="1">
      <alignment vertical="top" wrapText="1"/>
      <protection locked="0"/>
    </xf>
    <xf numFmtId="0" fontId="2" fillId="2" borderId="1" xfId="3" applyFill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</cellXfs>
  <cellStyles count="81">
    <cellStyle name="%" xfId="5"/>
    <cellStyle name="% 2" xfId="6"/>
    <cellStyle name="% 2 2" xfId="1"/>
    <cellStyle name="%_RRP Rec" xfId="7"/>
    <cellStyle name="%_Section 5" xfId="8"/>
    <cellStyle name="Accent1 - 20%" xfId="9"/>
    <cellStyle name="Accent1 - 40%" xfId="10"/>
    <cellStyle name="Accent1 - 60%" xfId="11"/>
    <cellStyle name="Accent2 - 20%" xfId="12"/>
    <cellStyle name="Accent2 - 40%" xfId="13"/>
    <cellStyle name="Accent2 - 60%" xfId="14"/>
    <cellStyle name="Accent3 - 20%" xfId="15"/>
    <cellStyle name="Accent3 - 40%" xfId="16"/>
    <cellStyle name="Accent3 - 60%" xfId="17"/>
    <cellStyle name="Accent4 - 20%" xfId="18"/>
    <cellStyle name="Accent4 - 40%" xfId="19"/>
    <cellStyle name="Accent4 - 60%" xfId="20"/>
    <cellStyle name="Accent5 - 20%" xfId="21"/>
    <cellStyle name="Accent5 - 40%" xfId="22"/>
    <cellStyle name="Accent5 - 60%" xfId="23"/>
    <cellStyle name="Accent6 - 20%" xfId="24"/>
    <cellStyle name="Accent6 - 40%" xfId="25"/>
    <cellStyle name="Accent6 - 60%" xfId="26"/>
    <cellStyle name="Bad 2" xfId="77"/>
    <cellStyle name="Check Cell 2" xfId="78"/>
    <cellStyle name="Comma 2" xfId="4"/>
    <cellStyle name="Emphasis 1" xfId="27"/>
    <cellStyle name="Emphasis 2" xfId="28"/>
    <cellStyle name="Emphasis 3" xfId="29"/>
    <cellStyle name="Good 2" xfId="79"/>
    <cellStyle name="Neutral 2" xfId="80"/>
    <cellStyle name="Normal" xfId="0" builtinId="0"/>
    <cellStyle name="Normal 2" xfId="3"/>
    <cellStyle name="Normal 2 2" xfId="2"/>
    <cellStyle name="Normal 3" xfId="73"/>
    <cellStyle name="Normal_3E(9) proforma 2000-01" xfId="30"/>
    <cellStyle name="Normal_EMExls" xfId="31"/>
    <cellStyle name="Normal_risk table" xfId="74"/>
    <cellStyle name="Percent" xfId="76" builtinId="5"/>
    <cellStyle name="Percent 2" xfId="32"/>
    <cellStyle name="Percent 3" xfId="75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Sheet Title" xfId="72"/>
  </cellStyles>
  <dxfs count="0"/>
  <tableStyles count="0" defaultTableStyle="TableStyleMedium9" defaultPivotStyle="PivotStyleLight16"/>
  <colors>
    <mruColors>
      <color rgb="FFCCCCF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Relationship Id="rId9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4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0</xdr:rowOff>
    </xdr:from>
    <xdr:to>
      <xdr:col>9</xdr:col>
      <xdr:colOff>323850</xdr:colOff>
      <xdr:row>28</xdr:row>
      <xdr:rowOff>47625</xdr:rowOff>
    </xdr:to>
    <xdr:grpSp>
      <xdr:nvGrpSpPr>
        <xdr:cNvPr id="9219" name="Group 3"/>
        <xdr:cNvGrpSpPr>
          <a:grpSpLocks noChangeAspect="1"/>
        </xdr:cNvGrpSpPr>
      </xdr:nvGrpSpPr>
      <xdr:grpSpPr bwMode="auto">
        <a:xfrm>
          <a:off x="523875" y="604838"/>
          <a:ext cx="7277100" cy="4110037"/>
          <a:chOff x="55" y="65"/>
          <a:chExt cx="718" cy="430"/>
        </a:xfrm>
      </xdr:grpSpPr>
      <xdr:sp macro="" textlink="">
        <xdr:nvSpPr>
          <xdr:cNvPr id="9218" name="AutoShape 2"/>
          <xdr:cNvSpPr>
            <a:spLocks noChangeAspect="1" noChangeArrowheads="1" noTextEdit="1"/>
          </xdr:cNvSpPr>
        </xdr:nvSpPr>
        <xdr:spPr bwMode="auto">
          <a:xfrm>
            <a:off x="55" y="65"/>
            <a:ext cx="718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220" name="Freeform 4"/>
          <xdr:cNvSpPr>
            <a:spLocks noEditPoints="1"/>
          </xdr:cNvSpPr>
        </xdr:nvSpPr>
        <xdr:spPr bwMode="auto">
          <a:xfrm>
            <a:off x="344" y="468"/>
            <a:ext cx="160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472"/>
              </a:cxn>
              <a:cxn ang="0">
                <a:pos x="2904" y="480"/>
              </a:cxn>
              <a:cxn ang="0">
                <a:pos x="8" y="480"/>
              </a:cxn>
              <a:cxn ang="0">
                <a:pos x="0" y="472"/>
              </a:cxn>
              <a:cxn ang="0">
                <a:pos x="0" y="8"/>
              </a:cxn>
              <a:cxn ang="0">
                <a:pos x="16" y="472"/>
              </a:cxn>
              <a:cxn ang="0">
                <a:pos x="8" y="464"/>
              </a:cxn>
              <a:cxn ang="0">
                <a:pos x="2904" y="464"/>
              </a:cxn>
              <a:cxn ang="0">
                <a:pos x="2896" y="472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72"/>
              </a:cxn>
            </a:cxnLst>
            <a:rect l="0" t="0" r="r" b="b"/>
            <a:pathLst>
              <a:path w="2912" h="480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472"/>
                </a:lnTo>
                <a:cubicBezTo>
                  <a:pt x="2912" y="477"/>
                  <a:pt x="2909" y="480"/>
                  <a:pt x="2904" y="480"/>
                </a:cubicBezTo>
                <a:lnTo>
                  <a:pt x="8" y="480"/>
                </a:lnTo>
                <a:cubicBezTo>
                  <a:pt x="4" y="480"/>
                  <a:pt x="0" y="477"/>
                  <a:pt x="0" y="472"/>
                </a:cubicBezTo>
                <a:lnTo>
                  <a:pt x="0" y="8"/>
                </a:lnTo>
                <a:close/>
                <a:moveTo>
                  <a:pt x="16" y="472"/>
                </a:moveTo>
                <a:lnTo>
                  <a:pt x="8" y="464"/>
                </a:lnTo>
                <a:lnTo>
                  <a:pt x="2904" y="464"/>
                </a:lnTo>
                <a:lnTo>
                  <a:pt x="2896" y="472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472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1" name="Rectangle 5"/>
          <xdr:cNvSpPr>
            <a:spLocks noChangeArrowheads="1"/>
          </xdr:cNvSpPr>
        </xdr:nvSpPr>
        <xdr:spPr bwMode="auto">
          <a:xfrm>
            <a:off x="388" y="473"/>
            <a:ext cx="72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Summary</a:t>
            </a:r>
          </a:p>
        </xdr:txBody>
      </xdr:sp>
      <xdr:sp macro="" textlink="">
        <xdr:nvSpPr>
          <xdr:cNvPr id="9222" name="Freeform 6"/>
          <xdr:cNvSpPr>
            <a:spLocks noEditPoints="1"/>
          </xdr:cNvSpPr>
        </xdr:nvSpPr>
        <xdr:spPr bwMode="auto">
          <a:xfrm>
            <a:off x="194" y="71"/>
            <a:ext cx="158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3" name="Rectangle 7"/>
          <xdr:cNvSpPr>
            <a:spLocks noChangeArrowheads="1"/>
          </xdr:cNvSpPr>
        </xdr:nvSpPr>
        <xdr:spPr bwMode="auto">
          <a:xfrm>
            <a:off x="211" y="75"/>
            <a:ext cx="13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Licence Condition </a:t>
            </a:r>
          </a:p>
        </xdr:txBody>
      </xdr:sp>
      <xdr:sp macro="" textlink="">
        <xdr:nvSpPr>
          <xdr:cNvPr id="9224" name="Rectangle 8"/>
          <xdr:cNvSpPr>
            <a:spLocks noChangeArrowheads="1"/>
          </xdr:cNvSpPr>
        </xdr:nvSpPr>
        <xdr:spPr bwMode="auto">
          <a:xfrm>
            <a:off x="250" y="92"/>
            <a:ext cx="49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Values</a:t>
            </a:r>
          </a:p>
        </xdr:txBody>
      </xdr:sp>
      <xdr:sp macro="" textlink="">
        <xdr:nvSpPr>
          <xdr:cNvPr id="9225" name="Freeform 9"/>
          <xdr:cNvSpPr>
            <a:spLocks noEditPoints="1"/>
          </xdr:cNvSpPr>
        </xdr:nvSpPr>
        <xdr:spPr bwMode="auto">
          <a:xfrm>
            <a:off x="378" y="65"/>
            <a:ext cx="198" cy="128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2328"/>
              </a:cxn>
              <a:cxn ang="0">
                <a:pos x="3608" y="2336"/>
              </a:cxn>
              <a:cxn ang="0">
                <a:pos x="8" y="2336"/>
              </a:cxn>
              <a:cxn ang="0">
                <a:pos x="0" y="2328"/>
              </a:cxn>
              <a:cxn ang="0">
                <a:pos x="0" y="8"/>
              </a:cxn>
              <a:cxn ang="0">
                <a:pos x="16" y="2328"/>
              </a:cxn>
              <a:cxn ang="0">
                <a:pos x="8" y="2320"/>
              </a:cxn>
              <a:cxn ang="0">
                <a:pos x="3608" y="2320"/>
              </a:cxn>
              <a:cxn ang="0">
                <a:pos x="3600" y="2328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2328"/>
              </a:cxn>
            </a:cxnLst>
            <a:rect l="0" t="0" r="r" b="b"/>
            <a:pathLst>
              <a:path w="3616" h="233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2328"/>
                </a:lnTo>
                <a:cubicBezTo>
                  <a:pt x="3616" y="2333"/>
                  <a:pt x="3613" y="2336"/>
                  <a:pt x="3608" y="2336"/>
                </a:cubicBezTo>
                <a:lnTo>
                  <a:pt x="8" y="2336"/>
                </a:lnTo>
                <a:cubicBezTo>
                  <a:pt x="4" y="2336"/>
                  <a:pt x="0" y="2333"/>
                  <a:pt x="0" y="2328"/>
                </a:cubicBezTo>
                <a:lnTo>
                  <a:pt x="0" y="8"/>
                </a:lnTo>
                <a:close/>
                <a:moveTo>
                  <a:pt x="16" y="2328"/>
                </a:moveTo>
                <a:lnTo>
                  <a:pt x="8" y="2320"/>
                </a:lnTo>
                <a:lnTo>
                  <a:pt x="3608" y="2320"/>
                </a:lnTo>
                <a:lnTo>
                  <a:pt x="3600" y="2328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232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26" name="Rectangle 10"/>
          <xdr:cNvSpPr>
            <a:spLocks noChangeArrowheads="1"/>
          </xdr:cNvSpPr>
        </xdr:nvSpPr>
        <xdr:spPr bwMode="auto">
          <a:xfrm>
            <a:off x="419" y="70"/>
            <a:ext cx="123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Licensee Inputs:</a:t>
            </a:r>
          </a:p>
        </xdr:txBody>
      </xdr:sp>
      <xdr:sp macro="" textlink="">
        <xdr:nvSpPr>
          <xdr:cNvPr id="9227" name="Rectangle 11"/>
          <xdr:cNvSpPr>
            <a:spLocks noChangeArrowheads="1"/>
          </xdr:cNvSpPr>
        </xdr:nvSpPr>
        <xdr:spPr bwMode="auto">
          <a:xfrm>
            <a:off x="387" y="105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28" name="Rectangle 12"/>
          <xdr:cNvSpPr>
            <a:spLocks noChangeArrowheads="1"/>
          </xdr:cNvSpPr>
        </xdr:nvSpPr>
        <xdr:spPr bwMode="auto">
          <a:xfrm>
            <a:off x="392" y="104"/>
            <a:ext cx="14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Pass Through Items</a:t>
            </a:r>
          </a:p>
        </xdr:txBody>
      </xdr:sp>
      <xdr:sp macro="" textlink="">
        <xdr:nvSpPr>
          <xdr:cNvPr id="9229" name="Rectangle 13"/>
          <xdr:cNvSpPr>
            <a:spLocks noChangeArrowheads="1"/>
          </xdr:cNvSpPr>
        </xdr:nvSpPr>
        <xdr:spPr bwMode="auto">
          <a:xfrm>
            <a:off x="387" y="142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30" name="Rectangle 14"/>
          <xdr:cNvSpPr>
            <a:spLocks noChangeArrowheads="1"/>
          </xdr:cNvSpPr>
        </xdr:nvSpPr>
        <xdr:spPr bwMode="auto">
          <a:xfrm>
            <a:off x="392" y="141"/>
            <a:ext cx="16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Incentive Adjustments</a:t>
            </a:r>
          </a:p>
        </xdr:txBody>
      </xdr:sp>
      <xdr:sp macro="" textlink="">
        <xdr:nvSpPr>
          <xdr:cNvPr id="9231" name="Rectangle 15"/>
          <xdr:cNvSpPr>
            <a:spLocks noChangeArrowheads="1"/>
          </xdr:cNvSpPr>
        </xdr:nvSpPr>
        <xdr:spPr bwMode="auto">
          <a:xfrm>
            <a:off x="387" y="138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34" name="Rectangle 18"/>
          <xdr:cNvSpPr>
            <a:spLocks noChangeArrowheads="1"/>
          </xdr:cNvSpPr>
        </xdr:nvSpPr>
        <xdr:spPr bwMode="auto">
          <a:xfrm>
            <a:off x="392" y="154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35" name="Rectangle 19"/>
          <xdr:cNvSpPr>
            <a:spLocks noChangeArrowheads="1"/>
          </xdr:cNvSpPr>
        </xdr:nvSpPr>
        <xdr:spPr bwMode="auto">
          <a:xfrm>
            <a:off x="387" y="170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36" name="Freeform 20"/>
          <xdr:cNvSpPr>
            <a:spLocks noEditPoints="1"/>
          </xdr:cNvSpPr>
        </xdr:nvSpPr>
        <xdr:spPr bwMode="auto">
          <a:xfrm>
            <a:off x="55" y="143"/>
            <a:ext cx="159" cy="43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776"/>
              </a:cxn>
              <a:cxn ang="0">
                <a:pos x="2888" y="784"/>
              </a:cxn>
              <a:cxn ang="0">
                <a:pos x="8" y="784"/>
              </a:cxn>
              <a:cxn ang="0">
                <a:pos x="0" y="776"/>
              </a:cxn>
              <a:cxn ang="0">
                <a:pos x="0" y="8"/>
              </a:cxn>
              <a:cxn ang="0">
                <a:pos x="16" y="776"/>
              </a:cxn>
              <a:cxn ang="0">
                <a:pos x="8" y="768"/>
              </a:cxn>
              <a:cxn ang="0">
                <a:pos x="2888" y="768"/>
              </a:cxn>
              <a:cxn ang="0">
                <a:pos x="2880" y="776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776"/>
              </a:cxn>
            </a:cxnLst>
            <a:rect l="0" t="0" r="r" b="b"/>
            <a:pathLst>
              <a:path w="2896" h="784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776"/>
                </a:lnTo>
                <a:cubicBezTo>
                  <a:pt x="2896" y="781"/>
                  <a:pt x="2893" y="784"/>
                  <a:pt x="2888" y="784"/>
                </a:cubicBezTo>
                <a:lnTo>
                  <a:pt x="8" y="784"/>
                </a:lnTo>
                <a:cubicBezTo>
                  <a:pt x="4" y="784"/>
                  <a:pt x="0" y="781"/>
                  <a:pt x="0" y="776"/>
                </a:cubicBezTo>
                <a:lnTo>
                  <a:pt x="0" y="8"/>
                </a:lnTo>
                <a:close/>
                <a:moveTo>
                  <a:pt x="16" y="776"/>
                </a:moveTo>
                <a:lnTo>
                  <a:pt x="8" y="768"/>
                </a:lnTo>
                <a:lnTo>
                  <a:pt x="2888" y="768"/>
                </a:lnTo>
                <a:lnTo>
                  <a:pt x="2880" y="776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776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37" name="Rectangle 21"/>
          <xdr:cNvSpPr>
            <a:spLocks noChangeArrowheads="1"/>
          </xdr:cNvSpPr>
        </xdr:nvSpPr>
        <xdr:spPr bwMode="auto">
          <a:xfrm>
            <a:off x="69" y="148"/>
            <a:ext cx="14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RPI &amp; Official Bank </a:t>
            </a:r>
          </a:p>
        </xdr:txBody>
      </xdr:sp>
      <xdr:sp macro="" textlink="">
        <xdr:nvSpPr>
          <xdr:cNvPr id="9238" name="Rectangle 22"/>
          <xdr:cNvSpPr>
            <a:spLocks noChangeArrowheads="1"/>
          </xdr:cNvSpPr>
        </xdr:nvSpPr>
        <xdr:spPr bwMode="auto">
          <a:xfrm>
            <a:off x="119" y="16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Rate</a:t>
            </a:r>
          </a:p>
        </xdr:txBody>
      </xdr:sp>
      <xdr:sp macro="" textlink="">
        <xdr:nvSpPr>
          <xdr:cNvPr id="9239" name="Freeform 23"/>
          <xdr:cNvSpPr>
            <a:spLocks noEditPoints="1"/>
          </xdr:cNvSpPr>
        </xdr:nvSpPr>
        <xdr:spPr bwMode="auto">
          <a:xfrm>
            <a:off x="128" y="231"/>
            <a:ext cx="159" cy="2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888" y="0"/>
              </a:cxn>
              <a:cxn ang="0">
                <a:pos x="2896" y="8"/>
              </a:cxn>
              <a:cxn ang="0">
                <a:pos x="2896" y="488"/>
              </a:cxn>
              <a:cxn ang="0">
                <a:pos x="2888" y="496"/>
              </a:cxn>
              <a:cxn ang="0">
                <a:pos x="8" y="496"/>
              </a:cxn>
              <a:cxn ang="0">
                <a:pos x="0" y="488"/>
              </a:cxn>
              <a:cxn ang="0">
                <a:pos x="0" y="8"/>
              </a:cxn>
              <a:cxn ang="0">
                <a:pos x="16" y="488"/>
              </a:cxn>
              <a:cxn ang="0">
                <a:pos x="8" y="480"/>
              </a:cxn>
              <a:cxn ang="0">
                <a:pos x="2888" y="480"/>
              </a:cxn>
              <a:cxn ang="0">
                <a:pos x="2880" y="488"/>
              </a:cxn>
              <a:cxn ang="0">
                <a:pos x="2880" y="8"/>
              </a:cxn>
              <a:cxn ang="0">
                <a:pos x="288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488"/>
              </a:cxn>
            </a:cxnLst>
            <a:rect l="0" t="0" r="r" b="b"/>
            <a:pathLst>
              <a:path w="2896" h="496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888" y="0"/>
                </a:lnTo>
                <a:cubicBezTo>
                  <a:pt x="2893" y="0"/>
                  <a:pt x="2896" y="4"/>
                  <a:pt x="2896" y="8"/>
                </a:cubicBezTo>
                <a:lnTo>
                  <a:pt x="2896" y="488"/>
                </a:lnTo>
                <a:cubicBezTo>
                  <a:pt x="2896" y="493"/>
                  <a:pt x="2893" y="496"/>
                  <a:pt x="2888" y="496"/>
                </a:cubicBezTo>
                <a:lnTo>
                  <a:pt x="8" y="496"/>
                </a:lnTo>
                <a:cubicBezTo>
                  <a:pt x="4" y="496"/>
                  <a:pt x="0" y="493"/>
                  <a:pt x="0" y="488"/>
                </a:cubicBezTo>
                <a:lnTo>
                  <a:pt x="0" y="8"/>
                </a:lnTo>
                <a:close/>
                <a:moveTo>
                  <a:pt x="16" y="488"/>
                </a:moveTo>
                <a:lnTo>
                  <a:pt x="8" y="480"/>
                </a:lnTo>
                <a:lnTo>
                  <a:pt x="2888" y="480"/>
                </a:lnTo>
                <a:lnTo>
                  <a:pt x="2880" y="488"/>
                </a:lnTo>
                <a:lnTo>
                  <a:pt x="2880" y="8"/>
                </a:lnTo>
                <a:lnTo>
                  <a:pt x="2888" y="16"/>
                </a:lnTo>
                <a:lnTo>
                  <a:pt x="8" y="16"/>
                </a:lnTo>
                <a:lnTo>
                  <a:pt x="16" y="8"/>
                </a:lnTo>
                <a:lnTo>
                  <a:pt x="16" y="488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0" name="Rectangle 24"/>
          <xdr:cNvSpPr>
            <a:spLocks noChangeArrowheads="1"/>
          </xdr:cNvSpPr>
        </xdr:nvSpPr>
        <xdr:spPr bwMode="auto">
          <a:xfrm>
            <a:off x="147" y="236"/>
            <a:ext cx="13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Correction Factor</a:t>
            </a:r>
          </a:p>
        </xdr:txBody>
      </xdr:sp>
      <xdr:sp macro="" textlink="">
        <xdr:nvSpPr>
          <xdr:cNvPr id="9241" name="Freeform 25"/>
          <xdr:cNvSpPr>
            <a:spLocks noEditPoints="1"/>
          </xdr:cNvSpPr>
        </xdr:nvSpPr>
        <xdr:spPr bwMode="auto">
          <a:xfrm>
            <a:off x="344" y="238"/>
            <a:ext cx="160" cy="60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080"/>
              </a:cxn>
              <a:cxn ang="0">
                <a:pos x="2904" y="1088"/>
              </a:cxn>
              <a:cxn ang="0">
                <a:pos x="8" y="1088"/>
              </a:cxn>
              <a:cxn ang="0">
                <a:pos x="0" y="1080"/>
              </a:cxn>
              <a:cxn ang="0">
                <a:pos x="0" y="8"/>
              </a:cxn>
              <a:cxn ang="0">
                <a:pos x="16" y="1080"/>
              </a:cxn>
              <a:cxn ang="0">
                <a:pos x="8" y="1072"/>
              </a:cxn>
              <a:cxn ang="0">
                <a:pos x="2904" y="1072"/>
              </a:cxn>
              <a:cxn ang="0">
                <a:pos x="2896" y="108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080"/>
              </a:cxn>
            </a:cxnLst>
            <a:rect l="0" t="0" r="r" b="b"/>
            <a:pathLst>
              <a:path w="2912" h="108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080"/>
                </a:lnTo>
                <a:cubicBezTo>
                  <a:pt x="2912" y="1085"/>
                  <a:pt x="2909" y="1088"/>
                  <a:pt x="2904" y="1088"/>
                </a:cubicBezTo>
                <a:lnTo>
                  <a:pt x="8" y="1088"/>
                </a:lnTo>
                <a:cubicBezTo>
                  <a:pt x="4" y="1088"/>
                  <a:pt x="0" y="1085"/>
                  <a:pt x="0" y="1080"/>
                </a:cubicBezTo>
                <a:lnTo>
                  <a:pt x="0" y="8"/>
                </a:lnTo>
                <a:close/>
                <a:moveTo>
                  <a:pt x="16" y="1080"/>
                </a:moveTo>
                <a:lnTo>
                  <a:pt x="8" y="1072"/>
                </a:lnTo>
                <a:lnTo>
                  <a:pt x="2904" y="1072"/>
                </a:lnTo>
                <a:lnTo>
                  <a:pt x="2896" y="108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08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2" name="Rectangle 26"/>
          <xdr:cNvSpPr>
            <a:spLocks noChangeArrowheads="1"/>
          </xdr:cNvSpPr>
        </xdr:nvSpPr>
        <xdr:spPr bwMode="auto">
          <a:xfrm>
            <a:off x="362" y="249"/>
            <a:ext cx="124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Allowed Revenue </a:t>
            </a:r>
          </a:p>
        </xdr:txBody>
      </xdr:sp>
      <xdr:sp macro="" textlink="">
        <xdr:nvSpPr>
          <xdr:cNvPr id="9243" name="Rectangle 27"/>
          <xdr:cNvSpPr>
            <a:spLocks noChangeArrowheads="1"/>
          </xdr:cNvSpPr>
        </xdr:nvSpPr>
        <xdr:spPr bwMode="auto">
          <a:xfrm>
            <a:off x="384" y="259"/>
            <a:ext cx="5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sp macro="" textlink="">
        <xdr:nvSpPr>
          <xdr:cNvPr id="9245" name="Freeform 29"/>
          <xdr:cNvSpPr>
            <a:spLocks noEditPoints="1"/>
          </xdr:cNvSpPr>
        </xdr:nvSpPr>
        <xdr:spPr bwMode="auto">
          <a:xfrm>
            <a:off x="575" y="168"/>
            <a:ext cx="198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3608" y="0"/>
              </a:cxn>
              <a:cxn ang="0">
                <a:pos x="3616" y="8"/>
              </a:cxn>
              <a:cxn ang="0">
                <a:pos x="3616" y="1400"/>
              </a:cxn>
              <a:cxn ang="0">
                <a:pos x="3608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3608" y="1392"/>
              </a:cxn>
              <a:cxn ang="0">
                <a:pos x="3600" y="1400"/>
              </a:cxn>
              <a:cxn ang="0">
                <a:pos x="3600" y="8"/>
              </a:cxn>
              <a:cxn ang="0">
                <a:pos x="3608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3616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3608" y="0"/>
                </a:lnTo>
                <a:cubicBezTo>
                  <a:pt x="3613" y="0"/>
                  <a:pt x="3616" y="4"/>
                  <a:pt x="3616" y="8"/>
                </a:cubicBezTo>
                <a:lnTo>
                  <a:pt x="3616" y="1400"/>
                </a:lnTo>
                <a:cubicBezTo>
                  <a:pt x="3616" y="1405"/>
                  <a:pt x="3613" y="1408"/>
                  <a:pt x="3608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3608" y="1392"/>
                </a:lnTo>
                <a:lnTo>
                  <a:pt x="3600" y="1400"/>
                </a:lnTo>
                <a:lnTo>
                  <a:pt x="3600" y="8"/>
                </a:lnTo>
                <a:lnTo>
                  <a:pt x="3608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46" name="Rectangle 30"/>
          <xdr:cNvSpPr>
            <a:spLocks noChangeArrowheads="1"/>
          </xdr:cNvSpPr>
        </xdr:nvSpPr>
        <xdr:spPr bwMode="auto">
          <a:xfrm>
            <a:off x="584" y="174"/>
            <a:ext cx="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247" name="Rectangle 31"/>
          <xdr:cNvSpPr>
            <a:spLocks noChangeArrowheads="1"/>
          </xdr:cNvSpPr>
        </xdr:nvSpPr>
        <xdr:spPr bwMode="auto">
          <a:xfrm>
            <a:off x="589" y="173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48" name="Rectangle 32"/>
          <xdr:cNvSpPr>
            <a:spLocks noChangeArrowheads="1"/>
          </xdr:cNvSpPr>
        </xdr:nvSpPr>
        <xdr:spPr bwMode="auto">
          <a:xfrm>
            <a:off x="584" y="179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49" name="Rectangle 33"/>
          <xdr:cNvSpPr>
            <a:spLocks noChangeArrowheads="1"/>
          </xdr:cNvSpPr>
        </xdr:nvSpPr>
        <xdr:spPr bwMode="auto">
          <a:xfrm>
            <a:off x="589" y="179"/>
            <a:ext cx="134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Excluded Services</a:t>
            </a:r>
          </a:p>
        </xdr:txBody>
      </xdr:sp>
      <xdr:sp macro="" textlink="">
        <xdr:nvSpPr>
          <xdr:cNvPr id="9250" name="Rectangle 34"/>
          <xdr:cNvSpPr>
            <a:spLocks noChangeArrowheads="1"/>
          </xdr:cNvSpPr>
        </xdr:nvSpPr>
        <xdr:spPr bwMode="auto">
          <a:xfrm>
            <a:off x="584" y="207"/>
            <a:ext cx="5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•</a:t>
            </a:r>
          </a:p>
        </xdr:txBody>
      </xdr:sp>
      <xdr:sp macro="" textlink="">
        <xdr:nvSpPr>
          <xdr:cNvPr id="9251" name="Rectangle 35"/>
          <xdr:cNvSpPr>
            <a:spLocks noChangeArrowheads="1"/>
          </xdr:cNvSpPr>
        </xdr:nvSpPr>
        <xdr:spPr bwMode="auto">
          <a:xfrm>
            <a:off x="589" y="206"/>
            <a:ext cx="162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Outside Price Control </a:t>
            </a:r>
          </a:p>
        </xdr:txBody>
      </xdr:sp>
      <xdr:sp macro="" textlink="">
        <xdr:nvSpPr>
          <xdr:cNvPr id="9252" name="Rectangle 36"/>
          <xdr:cNvSpPr>
            <a:spLocks noChangeArrowheads="1"/>
          </xdr:cNvSpPr>
        </xdr:nvSpPr>
        <xdr:spPr bwMode="auto">
          <a:xfrm>
            <a:off x="584" y="223"/>
            <a:ext cx="58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and De </a:t>
            </a:r>
          </a:p>
        </xdr:txBody>
      </xdr:sp>
      <xdr:sp macro="" textlink="">
        <xdr:nvSpPr>
          <xdr:cNvPr id="9253" name="Rectangle 37"/>
          <xdr:cNvSpPr>
            <a:spLocks noChangeArrowheads="1"/>
          </xdr:cNvSpPr>
        </xdr:nvSpPr>
        <xdr:spPr bwMode="auto">
          <a:xfrm>
            <a:off x="638" y="223"/>
            <a:ext cx="56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Minimis</a:t>
            </a:r>
          </a:p>
        </xdr:txBody>
      </xdr:sp>
      <xdr:sp macro="" textlink="">
        <xdr:nvSpPr>
          <xdr:cNvPr id="9254" name="Freeform 38"/>
          <xdr:cNvSpPr>
            <a:spLocks noEditPoints="1"/>
          </xdr:cNvSpPr>
        </xdr:nvSpPr>
        <xdr:spPr bwMode="auto">
          <a:xfrm>
            <a:off x="239" y="343"/>
            <a:ext cx="160" cy="77"/>
          </a:xfrm>
          <a:custGeom>
            <a:avLst/>
            <a:gdLst/>
            <a:ahLst/>
            <a:cxnLst>
              <a:cxn ang="0">
                <a:pos x="0" y="8"/>
              </a:cxn>
              <a:cxn ang="0">
                <a:pos x="8" y="0"/>
              </a:cxn>
              <a:cxn ang="0">
                <a:pos x="2904" y="0"/>
              </a:cxn>
              <a:cxn ang="0">
                <a:pos x="2912" y="8"/>
              </a:cxn>
              <a:cxn ang="0">
                <a:pos x="2912" y="1400"/>
              </a:cxn>
              <a:cxn ang="0">
                <a:pos x="2904" y="1408"/>
              </a:cxn>
              <a:cxn ang="0">
                <a:pos x="8" y="1408"/>
              </a:cxn>
              <a:cxn ang="0">
                <a:pos x="0" y="1400"/>
              </a:cxn>
              <a:cxn ang="0">
                <a:pos x="0" y="8"/>
              </a:cxn>
              <a:cxn ang="0">
                <a:pos x="16" y="1400"/>
              </a:cxn>
              <a:cxn ang="0">
                <a:pos x="8" y="1392"/>
              </a:cxn>
              <a:cxn ang="0">
                <a:pos x="2904" y="1392"/>
              </a:cxn>
              <a:cxn ang="0">
                <a:pos x="2896" y="1400"/>
              </a:cxn>
              <a:cxn ang="0">
                <a:pos x="2896" y="8"/>
              </a:cxn>
              <a:cxn ang="0">
                <a:pos x="2904" y="16"/>
              </a:cxn>
              <a:cxn ang="0">
                <a:pos x="8" y="16"/>
              </a:cxn>
              <a:cxn ang="0">
                <a:pos x="16" y="8"/>
              </a:cxn>
              <a:cxn ang="0">
                <a:pos x="16" y="1400"/>
              </a:cxn>
            </a:cxnLst>
            <a:rect l="0" t="0" r="r" b="b"/>
            <a:pathLst>
              <a:path w="2912" h="1408">
                <a:moveTo>
                  <a:pt x="0" y="8"/>
                </a:moveTo>
                <a:cubicBezTo>
                  <a:pt x="0" y="4"/>
                  <a:pt x="4" y="0"/>
                  <a:pt x="8" y="0"/>
                </a:cubicBezTo>
                <a:lnTo>
                  <a:pt x="2904" y="0"/>
                </a:lnTo>
                <a:cubicBezTo>
                  <a:pt x="2909" y="0"/>
                  <a:pt x="2912" y="4"/>
                  <a:pt x="2912" y="8"/>
                </a:cubicBezTo>
                <a:lnTo>
                  <a:pt x="2912" y="1400"/>
                </a:lnTo>
                <a:cubicBezTo>
                  <a:pt x="2912" y="1405"/>
                  <a:pt x="2909" y="1408"/>
                  <a:pt x="2904" y="1408"/>
                </a:cubicBezTo>
                <a:lnTo>
                  <a:pt x="8" y="1408"/>
                </a:lnTo>
                <a:cubicBezTo>
                  <a:pt x="4" y="1408"/>
                  <a:pt x="0" y="1405"/>
                  <a:pt x="0" y="1400"/>
                </a:cubicBezTo>
                <a:lnTo>
                  <a:pt x="0" y="8"/>
                </a:lnTo>
                <a:close/>
                <a:moveTo>
                  <a:pt x="16" y="1400"/>
                </a:moveTo>
                <a:lnTo>
                  <a:pt x="8" y="1392"/>
                </a:lnTo>
                <a:lnTo>
                  <a:pt x="2904" y="1392"/>
                </a:lnTo>
                <a:lnTo>
                  <a:pt x="2896" y="1400"/>
                </a:lnTo>
                <a:lnTo>
                  <a:pt x="2896" y="8"/>
                </a:lnTo>
                <a:lnTo>
                  <a:pt x="2904" y="16"/>
                </a:lnTo>
                <a:lnTo>
                  <a:pt x="8" y="16"/>
                </a:lnTo>
                <a:lnTo>
                  <a:pt x="16" y="8"/>
                </a:lnTo>
                <a:lnTo>
                  <a:pt x="16" y="1400"/>
                </a:lnTo>
                <a:close/>
              </a:path>
            </a:pathLst>
          </a:custGeom>
          <a:solidFill>
            <a:srgbClr val="000000"/>
          </a:solidFill>
          <a:ln w="0" cap="flat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56" name="Rectangle 40"/>
          <xdr:cNvSpPr>
            <a:spLocks noChangeArrowheads="1"/>
          </xdr:cNvSpPr>
        </xdr:nvSpPr>
        <xdr:spPr bwMode="auto">
          <a:xfrm>
            <a:off x="256" y="364"/>
            <a:ext cx="140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Regulated </a:t>
            </a:r>
          </a:p>
          <a:p>
            <a:pPr algn="ctr" rtl="0">
              <a:defRPr sz="1000"/>
            </a:pPr>
            <a:r>
              <a:rPr lang="en-GB"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Combined Revenue </a:t>
            </a:r>
          </a:p>
        </xdr:txBody>
      </xdr:sp>
      <xdr:sp macro="" textlink="">
        <xdr:nvSpPr>
          <xdr:cNvPr id="9257" name="Rectangle 41"/>
          <xdr:cNvSpPr>
            <a:spLocks noChangeArrowheads="1"/>
          </xdr:cNvSpPr>
        </xdr:nvSpPr>
        <xdr:spPr bwMode="auto">
          <a:xfrm>
            <a:off x="279" y="381"/>
            <a:ext cx="0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endParaRPr lang="en-GB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endParaRPr>
          </a:p>
        </xdr:txBody>
      </xdr:sp>
      <xdr:sp macro="" textlink="">
        <xdr:nvSpPr>
          <xdr:cNvPr id="9259" name="Freeform 43"/>
          <xdr:cNvSpPr>
            <a:spLocks noEditPoints="1"/>
          </xdr:cNvSpPr>
        </xdr:nvSpPr>
        <xdr:spPr bwMode="auto">
          <a:xfrm>
            <a:off x="425" y="193"/>
            <a:ext cx="52" cy="45"/>
          </a:xfrm>
          <a:custGeom>
            <a:avLst/>
            <a:gdLst/>
            <a:ahLst/>
            <a:cxnLst>
              <a:cxn ang="0">
                <a:pos x="966" y="13"/>
              </a:cxn>
              <a:cxn ang="0">
                <a:pos x="18" y="828"/>
              </a:cxn>
              <a:cxn ang="0">
                <a:pos x="7" y="816"/>
              </a:cxn>
              <a:cxn ang="0">
                <a:pos x="955" y="0"/>
              </a:cxn>
              <a:cxn ang="0">
                <a:pos x="966" y="13"/>
              </a:cxn>
              <a:cxn ang="0">
                <a:pos x="160" y="803"/>
              </a:cxn>
              <a:cxn ang="0">
                <a:pos x="0" y="832"/>
              </a:cxn>
              <a:cxn ang="0">
                <a:pos x="53" y="679"/>
              </a:cxn>
              <a:cxn ang="0">
                <a:pos x="63" y="674"/>
              </a:cxn>
              <a:cxn ang="0">
                <a:pos x="68" y="684"/>
              </a:cxn>
              <a:cxn ang="0">
                <a:pos x="20" y="824"/>
              </a:cxn>
              <a:cxn ang="0">
                <a:pos x="11" y="814"/>
              </a:cxn>
              <a:cxn ang="0">
                <a:pos x="157" y="787"/>
              </a:cxn>
              <a:cxn ang="0">
                <a:pos x="166" y="793"/>
              </a:cxn>
              <a:cxn ang="0">
                <a:pos x="160" y="803"/>
              </a:cxn>
            </a:cxnLst>
            <a:rect l="0" t="0" r="r" b="b"/>
            <a:pathLst>
              <a:path w="966" h="832">
                <a:moveTo>
                  <a:pt x="966" y="13"/>
                </a:moveTo>
                <a:lnTo>
                  <a:pt x="18" y="828"/>
                </a:lnTo>
                <a:lnTo>
                  <a:pt x="7" y="816"/>
                </a:lnTo>
                <a:lnTo>
                  <a:pt x="955" y="0"/>
                </a:lnTo>
                <a:lnTo>
                  <a:pt x="966" y="13"/>
                </a:lnTo>
                <a:close/>
                <a:moveTo>
                  <a:pt x="160" y="803"/>
                </a:moveTo>
                <a:lnTo>
                  <a:pt x="0" y="832"/>
                </a:lnTo>
                <a:lnTo>
                  <a:pt x="53" y="679"/>
                </a:lnTo>
                <a:cubicBezTo>
                  <a:pt x="55" y="675"/>
                  <a:pt x="59" y="673"/>
                  <a:pt x="63" y="674"/>
                </a:cubicBezTo>
                <a:cubicBezTo>
                  <a:pt x="68" y="675"/>
                  <a:pt x="70" y="680"/>
                  <a:pt x="68" y="684"/>
                </a:cubicBezTo>
                <a:lnTo>
                  <a:pt x="20" y="824"/>
                </a:lnTo>
                <a:lnTo>
                  <a:pt x="11" y="814"/>
                </a:lnTo>
                <a:lnTo>
                  <a:pt x="157" y="787"/>
                </a:lnTo>
                <a:cubicBezTo>
                  <a:pt x="161" y="786"/>
                  <a:pt x="165" y="789"/>
                  <a:pt x="166" y="793"/>
                </a:cubicBezTo>
                <a:cubicBezTo>
                  <a:pt x="167" y="798"/>
                  <a:pt x="164" y="802"/>
                  <a:pt x="160" y="803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0" name="Freeform 44"/>
          <xdr:cNvSpPr>
            <a:spLocks noEditPoints="1"/>
          </xdr:cNvSpPr>
        </xdr:nvSpPr>
        <xdr:spPr bwMode="auto">
          <a:xfrm>
            <a:off x="273" y="113"/>
            <a:ext cx="151" cy="125"/>
          </a:xfrm>
          <a:custGeom>
            <a:avLst/>
            <a:gdLst/>
            <a:ahLst/>
            <a:cxnLst>
              <a:cxn ang="0">
                <a:pos x="11" y="0"/>
              </a:cxn>
              <a:cxn ang="0">
                <a:pos x="2758" y="2265"/>
              </a:cxn>
              <a:cxn ang="0">
                <a:pos x="2748" y="2277"/>
              </a:cxn>
              <a:cxn ang="0">
                <a:pos x="0" y="13"/>
              </a:cxn>
              <a:cxn ang="0">
                <a:pos x="11" y="0"/>
              </a:cxn>
              <a:cxn ang="0">
                <a:pos x="2709" y="2129"/>
              </a:cxn>
              <a:cxn ang="0">
                <a:pos x="2766" y="2281"/>
              </a:cxn>
              <a:cxn ang="0">
                <a:pos x="2606" y="2255"/>
              </a:cxn>
              <a:cxn ang="0">
                <a:pos x="2599" y="2246"/>
              </a:cxn>
              <a:cxn ang="0">
                <a:pos x="2608" y="2239"/>
              </a:cxn>
              <a:cxn ang="0">
                <a:pos x="2755" y="2263"/>
              </a:cxn>
              <a:cxn ang="0">
                <a:pos x="2746" y="2273"/>
              </a:cxn>
              <a:cxn ang="0">
                <a:pos x="2694" y="2134"/>
              </a:cxn>
              <a:cxn ang="0">
                <a:pos x="2699" y="2124"/>
              </a:cxn>
              <a:cxn ang="0">
                <a:pos x="2709" y="2129"/>
              </a:cxn>
            </a:cxnLst>
            <a:rect l="0" t="0" r="r" b="b"/>
            <a:pathLst>
              <a:path w="2766" h="2281">
                <a:moveTo>
                  <a:pt x="11" y="0"/>
                </a:moveTo>
                <a:lnTo>
                  <a:pt x="2758" y="2265"/>
                </a:lnTo>
                <a:lnTo>
                  <a:pt x="2748" y="2277"/>
                </a:lnTo>
                <a:lnTo>
                  <a:pt x="0" y="13"/>
                </a:lnTo>
                <a:lnTo>
                  <a:pt x="11" y="0"/>
                </a:lnTo>
                <a:close/>
                <a:moveTo>
                  <a:pt x="2709" y="2129"/>
                </a:moveTo>
                <a:lnTo>
                  <a:pt x="2766" y="2281"/>
                </a:lnTo>
                <a:lnTo>
                  <a:pt x="2606" y="2255"/>
                </a:lnTo>
                <a:cubicBezTo>
                  <a:pt x="2601" y="2254"/>
                  <a:pt x="2598" y="2250"/>
                  <a:pt x="2599" y="2246"/>
                </a:cubicBezTo>
                <a:cubicBezTo>
                  <a:pt x="2600" y="2241"/>
                  <a:pt x="2604" y="2238"/>
                  <a:pt x="2608" y="2239"/>
                </a:cubicBezTo>
                <a:lnTo>
                  <a:pt x="2755" y="2263"/>
                </a:lnTo>
                <a:lnTo>
                  <a:pt x="2746" y="2273"/>
                </a:lnTo>
                <a:lnTo>
                  <a:pt x="2694" y="2134"/>
                </a:lnTo>
                <a:cubicBezTo>
                  <a:pt x="2693" y="2130"/>
                  <a:pt x="2695" y="2126"/>
                  <a:pt x="2699" y="2124"/>
                </a:cubicBezTo>
                <a:cubicBezTo>
                  <a:pt x="2703" y="2123"/>
                  <a:pt x="2708" y="2125"/>
                  <a:pt x="2709" y="212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1" name="Freeform 45"/>
          <xdr:cNvSpPr>
            <a:spLocks noEditPoints="1"/>
          </xdr:cNvSpPr>
        </xdr:nvSpPr>
        <xdr:spPr bwMode="auto">
          <a:xfrm>
            <a:off x="135" y="185"/>
            <a:ext cx="289" cy="5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5268" y="951"/>
              </a:cxn>
              <a:cxn ang="0">
                <a:pos x="5265" y="967"/>
              </a:cxn>
              <a:cxn ang="0">
                <a:pos x="0" y="15"/>
              </a:cxn>
              <a:cxn ang="0">
                <a:pos x="3" y="0"/>
              </a:cxn>
              <a:cxn ang="0">
                <a:pos x="5158" y="857"/>
              </a:cxn>
              <a:cxn ang="0">
                <a:pos x="5282" y="962"/>
              </a:cxn>
              <a:cxn ang="0">
                <a:pos x="5129" y="1017"/>
              </a:cxn>
              <a:cxn ang="0">
                <a:pos x="5119" y="1012"/>
              </a:cxn>
              <a:cxn ang="0">
                <a:pos x="5124" y="1002"/>
              </a:cxn>
              <a:cxn ang="0">
                <a:pos x="5263" y="951"/>
              </a:cxn>
              <a:cxn ang="0">
                <a:pos x="5261" y="965"/>
              </a:cxn>
              <a:cxn ang="0">
                <a:pos x="5148" y="869"/>
              </a:cxn>
              <a:cxn ang="0">
                <a:pos x="5147" y="857"/>
              </a:cxn>
              <a:cxn ang="0">
                <a:pos x="5158" y="857"/>
              </a:cxn>
            </a:cxnLst>
            <a:rect l="0" t="0" r="r" b="b"/>
            <a:pathLst>
              <a:path w="5282" h="1019">
                <a:moveTo>
                  <a:pt x="3" y="0"/>
                </a:moveTo>
                <a:lnTo>
                  <a:pt x="5268" y="951"/>
                </a:lnTo>
                <a:lnTo>
                  <a:pt x="5265" y="967"/>
                </a:lnTo>
                <a:lnTo>
                  <a:pt x="0" y="15"/>
                </a:lnTo>
                <a:lnTo>
                  <a:pt x="3" y="0"/>
                </a:lnTo>
                <a:close/>
                <a:moveTo>
                  <a:pt x="5158" y="857"/>
                </a:moveTo>
                <a:lnTo>
                  <a:pt x="5282" y="962"/>
                </a:lnTo>
                <a:lnTo>
                  <a:pt x="5129" y="1017"/>
                </a:lnTo>
                <a:cubicBezTo>
                  <a:pt x="5125" y="1019"/>
                  <a:pt x="5121" y="1017"/>
                  <a:pt x="5119" y="1012"/>
                </a:cubicBezTo>
                <a:cubicBezTo>
                  <a:pt x="5117" y="1008"/>
                  <a:pt x="5120" y="1004"/>
                  <a:pt x="5124" y="1002"/>
                </a:cubicBezTo>
                <a:lnTo>
                  <a:pt x="5263" y="951"/>
                </a:lnTo>
                <a:lnTo>
                  <a:pt x="5261" y="965"/>
                </a:lnTo>
                <a:lnTo>
                  <a:pt x="5148" y="869"/>
                </a:lnTo>
                <a:cubicBezTo>
                  <a:pt x="5145" y="866"/>
                  <a:pt x="5144" y="861"/>
                  <a:pt x="5147" y="857"/>
                </a:cubicBezTo>
                <a:cubicBezTo>
                  <a:pt x="5150" y="854"/>
                  <a:pt x="5155" y="854"/>
                  <a:pt x="5158" y="857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2" name="Freeform 46"/>
          <xdr:cNvSpPr>
            <a:spLocks noEditPoints="1"/>
          </xdr:cNvSpPr>
        </xdr:nvSpPr>
        <xdr:spPr bwMode="auto">
          <a:xfrm>
            <a:off x="207" y="257"/>
            <a:ext cx="138" cy="15"/>
          </a:xfrm>
          <a:custGeom>
            <a:avLst/>
            <a:gdLst/>
            <a:ahLst/>
            <a:cxnLst>
              <a:cxn ang="0">
                <a:pos x="1" y="0"/>
              </a:cxn>
              <a:cxn ang="0">
                <a:pos x="2505" y="191"/>
              </a:cxn>
              <a:cxn ang="0">
                <a:pos x="2504" y="207"/>
              </a:cxn>
              <a:cxn ang="0">
                <a:pos x="0" y="16"/>
              </a:cxn>
              <a:cxn ang="0">
                <a:pos x="1" y="0"/>
              </a:cxn>
              <a:cxn ang="0">
                <a:pos x="2387" y="108"/>
              </a:cxn>
              <a:cxn ang="0">
                <a:pos x="2521" y="200"/>
              </a:cxn>
              <a:cxn ang="0">
                <a:pos x="2375" y="271"/>
              </a:cxn>
              <a:cxn ang="0">
                <a:pos x="2364" y="267"/>
              </a:cxn>
              <a:cxn ang="0">
                <a:pos x="2368" y="257"/>
              </a:cxn>
              <a:cxn ang="0">
                <a:pos x="2501" y="192"/>
              </a:cxn>
              <a:cxn ang="0">
                <a:pos x="2500" y="206"/>
              </a:cxn>
              <a:cxn ang="0">
                <a:pos x="2378" y="121"/>
              </a:cxn>
              <a:cxn ang="0">
                <a:pos x="2376" y="110"/>
              </a:cxn>
              <a:cxn ang="0">
                <a:pos x="2387" y="108"/>
              </a:cxn>
            </a:cxnLst>
            <a:rect l="0" t="0" r="r" b="b"/>
            <a:pathLst>
              <a:path w="2521" h="273">
                <a:moveTo>
                  <a:pt x="1" y="0"/>
                </a:moveTo>
                <a:lnTo>
                  <a:pt x="2505" y="191"/>
                </a:lnTo>
                <a:lnTo>
                  <a:pt x="2504" y="207"/>
                </a:lnTo>
                <a:lnTo>
                  <a:pt x="0" y="16"/>
                </a:lnTo>
                <a:lnTo>
                  <a:pt x="1" y="0"/>
                </a:lnTo>
                <a:close/>
                <a:moveTo>
                  <a:pt x="2387" y="108"/>
                </a:moveTo>
                <a:lnTo>
                  <a:pt x="2521" y="200"/>
                </a:lnTo>
                <a:lnTo>
                  <a:pt x="2375" y="271"/>
                </a:lnTo>
                <a:cubicBezTo>
                  <a:pt x="2371" y="273"/>
                  <a:pt x="2366" y="271"/>
                  <a:pt x="2364" y="267"/>
                </a:cubicBezTo>
                <a:cubicBezTo>
                  <a:pt x="2362" y="263"/>
                  <a:pt x="2364" y="259"/>
                  <a:pt x="2368" y="257"/>
                </a:cubicBezTo>
                <a:lnTo>
                  <a:pt x="2501" y="192"/>
                </a:lnTo>
                <a:lnTo>
                  <a:pt x="2500" y="206"/>
                </a:lnTo>
                <a:lnTo>
                  <a:pt x="2378" y="121"/>
                </a:lnTo>
                <a:cubicBezTo>
                  <a:pt x="2374" y="119"/>
                  <a:pt x="2373" y="114"/>
                  <a:pt x="2376" y="110"/>
                </a:cubicBezTo>
                <a:cubicBezTo>
                  <a:pt x="2379" y="107"/>
                  <a:pt x="2383" y="106"/>
                  <a:pt x="2387" y="108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3" name="Freeform 47"/>
          <xdr:cNvSpPr>
            <a:spLocks noEditPoints="1"/>
          </xdr:cNvSpPr>
        </xdr:nvSpPr>
        <xdr:spPr bwMode="auto">
          <a:xfrm>
            <a:off x="425" y="244"/>
            <a:ext cx="249" cy="224"/>
          </a:xfrm>
          <a:custGeom>
            <a:avLst/>
            <a:gdLst/>
            <a:ahLst/>
            <a:cxnLst>
              <a:cxn ang="0">
                <a:pos x="4566" y="12"/>
              </a:cxn>
              <a:cxn ang="0">
                <a:pos x="18" y="4082"/>
              </a:cxn>
              <a:cxn ang="0">
                <a:pos x="7" y="4070"/>
              </a:cxn>
              <a:cxn ang="0">
                <a:pos x="4555" y="0"/>
              </a:cxn>
              <a:cxn ang="0">
                <a:pos x="4566" y="12"/>
              </a:cxn>
              <a:cxn ang="0">
                <a:pos x="159" y="4054"/>
              </a:cxn>
              <a:cxn ang="0">
                <a:pos x="0" y="4087"/>
              </a:cxn>
              <a:cxn ang="0">
                <a:pos x="50" y="3932"/>
              </a:cxn>
              <a:cxn ang="0">
                <a:pos x="60" y="3927"/>
              </a:cxn>
              <a:cxn ang="0">
                <a:pos x="66" y="3937"/>
              </a:cxn>
              <a:cxn ang="0">
                <a:pos x="20" y="4078"/>
              </a:cxn>
              <a:cxn ang="0">
                <a:pos x="11" y="4068"/>
              </a:cxn>
              <a:cxn ang="0">
                <a:pos x="156" y="4038"/>
              </a:cxn>
              <a:cxn ang="0">
                <a:pos x="165" y="4045"/>
              </a:cxn>
              <a:cxn ang="0">
                <a:pos x="159" y="4054"/>
              </a:cxn>
            </a:cxnLst>
            <a:rect l="0" t="0" r="r" b="b"/>
            <a:pathLst>
              <a:path w="4566" h="4087">
                <a:moveTo>
                  <a:pt x="4566" y="12"/>
                </a:moveTo>
                <a:lnTo>
                  <a:pt x="18" y="4082"/>
                </a:lnTo>
                <a:lnTo>
                  <a:pt x="7" y="4070"/>
                </a:lnTo>
                <a:lnTo>
                  <a:pt x="4555" y="0"/>
                </a:lnTo>
                <a:lnTo>
                  <a:pt x="4566" y="12"/>
                </a:lnTo>
                <a:close/>
                <a:moveTo>
                  <a:pt x="159" y="4054"/>
                </a:moveTo>
                <a:lnTo>
                  <a:pt x="0" y="4087"/>
                </a:lnTo>
                <a:lnTo>
                  <a:pt x="50" y="3932"/>
                </a:lnTo>
                <a:cubicBezTo>
                  <a:pt x="52" y="3928"/>
                  <a:pt x="56" y="3926"/>
                  <a:pt x="60" y="3927"/>
                </a:cubicBezTo>
                <a:cubicBezTo>
                  <a:pt x="65" y="3929"/>
                  <a:pt x="67" y="3933"/>
                  <a:pt x="66" y="3937"/>
                </a:cubicBezTo>
                <a:lnTo>
                  <a:pt x="20" y="4078"/>
                </a:lnTo>
                <a:lnTo>
                  <a:pt x="11" y="4068"/>
                </a:lnTo>
                <a:lnTo>
                  <a:pt x="156" y="4038"/>
                </a:lnTo>
                <a:cubicBezTo>
                  <a:pt x="160" y="4037"/>
                  <a:pt x="165" y="4040"/>
                  <a:pt x="165" y="4045"/>
                </a:cubicBezTo>
                <a:cubicBezTo>
                  <a:pt x="166" y="4049"/>
                  <a:pt x="164" y="4053"/>
                  <a:pt x="159" y="4054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4" name="Freeform 48"/>
          <xdr:cNvSpPr>
            <a:spLocks noEditPoints="1"/>
          </xdr:cNvSpPr>
        </xdr:nvSpPr>
        <xdr:spPr bwMode="auto">
          <a:xfrm>
            <a:off x="419" y="298"/>
            <a:ext cx="9" cy="171"/>
          </a:xfrm>
          <a:custGeom>
            <a:avLst/>
            <a:gdLst/>
            <a:ahLst/>
            <a:cxnLst>
              <a:cxn ang="0">
                <a:pos x="94" y="0"/>
              </a:cxn>
              <a:cxn ang="0">
                <a:pos x="91" y="3105"/>
              </a:cxn>
              <a:cxn ang="0">
                <a:pos x="75" y="3105"/>
              </a:cxn>
              <a:cxn ang="0">
                <a:pos x="78" y="0"/>
              </a:cxn>
              <a:cxn ang="0">
                <a:pos x="94" y="0"/>
              </a:cxn>
              <a:cxn ang="0">
                <a:pos x="165" y="2981"/>
              </a:cxn>
              <a:cxn ang="0">
                <a:pos x="83" y="3121"/>
              </a:cxn>
              <a:cxn ang="0">
                <a:pos x="2" y="2980"/>
              </a:cxn>
              <a:cxn ang="0">
                <a:pos x="5" y="2970"/>
              </a:cxn>
              <a:cxn ang="0">
                <a:pos x="16" y="2972"/>
              </a:cxn>
              <a:cxn ang="0">
                <a:pos x="90" y="3101"/>
              </a:cxn>
              <a:cxn ang="0">
                <a:pos x="77" y="3101"/>
              </a:cxn>
              <a:cxn ang="0">
                <a:pos x="151" y="2973"/>
              </a:cxn>
              <a:cxn ang="0">
                <a:pos x="162" y="2970"/>
              </a:cxn>
              <a:cxn ang="0">
                <a:pos x="165" y="2981"/>
              </a:cxn>
            </a:cxnLst>
            <a:rect l="0" t="0" r="r" b="b"/>
            <a:pathLst>
              <a:path w="167" h="3121">
                <a:moveTo>
                  <a:pt x="94" y="0"/>
                </a:moveTo>
                <a:lnTo>
                  <a:pt x="91" y="3105"/>
                </a:lnTo>
                <a:lnTo>
                  <a:pt x="75" y="3105"/>
                </a:lnTo>
                <a:lnTo>
                  <a:pt x="78" y="0"/>
                </a:lnTo>
                <a:lnTo>
                  <a:pt x="94" y="0"/>
                </a:lnTo>
                <a:close/>
                <a:moveTo>
                  <a:pt x="165" y="2981"/>
                </a:moveTo>
                <a:lnTo>
                  <a:pt x="83" y="3121"/>
                </a:lnTo>
                <a:lnTo>
                  <a:pt x="2" y="2980"/>
                </a:lnTo>
                <a:cubicBezTo>
                  <a:pt x="0" y="2977"/>
                  <a:pt x="1" y="2972"/>
                  <a:pt x="5" y="2970"/>
                </a:cubicBezTo>
                <a:cubicBezTo>
                  <a:pt x="9" y="2967"/>
                  <a:pt x="14" y="2969"/>
                  <a:pt x="16" y="2972"/>
                </a:cubicBezTo>
                <a:lnTo>
                  <a:pt x="90" y="3101"/>
                </a:lnTo>
                <a:lnTo>
                  <a:pt x="77" y="3101"/>
                </a:lnTo>
                <a:lnTo>
                  <a:pt x="151" y="2973"/>
                </a:lnTo>
                <a:cubicBezTo>
                  <a:pt x="154" y="2969"/>
                  <a:pt x="159" y="2967"/>
                  <a:pt x="162" y="2970"/>
                </a:cubicBezTo>
                <a:cubicBezTo>
                  <a:pt x="166" y="2972"/>
                  <a:pt x="167" y="2977"/>
                  <a:pt x="165" y="2981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  <xdr:sp macro="" textlink="">
        <xdr:nvSpPr>
          <xdr:cNvPr id="9265" name="Freeform 49"/>
          <xdr:cNvSpPr>
            <a:spLocks noEditPoints="1"/>
          </xdr:cNvSpPr>
        </xdr:nvSpPr>
        <xdr:spPr bwMode="auto">
          <a:xfrm>
            <a:off x="318" y="419"/>
            <a:ext cx="106" cy="50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1912" y="878"/>
              </a:cxn>
              <a:cxn ang="0">
                <a:pos x="1906" y="892"/>
              </a:cxn>
              <a:cxn ang="0">
                <a:pos x="0" y="15"/>
              </a:cxn>
              <a:cxn ang="0">
                <a:pos x="7" y="0"/>
              </a:cxn>
              <a:cxn ang="0">
                <a:pos x="1831" y="759"/>
              </a:cxn>
              <a:cxn ang="0">
                <a:pos x="1924" y="892"/>
              </a:cxn>
              <a:cxn ang="0">
                <a:pos x="1762" y="907"/>
              </a:cxn>
              <a:cxn ang="0">
                <a:pos x="1753" y="900"/>
              </a:cxn>
              <a:cxn ang="0">
                <a:pos x="1761" y="891"/>
              </a:cxn>
              <a:cxn ang="0">
                <a:pos x="1908" y="877"/>
              </a:cxn>
              <a:cxn ang="0">
                <a:pos x="1903" y="890"/>
              </a:cxn>
              <a:cxn ang="0">
                <a:pos x="1817" y="768"/>
              </a:cxn>
              <a:cxn ang="0">
                <a:pos x="1819" y="757"/>
              </a:cxn>
              <a:cxn ang="0">
                <a:pos x="1831" y="759"/>
              </a:cxn>
            </a:cxnLst>
            <a:rect l="0" t="0" r="r" b="b"/>
            <a:pathLst>
              <a:path w="1924" h="908">
                <a:moveTo>
                  <a:pt x="7" y="0"/>
                </a:moveTo>
                <a:lnTo>
                  <a:pt x="1912" y="878"/>
                </a:lnTo>
                <a:lnTo>
                  <a:pt x="1906" y="892"/>
                </a:lnTo>
                <a:lnTo>
                  <a:pt x="0" y="15"/>
                </a:lnTo>
                <a:lnTo>
                  <a:pt x="7" y="0"/>
                </a:lnTo>
                <a:close/>
                <a:moveTo>
                  <a:pt x="1831" y="759"/>
                </a:moveTo>
                <a:lnTo>
                  <a:pt x="1924" y="892"/>
                </a:lnTo>
                <a:lnTo>
                  <a:pt x="1762" y="907"/>
                </a:lnTo>
                <a:cubicBezTo>
                  <a:pt x="1758" y="908"/>
                  <a:pt x="1754" y="904"/>
                  <a:pt x="1753" y="900"/>
                </a:cubicBezTo>
                <a:cubicBezTo>
                  <a:pt x="1753" y="896"/>
                  <a:pt x="1756" y="892"/>
                  <a:pt x="1761" y="891"/>
                </a:cubicBezTo>
                <a:lnTo>
                  <a:pt x="1908" y="877"/>
                </a:lnTo>
                <a:lnTo>
                  <a:pt x="1903" y="890"/>
                </a:lnTo>
                <a:lnTo>
                  <a:pt x="1817" y="768"/>
                </a:lnTo>
                <a:cubicBezTo>
                  <a:pt x="1815" y="764"/>
                  <a:pt x="1816" y="759"/>
                  <a:pt x="1819" y="757"/>
                </a:cubicBezTo>
                <a:cubicBezTo>
                  <a:pt x="1823" y="754"/>
                  <a:pt x="1828" y="755"/>
                  <a:pt x="1831" y="759"/>
                </a:cubicBezTo>
                <a:close/>
              </a:path>
            </a:pathLst>
          </a:custGeom>
          <a:solidFill>
            <a:srgbClr val="4A7EBB"/>
          </a:solidFill>
          <a:ln w="0" cap="flat">
            <a:solidFill>
              <a:srgbClr val="4A7EBB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31</xdr:row>
      <xdr:rowOff>66675</xdr:rowOff>
    </xdr:from>
    <xdr:to>
      <xdr:col>11</xdr:col>
      <xdr:colOff>485775</xdr:colOff>
      <xdr:row>33</xdr:row>
      <xdr:rowOff>123825</xdr:rowOff>
    </xdr:to>
    <xdr:pic>
      <xdr:nvPicPr>
        <xdr:cNvPr id="30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57825" y="6096000"/>
          <a:ext cx="3762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380999</xdr:colOff>
      <xdr:row>43</xdr:row>
      <xdr:rowOff>47627</xdr:rowOff>
    </xdr:from>
    <xdr:to>
      <xdr:col>12</xdr:col>
      <xdr:colOff>638175</xdr:colOff>
      <xdr:row>46</xdr:row>
      <xdr:rowOff>114116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05474" y="7572377"/>
          <a:ext cx="5619751" cy="55226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680357</xdr:colOff>
      <xdr:row>60</xdr:row>
      <xdr:rowOff>0</xdr:rowOff>
    </xdr:from>
    <xdr:to>
      <xdr:col>11</xdr:col>
      <xdr:colOff>318407</xdr:colOff>
      <xdr:row>64</xdr:row>
      <xdr:rowOff>19404</xdr:rowOff>
    </xdr:to>
    <xdr:pic>
      <xdr:nvPicPr>
        <xdr:cNvPr id="102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7143" y="10668000"/>
          <a:ext cx="4482193" cy="67254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1</xdr:rowOff>
    </xdr:from>
    <xdr:to>
      <xdr:col>10</xdr:col>
      <xdr:colOff>247650</xdr:colOff>
      <xdr:row>13</xdr:row>
      <xdr:rowOff>200025</xdr:rowOff>
    </xdr:to>
    <xdr:pic>
      <xdr:nvPicPr>
        <xdr:cNvPr id="41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676900" y="3438526"/>
          <a:ext cx="3676650" cy="380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9</xdr:col>
      <xdr:colOff>371475</xdr:colOff>
      <xdr:row>33</xdr:row>
      <xdr:rowOff>95250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24500" y="4486275"/>
          <a:ext cx="31527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135</xdr:row>
      <xdr:rowOff>104775</xdr:rowOff>
    </xdr:from>
    <xdr:to>
      <xdr:col>8</xdr:col>
      <xdr:colOff>542925</xdr:colOff>
      <xdr:row>137</xdr:row>
      <xdr:rowOff>95250</xdr:rowOff>
    </xdr:to>
    <xdr:pic>
      <xdr:nvPicPr>
        <xdr:cNvPr id="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24225" y="20069175"/>
          <a:ext cx="4800600" cy="314325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53</xdr:row>
      <xdr:rowOff>0</xdr:rowOff>
    </xdr:from>
    <xdr:to>
      <xdr:col>10</xdr:col>
      <xdr:colOff>371475</xdr:colOff>
      <xdr:row>54</xdr:row>
      <xdr:rowOff>219075</xdr:rowOff>
    </xdr:to>
    <xdr:pic>
      <xdr:nvPicPr>
        <xdr:cNvPr id="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53175" y="9391650"/>
          <a:ext cx="3343275" cy="381000"/>
        </a:xfrm>
        <a:prstGeom prst="rect">
          <a:avLst/>
        </a:prstGeom>
        <a:noFill/>
      </xdr:spPr>
    </xdr:pic>
    <xdr:clientData/>
  </xdr:twoCellAnchor>
  <xdr:twoCellAnchor>
    <xdr:from>
      <xdr:col>8</xdr:col>
      <xdr:colOff>219075</xdr:colOff>
      <xdr:row>15</xdr:row>
      <xdr:rowOff>19050</xdr:rowOff>
    </xdr:from>
    <xdr:to>
      <xdr:col>16</xdr:col>
      <xdr:colOff>381000</xdr:colOff>
      <xdr:row>17</xdr:row>
      <xdr:rowOff>142874</xdr:rowOff>
    </xdr:to>
    <xdr:pic>
      <xdr:nvPicPr>
        <xdr:cNvPr id="5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058150" y="2714625"/>
          <a:ext cx="593407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704850</xdr:colOff>
      <xdr:row>4</xdr:row>
      <xdr:rowOff>152400</xdr:rowOff>
    </xdr:from>
    <xdr:to>
      <xdr:col>8</xdr:col>
      <xdr:colOff>117475</xdr:colOff>
      <xdr:row>5</xdr:row>
      <xdr:rowOff>19050</xdr:rowOff>
    </xdr:to>
    <xdr:pic>
      <xdr:nvPicPr>
        <xdr:cNvPr id="516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67450" y="857250"/>
          <a:ext cx="2762250" cy="1714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101600</xdr:colOff>
      <xdr:row>162</xdr:row>
      <xdr:rowOff>25400</xdr:rowOff>
    </xdr:from>
    <xdr:to>
      <xdr:col>7</xdr:col>
      <xdr:colOff>825500</xdr:colOff>
      <xdr:row>163</xdr:row>
      <xdr:rowOff>98425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400" y="26530300"/>
          <a:ext cx="31369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172</xdr:row>
      <xdr:rowOff>25400</xdr:rowOff>
    </xdr:from>
    <xdr:to>
      <xdr:col>7</xdr:col>
      <xdr:colOff>720725</xdr:colOff>
      <xdr:row>173</xdr:row>
      <xdr:rowOff>98424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28587700"/>
          <a:ext cx="30956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183</xdr:row>
      <xdr:rowOff>0</xdr:rowOff>
    </xdr:from>
    <xdr:to>
      <xdr:col>6</xdr:col>
      <xdr:colOff>508000</xdr:colOff>
      <xdr:row>184</xdr:row>
      <xdr:rowOff>63500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0900" y="30784800"/>
          <a:ext cx="2133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192</xdr:row>
      <xdr:rowOff>50800</xdr:rowOff>
    </xdr:from>
    <xdr:to>
      <xdr:col>6</xdr:col>
      <xdr:colOff>298450</xdr:colOff>
      <xdr:row>193</xdr:row>
      <xdr:rowOff>95251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2800" y="32346900"/>
          <a:ext cx="19621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12700</xdr:colOff>
      <xdr:row>201</xdr:row>
      <xdr:rowOff>38100</xdr:rowOff>
    </xdr:from>
    <xdr:to>
      <xdr:col>7</xdr:col>
      <xdr:colOff>428625</xdr:colOff>
      <xdr:row>202</xdr:row>
      <xdr:rowOff>53974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3985200"/>
          <a:ext cx="28289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30</xdr:row>
      <xdr:rowOff>130920</xdr:rowOff>
    </xdr:from>
    <xdr:to>
      <xdr:col>6</xdr:col>
      <xdr:colOff>752475</xdr:colOff>
      <xdr:row>31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057650" y="5369670"/>
          <a:ext cx="1581150" cy="2500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171450</xdr:colOff>
      <xdr:row>39</xdr:row>
      <xdr:rowOff>66675</xdr:rowOff>
    </xdr:from>
    <xdr:to>
      <xdr:col>8</xdr:col>
      <xdr:colOff>371475</xdr:colOff>
      <xdr:row>43</xdr:row>
      <xdr:rowOff>152400</xdr:rowOff>
    </xdr:to>
    <xdr:pic>
      <xdr:nvPicPr>
        <xdr:cNvPr id="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76675" y="6591300"/>
          <a:ext cx="3190875" cy="733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22</xdr:row>
      <xdr:rowOff>38100</xdr:rowOff>
    </xdr:from>
    <xdr:to>
      <xdr:col>12</xdr:col>
      <xdr:colOff>95250</xdr:colOff>
      <xdr:row>24</xdr:row>
      <xdr:rowOff>57150</xdr:rowOff>
    </xdr:to>
    <xdr:pic>
      <xdr:nvPicPr>
        <xdr:cNvPr id="717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981575" y="4276725"/>
          <a:ext cx="38957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19</xdr:row>
      <xdr:rowOff>76201</xdr:rowOff>
    </xdr:from>
    <xdr:to>
      <xdr:col>10</xdr:col>
      <xdr:colOff>466725</xdr:colOff>
      <xdr:row>21</xdr:row>
      <xdr:rowOff>85725</xdr:rowOff>
    </xdr:to>
    <xdr:pic>
      <xdr:nvPicPr>
        <xdr:cNvPr id="71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76775" y="3562351"/>
          <a:ext cx="28956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6</xdr:row>
      <xdr:rowOff>0</xdr:rowOff>
    </xdr:from>
    <xdr:to>
      <xdr:col>11</xdr:col>
      <xdr:colOff>409575</xdr:colOff>
      <xdr:row>7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38750" y="1066800"/>
          <a:ext cx="3933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638175</xdr:colOff>
      <xdr:row>19</xdr:row>
      <xdr:rowOff>38100</xdr:rowOff>
    </xdr:from>
    <xdr:to>
      <xdr:col>8</xdr:col>
      <xdr:colOff>400050</xdr:colOff>
      <xdr:row>20</xdr:row>
      <xdr:rowOff>38100</xdr:rowOff>
    </xdr:to>
    <xdr:pic>
      <xdr:nvPicPr>
        <xdr:cNvPr id="184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86375" y="2933700"/>
          <a:ext cx="18192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26</xdr:row>
      <xdr:rowOff>95250</xdr:rowOff>
    </xdr:from>
    <xdr:to>
      <xdr:col>12</xdr:col>
      <xdr:colOff>447675</xdr:colOff>
      <xdr:row>28</xdr:row>
      <xdr:rowOff>95250</xdr:rowOff>
    </xdr:to>
    <xdr:pic>
      <xdr:nvPicPr>
        <xdr:cNvPr id="184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38675"/>
          <a:ext cx="53054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58</xdr:row>
      <xdr:rowOff>66675</xdr:rowOff>
    </xdr:from>
    <xdr:to>
      <xdr:col>7</xdr:col>
      <xdr:colOff>542925</xdr:colOff>
      <xdr:row>61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19725" y="9867900"/>
          <a:ext cx="1685925" cy="479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76</xdr:row>
      <xdr:rowOff>171451</xdr:rowOff>
    </xdr:from>
    <xdr:to>
      <xdr:col>8</xdr:col>
      <xdr:colOff>342900</xdr:colOff>
      <xdr:row>77</xdr:row>
      <xdr:rowOff>257176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734050" y="13182601"/>
          <a:ext cx="1600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200025</xdr:colOff>
      <xdr:row>84</xdr:row>
      <xdr:rowOff>95250</xdr:rowOff>
    </xdr:from>
    <xdr:to>
      <xdr:col>12</xdr:col>
      <xdr:colOff>447675</xdr:colOff>
      <xdr:row>86</xdr:row>
      <xdr:rowOff>133350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705350" y="4648200"/>
          <a:ext cx="53054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116</xdr:row>
      <xdr:rowOff>66675</xdr:rowOff>
    </xdr:from>
    <xdr:to>
      <xdr:col>7</xdr:col>
      <xdr:colOff>542925</xdr:colOff>
      <xdr:row>119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53050" y="10239375"/>
          <a:ext cx="1552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45</xdr:row>
      <xdr:rowOff>0</xdr:rowOff>
    </xdr:from>
    <xdr:to>
      <xdr:col>11</xdr:col>
      <xdr:colOff>619125</xdr:colOff>
      <xdr:row>47</xdr:row>
      <xdr:rowOff>152400</xdr:rowOff>
    </xdr:to>
    <xdr:grpSp>
      <xdr:nvGrpSpPr>
        <xdr:cNvPr id="23" name="Group 1"/>
        <xdr:cNvGrpSpPr>
          <a:grpSpLocks noChangeAspect="1"/>
        </xdr:cNvGrpSpPr>
      </xdr:nvGrpSpPr>
      <xdr:grpSpPr bwMode="auto">
        <a:xfrm>
          <a:off x="4896971" y="7390280"/>
          <a:ext cx="5286375" cy="482973"/>
          <a:chOff x="0" y="-122"/>
          <a:chExt cx="7375" cy="815"/>
        </a:xfrm>
      </xdr:grpSpPr>
      <xdr:sp macro="" textlink="">
        <xdr:nvSpPr>
          <xdr:cNvPr id="24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25" name="Rectangle 32"/>
          <xdr:cNvSpPr>
            <a:spLocks noChangeArrowheads="1"/>
          </xdr:cNvSpPr>
        </xdr:nvSpPr>
        <xdr:spPr bwMode="auto">
          <a:xfrm>
            <a:off x="1830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6" name="Rectangle 31"/>
          <xdr:cNvSpPr>
            <a:spLocks noChangeArrowheads="1"/>
          </xdr:cNvSpPr>
        </xdr:nvSpPr>
        <xdr:spPr bwMode="auto">
          <a:xfrm>
            <a:off x="3778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7" name="Rectangle 30"/>
          <xdr:cNvSpPr>
            <a:spLocks noChangeArrowheads="1"/>
          </xdr:cNvSpPr>
        </xdr:nvSpPr>
        <xdr:spPr bwMode="auto">
          <a:xfrm>
            <a:off x="911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28" name="Rectangle 29"/>
          <xdr:cNvSpPr>
            <a:spLocks noChangeArrowheads="1"/>
          </xdr:cNvSpPr>
        </xdr:nvSpPr>
        <xdr:spPr bwMode="auto">
          <a:xfrm>
            <a:off x="4558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29" name="Rectangle 28"/>
          <xdr:cNvSpPr>
            <a:spLocks noChangeArrowheads="1"/>
          </xdr:cNvSpPr>
        </xdr:nvSpPr>
        <xdr:spPr bwMode="auto">
          <a:xfrm>
            <a:off x="4832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30" name="Rectangle 27"/>
          <xdr:cNvSpPr>
            <a:spLocks noChangeArrowheads="1"/>
          </xdr:cNvSpPr>
        </xdr:nvSpPr>
        <xdr:spPr bwMode="auto">
          <a:xfrm>
            <a:off x="7192" y="-122"/>
            <a:ext cx="101" cy="45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31" name="Rectangle 26"/>
          <xdr:cNvSpPr>
            <a:spLocks noChangeArrowheads="1"/>
          </xdr:cNvSpPr>
        </xdr:nvSpPr>
        <xdr:spPr bwMode="auto">
          <a:xfrm>
            <a:off x="7105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2" name="Rectangle 25"/>
          <xdr:cNvSpPr>
            <a:spLocks noChangeArrowheads="1"/>
          </xdr:cNvSpPr>
        </xdr:nvSpPr>
        <xdr:spPr bwMode="auto">
          <a:xfrm>
            <a:off x="6404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3" name="Rectangle 24"/>
          <xdr:cNvSpPr>
            <a:spLocks noChangeArrowheads="1"/>
          </xdr:cNvSpPr>
        </xdr:nvSpPr>
        <xdr:spPr bwMode="auto">
          <a:xfrm>
            <a:off x="5238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4" name="Rectangle 23"/>
          <xdr:cNvSpPr>
            <a:spLocks noChangeArrowheads="1"/>
          </xdr:cNvSpPr>
        </xdr:nvSpPr>
        <xdr:spPr bwMode="auto">
          <a:xfrm>
            <a:off x="5226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5" name="Rectangle 22"/>
          <xdr:cNvSpPr>
            <a:spLocks noChangeArrowheads="1"/>
          </xdr:cNvSpPr>
        </xdr:nvSpPr>
        <xdr:spPr bwMode="auto">
          <a:xfrm>
            <a:off x="4471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6" name="Rectangle 21"/>
          <xdr:cNvSpPr>
            <a:spLocks noChangeArrowheads="1"/>
          </xdr:cNvSpPr>
        </xdr:nvSpPr>
        <xdr:spPr bwMode="auto">
          <a:xfrm>
            <a:off x="3663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7" name="Rectangle 20"/>
          <xdr:cNvSpPr>
            <a:spLocks noChangeArrowheads="1"/>
          </xdr:cNvSpPr>
        </xdr:nvSpPr>
        <xdr:spPr bwMode="auto">
          <a:xfrm>
            <a:off x="2608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38" name="Rectangle 19"/>
          <xdr:cNvSpPr>
            <a:spLocks noChangeArrowheads="1"/>
          </xdr:cNvSpPr>
        </xdr:nvSpPr>
        <xdr:spPr bwMode="auto">
          <a:xfrm>
            <a:off x="2591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39" name="Rectangle 18"/>
          <xdr:cNvSpPr>
            <a:spLocks noChangeArrowheads="1"/>
          </xdr:cNvSpPr>
        </xdr:nvSpPr>
        <xdr:spPr bwMode="auto">
          <a:xfrm>
            <a:off x="630" y="2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40" name="Rectangle 17"/>
          <xdr:cNvSpPr>
            <a:spLocks noChangeArrowheads="1"/>
          </xdr:cNvSpPr>
        </xdr:nvSpPr>
        <xdr:spPr bwMode="auto">
          <a:xfrm>
            <a:off x="613" y="153"/>
            <a:ext cx="35" cy="1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41" name="Rectangle 16"/>
          <xdr:cNvSpPr>
            <a:spLocks noChangeArrowheads="1"/>
          </xdr:cNvSpPr>
        </xdr:nvSpPr>
        <xdr:spPr bwMode="auto">
          <a:xfrm>
            <a:off x="6654" y="57"/>
            <a:ext cx="349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5475" y="57"/>
            <a:ext cx="734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3" name="Rectangle 14"/>
          <xdr:cNvSpPr>
            <a:spLocks noChangeArrowheads="1"/>
          </xdr:cNvSpPr>
        </xdr:nvSpPr>
        <xdr:spPr bwMode="auto">
          <a:xfrm>
            <a:off x="4886" y="57"/>
            <a:ext cx="268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44" name="Rectangle 13"/>
          <xdr:cNvSpPr>
            <a:spLocks noChangeArrowheads="1"/>
          </xdr:cNvSpPr>
        </xdr:nvSpPr>
        <xdr:spPr bwMode="auto">
          <a:xfrm>
            <a:off x="4076" y="57"/>
            <a:ext cx="349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45" name="Rectangle 12"/>
          <xdr:cNvSpPr>
            <a:spLocks noChangeArrowheads="1"/>
          </xdr:cNvSpPr>
        </xdr:nvSpPr>
        <xdr:spPr bwMode="auto">
          <a:xfrm>
            <a:off x="2846" y="57"/>
            <a:ext cx="734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46" name="Rectangle 11"/>
          <xdr:cNvSpPr>
            <a:spLocks noChangeArrowheads="1"/>
          </xdr:cNvSpPr>
        </xdr:nvSpPr>
        <xdr:spPr bwMode="auto">
          <a:xfrm>
            <a:off x="1884" y="57"/>
            <a:ext cx="564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47" name="Rectangle 10"/>
          <xdr:cNvSpPr>
            <a:spLocks noChangeArrowheads="1"/>
          </xdr:cNvSpPr>
        </xdr:nvSpPr>
        <xdr:spPr bwMode="auto">
          <a:xfrm>
            <a:off x="953" y="57"/>
            <a:ext cx="573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48" name="Rectangle 9"/>
          <xdr:cNvSpPr>
            <a:spLocks noChangeArrowheads="1"/>
          </xdr:cNvSpPr>
        </xdr:nvSpPr>
        <xdr:spPr bwMode="auto">
          <a:xfrm>
            <a:off x="43" y="57"/>
            <a:ext cx="456" cy="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49" name="Rectangle 8"/>
          <xdr:cNvSpPr>
            <a:spLocks noChangeArrowheads="1"/>
          </xdr:cNvSpPr>
        </xdr:nvSpPr>
        <xdr:spPr bwMode="auto">
          <a:xfrm>
            <a:off x="6500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0" name="Rectangle 7"/>
          <xdr:cNvSpPr>
            <a:spLocks noChangeArrowheads="1"/>
          </xdr:cNvSpPr>
        </xdr:nvSpPr>
        <xdr:spPr bwMode="auto">
          <a:xfrm>
            <a:off x="5334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1" name="Rectangle 6"/>
          <xdr:cNvSpPr>
            <a:spLocks noChangeArrowheads="1"/>
          </xdr:cNvSpPr>
        </xdr:nvSpPr>
        <xdr:spPr bwMode="auto">
          <a:xfrm>
            <a:off x="4728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52" name="Rectangle 5"/>
          <xdr:cNvSpPr>
            <a:spLocks noChangeArrowheads="1"/>
          </xdr:cNvSpPr>
        </xdr:nvSpPr>
        <xdr:spPr bwMode="auto">
          <a:xfrm>
            <a:off x="3922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3" name="Rectangle 4"/>
          <xdr:cNvSpPr>
            <a:spLocks noChangeArrowheads="1"/>
          </xdr:cNvSpPr>
        </xdr:nvSpPr>
        <xdr:spPr bwMode="auto">
          <a:xfrm>
            <a:off x="2705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4" name="Rectangle 3"/>
          <xdr:cNvSpPr>
            <a:spLocks noChangeArrowheads="1"/>
          </xdr:cNvSpPr>
        </xdr:nvSpPr>
        <xdr:spPr bwMode="auto">
          <a:xfrm>
            <a:off x="1693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55" name="Rectangle 2"/>
          <xdr:cNvSpPr>
            <a:spLocks noChangeArrowheads="1"/>
          </xdr:cNvSpPr>
        </xdr:nvSpPr>
        <xdr:spPr bwMode="auto">
          <a:xfrm>
            <a:off x="754" y="36"/>
            <a:ext cx="88" cy="23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  <xdr:twoCellAnchor>
    <xdr:from>
      <xdr:col>5</xdr:col>
      <xdr:colOff>38100</xdr:colOff>
      <xdr:row>101</xdr:row>
      <xdr:rowOff>171450</xdr:rowOff>
    </xdr:from>
    <xdr:to>
      <xdr:col>12</xdr:col>
      <xdr:colOff>619125</xdr:colOff>
      <xdr:row>104</xdr:row>
      <xdr:rowOff>133350</xdr:rowOff>
    </xdr:to>
    <xdr:grpSp>
      <xdr:nvGrpSpPr>
        <xdr:cNvPr id="56" name="Group 1"/>
        <xdr:cNvGrpSpPr>
          <a:grpSpLocks noChangeAspect="1"/>
        </xdr:cNvGrpSpPr>
      </xdr:nvGrpSpPr>
      <xdr:grpSpPr bwMode="auto">
        <a:xfrm>
          <a:off x="5590615" y="16750554"/>
          <a:ext cx="5293098" cy="466164"/>
          <a:chOff x="0" y="-122"/>
          <a:chExt cx="7375" cy="815"/>
        </a:xfrm>
      </xdr:grpSpPr>
      <xdr:sp macro="" textlink="">
        <xdr:nvSpPr>
          <xdr:cNvPr id="57" name="AutoShape 33"/>
          <xdr:cNvSpPr>
            <a:spLocks noChangeAspect="1" noChangeArrowheads="1" noTextEdit="1"/>
          </xdr:cNvSpPr>
        </xdr:nvSpPr>
        <xdr:spPr bwMode="auto">
          <a:xfrm>
            <a:off x="0" y="-122"/>
            <a:ext cx="7375" cy="815"/>
          </a:xfrm>
          <a:prstGeom prst="rect">
            <a:avLst/>
          </a:prstGeom>
          <a:noFill/>
        </xdr:spPr>
      </xdr:sp>
      <xdr:sp macro="" textlink="">
        <xdr:nvSpPr>
          <xdr:cNvPr id="58" name="Rectangle 32"/>
          <xdr:cNvSpPr>
            <a:spLocks noChangeArrowheads="1"/>
          </xdr:cNvSpPr>
        </xdr:nvSpPr>
        <xdr:spPr bwMode="auto">
          <a:xfrm>
            <a:off x="1830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59" name="Rectangle 31"/>
          <xdr:cNvSpPr>
            <a:spLocks noChangeArrowheads="1"/>
          </xdr:cNvSpPr>
        </xdr:nvSpPr>
        <xdr:spPr bwMode="auto">
          <a:xfrm>
            <a:off x="3778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60" name="Rectangle 30"/>
          <xdr:cNvSpPr>
            <a:spLocks noChangeArrowheads="1"/>
          </xdr:cNvSpPr>
        </xdr:nvSpPr>
        <xdr:spPr bwMode="auto">
          <a:xfrm>
            <a:off x="911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61" name="Rectangle 29"/>
          <xdr:cNvSpPr>
            <a:spLocks noChangeArrowheads="1"/>
          </xdr:cNvSpPr>
        </xdr:nvSpPr>
        <xdr:spPr bwMode="auto">
          <a:xfrm>
            <a:off x="4558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62" name="Rectangle 61"/>
          <xdr:cNvSpPr>
            <a:spLocks noChangeArrowheads="1"/>
          </xdr:cNvSpPr>
        </xdr:nvSpPr>
        <xdr:spPr bwMode="auto">
          <a:xfrm>
            <a:off x="4832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(</a:t>
            </a:r>
          </a:p>
        </xdr:txBody>
      </xdr:sp>
      <xdr:sp macro="" textlink="">
        <xdr:nvSpPr>
          <xdr:cNvPr id="63" name="Rectangle 27"/>
          <xdr:cNvSpPr>
            <a:spLocks noChangeArrowheads="1"/>
          </xdr:cNvSpPr>
        </xdr:nvSpPr>
        <xdr:spPr bwMode="auto">
          <a:xfrm>
            <a:off x="7192" y="-122"/>
            <a:ext cx="101" cy="4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1700" b="0" i="0" u="none" strike="noStrike" baseline="0">
                <a:solidFill>
                  <a:srgbClr val="000000"/>
                </a:solidFill>
                <a:latin typeface="Symbol"/>
              </a:rPr>
              <a:t>)</a:t>
            </a:r>
          </a:p>
        </xdr:txBody>
      </xdr:sp>
      <xdr:sp macro="" textlink="">
        <xdr:nvSpPr>
          <xdr:cNvPr id="64" name="Rectangle 26"/>
          <xdr:cNvSpPr>
            <a:spLocks noChangeArrowheads="1"/>
          </xdr:cNvSpPr>
        </xdr:nvSpPr>
        <xdr:spPr bwMode="auto">
          <a:xfrm>
            <a:off x="7105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65" name="Rectangle 25"/>
          <xdr:cNvSpPr>
            <a:spLocks noChangeArrowheads="1"/>
          </xdr:cNvSpPr>
        </xdr:nvSpPr>
        <xdr:spPr bwMode="auto">
          <a:xfrm>
            <a:off x="6404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66" name="Rectangle 24"/>
          <xdr:cNvSpPr>
            <a:spLocks noChangeArrowheads="1"/>
          </xdr:cNvSpPr>
        </xdr:nvSpPr>
        <xdr:spPr bwMode="auto">
          <a:xfrm>
            <a:off x="523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67" name="Rectangle 23"/>
          <xdr:cNvSpPr>
            <a:spLocks noChangeArrowheads="1"/>
          </xdr:cNvSpPr>
        </xdr:nvSpPr>
        <xdr:spPr bwMode="auto">
          <a:xfrm>
            <a:off x="5226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68" name="Rectangle 22"/>
          <xdr:cNvSpPr>
            <a:spLocks noChangeArrowheads="1"/>
          </xdr:cNvSpPr>
        </xdr:nvSpPr>
        <xdr:spPr bwMode="auto">
          <a:xfrm>
            <a:off x="447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69" name="Rectangle 21"/>
          <xdr:cNvSpPr>
            <a:spLocks noChangeArrowheads="1"/>
          </xdr:cNvSpPr>
        </xdr:nvSpPr>
        <xdr:spPr bwMode="auto">
          <a:xfrm>
            <a:off x="3663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70" name="Rectangle 20"/>
          <xdr:cNvSpPr>
            <a:spLocks noChangeArrowheads="1"/>
          </xdr:cNvSpPr>
        </xdr:nvSpPr>
        <xdr:spPr bwMode="auto">
          <a:xfrm>
            <a:off x="2608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71" name="Rectangle 19"/>
          <xdr:cNvSpPr>
            <a:spLocks noChangeArrowheads="1"/>
          </xdr:cNvSpPr>
        </xdr:nvSpPr>
        <xdr:spPr bwMode="auto">
          <a:xfrm>
            <a:off x="2591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72" name="Rectangle 18"/>
          <xdr:cNvSpPr>
            <a:spLocks noChangeArrowheads="1"/>
          </xdr:cNvSpPr>
        </xdr:nvSpPr>
        <xdr:spPr bwMode="auto">
          <a:xfrm>
            <a:off x="630" y="2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</a:t>
            </a:r>
          </a:p>
        </xdr:txBody>
      </xdr:sp>
      <xdr:sp macro="" textlink="">
        <xdr:nvSpPr>
          <xdr:cNvPr id="73" name="Rectangle 17"/>
          <xdr:cNvSpPr>
            <a:spLocks noChangeArrowheads="1"/>
          </xdr:cNvSpPr>
        </xdr:nvSpPr>
        <xdr:spPr bwMode="auto">
          <a:xfrm>
            <a:off x="613" y="153"/>
            <a:ext cx="35" cy="18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7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</a:t>
            </a:r>
          </a:p>
        </xdr:txBody>
      </xdr:sp>
      <xdr:sp macro="" textlink="">
        <xdr:nvSpPr>
          <xdr:cNvPr id="74" name="Rectangle 16"/>
          <xdr:cNvSpPr>
            <a:spLocks noChangeArrowheads="1"/>
          </xdr:cNvSpPr>
        </xdr:nvSpPr>
        <xdr:spPr bwMode="auto">
          <a:xfrm>
            <a:off x="6654" y="57"/>
            <a:ext cx="34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75" name="Rectangle 15"/>
          <xdr:cNvSpPr>
            <a:spLocks noChangeArrowheads="1"/>
          </xdr:cNvSpPr>
        </xdr:nvSpPr>
        <xdr:spPr bwMode="auto">
          <a:xfrm>
            <a:off x="5475" y="57"/>
            <a:ext cx="73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76" name="Rectangle 14"/>
          <xdr:cNvSpPr>
            <a:spLocks noChangeArrowheads="1"/>
          </xdr:cNvSpPr>
        </xdr:nvSpPr>
        <xdr:spPr bwMode="auto">
          <a:xfrm>
            <a:off x="4886" y="57"/>
            <a:ext cx="26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Dep</a:t>
            </a:r>
          </a:p>
        </xdr:txBody>
      </xdr:sp>
      <xdr:sp macro="" textlink="">
        <xdr:nvSpPr>
          <xdr:cNvPr id="77" name="Rectangle 13"/>
          <xdr:cNvSpPr>
            <a:spLocks noChangeArrowheads="1"/>
          </xdr:cNvSpPr>
        </xdr:nvSpPr>
        <xdr:spPr bwMode="auto">
          <a:xfrm>
            <a:off x="4076" y="57"/>
            <a:ext cx="348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RPIF</a:t>
            </a:r>
          </a:p>
        </xdr:txBody>
      </xdr:sp>
      <xdr:sp macro="" textlink="">
        <xdr:nvSpPr>
          <xdr:cNvPr id="78" name="Rectangle 12"/>
          <xdr:cNvSpPr>
            <a:spLocks noChangeArrowheads="1"/>
          </xdr:cNvSpPr>
        </xdr:nvSpPr>
        <xdr:spPr bwMode="auto">
          <a:xfrm>
            <a:off x="2846" y="57"/>
            <a:ext cx="73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SAFRTIRG</a:t>
            </a:r>
          </a:p>
        </xdr:txBody>
      </xdr:sp>
      <xdr:sp macro="" textlink="">
        <xdr:nvSpPr>
          <xdr:cNvPr id="79" name="Rectangle 11"/>
          <xdr:cNvSpPr>
            <a:spLocks noChangeArrowheads="1"/>
          </xdr:cNvSpPr>
        </xdr:nvSpPr>
        <xdr:spPr bwMode="auto">
          <a:xfrm>
            <a:off x="1884" y="57"/>
            <a:ext cx="563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ETIRGC</a:t>
            </a:r>
          </a:p>
        </xdr:txBody>
      </xdr:sp>
      <xdr:sp macro="" textlink="">
        <xdr:nvSpPr>
          <xdr:cNvPr id="80" name="Rectangle 10"/>
          <xdr:cNvSpPr>
            <a:spLocks noChangeArrowheads="1"/>
          </xdr:cNvSpPr>
        </xdr:nvSpPr>
        <xdr:spPr bwMode="auto">
          <a:xfrm>
            <a:off x="953" y="57"/>
            <a:ext cx="572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CCTIRG</a:t>
            </a:r>
          </a:p>
        </xdr:txBody>
      </xdr:sp>
      <xdr:sp macro="" textlink="">
        <xdr:nvSpPr>
          <xdr:cNvPr id="81" name="Rectangle 9"/>
          <xdr:cNvSpPr>
            <a:spLocks noChangeArrowheads="1"/>
          </xdr:cNvSpPr>
        </xdr:nvSpPr>
        <xdr:spPr bwMode="auto">
          <a:xfrm>
            <a:off x="43" y="57"/>
            <a:ext cx="456" cy="2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ETIRG</a:t>
            </a:r>
          </a:p>
        </xdr:txBody>
      </xdr:sp>
      <xdr:sp macro="" textlink="">
        <xdr:nvSpPr>
          <xdr:cNvPr id="82" name="Rectangle 8"/>
          <xdr:cNvSpPr>
            <a:spLocks noChangeArrowheads="1"/>
          </xdr:cNvSpPr>
        </xdr:nvSpPr>
        <xdr:spPr bwMode="auto">
          <a:xfrm>
            <a:off x="6500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3" name="Rectangle 7"/>
          <xdr:cNvSpPr>
            <a:spLocks noChangeArrowheads="1"/>
          </xdr:cNvSpPr>
        </xdr:nvSpPr>
        <xdr:spPr bwMode="auto">
          <a:xfrm>
            <a:off x="533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4" name="Rectangle 6"/>
          <xdr:cNvSpPr>
            <a:spLocks noChangeArrowheads="1"/>
          </xdr:cNvSpPr>
        </xdr:nvSpPr>
        <xdr:spPr bwMode="auto">
          <a:xfrm>
            <a:off x="4728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+</a:t>
            </a:r>
          </a:p>
        </xdr:txBody>
      </xdr:sp>
      <xdr:sp macro="" textlink="">
        <xdr:nvSpPr>
          <xdr:cNvPr id="85" name="Rectangle 5"/>
          <xdr:cNvSpPr>
            <a:spLocks noChangeArrowheads="1"/>
          </xdr:cNvSpPr>
        </xdr:nvSpPr>
        <xdr:spPr bwMode="auto">
          <a:xfrm>
            <a:off x="3922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6" name="Rectangle 4"/>
          <xdr:cNvSpPr>
            <a:spLocks noChangeArrowheads="1"/>
          </xdr:cNvSpPr>
        </xdr:nvSpPr>
        <xdr:spPr bwMode="auto">
          <a:xfrm>
            <a:off x="2705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7" name="Rectangle 3"/>
          <xdr:cNvSpPr>
            <a:spLocks noChangeArrowheads="1"/>
          </xdr:cNvSpPr>
        </xdr:nvSpPr>
        <xdr:spPr bwMode="auto">
          <a:xfrm>
            <a:off x="1693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´</a:t>
            </a:r>
          </a:p>
        </xdr:txBody>
      </xdr:sp>
      <xdr:sp macro="" textlink="">
        <xdr:nvSpPr>
          <xdr:cNvPr id="88" name="Rectangle 2"/>
          <xdr:cNvSpPr>
            <a:spLocks noChangeArrowheads="1"/>
          </xdr:cNvSpPr>
        </xdr:nvSpPr>
        <xdr:spPr bwMode="auto">
          <a:xfrm>
            <a:off x="754" y="36"/>
            <a:ext cx="88" cy="2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Symbol"/>
              </a:rPr>
              <a:t>=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928408</xdr:colOff>
      <xdr:row>17</xdr:row>
      <xdr:rowOff>59391</xdr:rowOff>
    </xdr:from>
    <xdr:to>
      <xdr:col>11</xdr:col>
      <xdr:colOff>35860</xdr:colOff>
      <xdr:row>25</xdr:row>
      <xdr:rowOff>59391</xdr:rowOff>
    </xdr:to>
    <xdr:sp macro="" textlink="">
      <xdr:nvSpPr>
        <xdr:cNvPr id="3" name="Up Arrow Callout 2"/>
        <xdr:cNvSpPr/>
      </xdr:nvSpPr>
      <xdr:spPr>
        <a:xfrm>
          <a:off x="8391526" y="3056965"/>
          <a:ext cx="1096496" cy="1271867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2018/19 is the year being reported.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wsonR\AppData\Local\Microsoft\Windows\Temporary%20Internet%20Files\Content.Outlook\QBDPAQ7M\RIIO-T1%20NGET%20Revenue%20Reporting%20Template%2013-14%20(as%20per%20NG%20Comments)%20-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 Cover"/>
      <sheetName val="R2 Schematic"/>
      <sheetName val="R3 Version log"/>
      <sheetName val="R4 Licence Condition Values"/>
      <sheetName val="R5 Input page"/>
      <sheetName val="R6 Base revenue"/>
      <sheetName val="R7 pass through"/>
      <sheetName val="R8 Output incentives"/>
      <sheetName val="R9 Innovation incentive"/>
      <sheetName val="R10 Correction"/>
      <sheetName val="R11 TIRG"/>
      <sheetName val="R12 TO MAR"/>
      <sheetName val="R13 Excluded Revenue"/>
      <sheetName val="R14 Rec to Stat Ac"/>
      <sheetName val="R15 SO Internal"/>
      <sheetName val="R16 SO Exte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78"/>
  <sheetViews>
    <sheetView showGridLines="0" view="pageBreakPreview" zoomScaleSheetLayoutView="100" workbookViewId="0">
      <pane ySplit="3" topLeftCell="A4" activePane="bottomLeft" state="frozen"/>
      <selection activeCell="H27" sqref="H27"/>
      <selection pane="bottomLeft" activeCell="A4" sqref="A4"/>
    </sheetView>
  </sheetViews>
  <sheetFormatPr defaultColWidth="0" defaultRowHeight="12.75" customHeight="1" zeroHeight="1"/>
  <cols>
    <col min="1" max="1" width="2.64453125" style="9" customWidth="1"/>
    <col min="2" max="2" width="13.46875" style="9" bestFit="1" customWidth="1"/>
    <col min="3" max="3" width="65.17578125" style="9" customWidth="1"/>
    <col min="4" max="4" width="13.703125" style="9" customWidth="1"/>
    <col min="5" max="5" width="26.703125" style="9" bestFit="1" customWidth="1"/>
    <col min="6" max="6" width="9" style="20" hidden="1" customWidth="1"/>
    <col min="7" max="9" width="9" style="9" hidden="1" customWidth="1"/>
    <col min="10" max="16384" width="9" style="9" hidden="1"/>
  </cols>
  <sheetData>
    <row r="1" spans="1:9" s="5" customFormat="1" ht="17.649999999999999">
      <c r="B1" s="4" t="s">
        <v>90</v>
      </c>
      <c r="D1" s="6"/>
      <c r="F1" s="7"/>
    </row>
    <row r="2" spans="1:9" s="5" customFormat="1" ht="17.649999999999999">
      <c r="B2" s="4" t="str">
        <f>CompName</f>
        <v>Scottish Hydro Electric Transmission Plc</v>
      </c>
      <c r="D2" s="6"/>
      <c r="F2" s="7"/>
    </row>
    <row r="3" spans="1:9" s="5" customFormat="1" ht="12.4">
      <c r="B3" s="8" t="str">
        <f>'R5 Input page'!F7</f>
        <v>Regulatory Year ending 31 March 2019</v>
      </c>
      <c r="F3" s="7"/>
    </row>
    <row r="4" spans="1:9" ht="14.65">
      <c r="B4" s="4"/>
      <c r="C4" s="5"/>
      <c r="D4" s="5"/>
      <c r="E4" s="5"/>
      <c r="F4" s="7"/>
      <c r="G4" s="5"/>
      <c r="H4" s="5"/>
      <c r="I4" s="5"/>
    </row>
    <row r="5" spans="1:9" ht="14.65">
      <c r="B5" s="4" t="s">
        <v>91</v>
      </c>
      <c r="C5" s="10"/>
      <c r="D5" s="10"/>
      <c r="E5" s="11"/>
      <c r="F5" s="12"/>
      <c r="G5" s="13"/>
      <c r="H5" s="10"/>
      <c r="I5" s="10"/>
    </row>
    <row r="6" spans="1:9" ht="13.5">
      <c r="B6" s="11"/>
      <c r="C6" s="10"/>
      <c r="D6" s="10"/>
      <c r="E6" s="10"/>
      <c r="F6" s="12"/>
      <c r="G6" s="11"/>
      <c r="H6" s="11"/>
      <c r="I6" s="5"/>
    </row>
    <row r="7" spans="1:9" ht="49.5">
      <c r="B7" s="5"/>
      <c r="C7" s="14" t="s">
        <v>600</v>
      </c>
      <c r="D7" s="10"/>
      <c r="E7" s="10"/>
      <c r="F7" s="15"/>
      <c r="G7" s="10"/>
      <c r="H7" s="10"/>
      <c r="I7" s="5"/>
    </row>
    <row r="8" spans="1:9" ht="86.65">
      <c r="B8" s="5"/>
      <c r="C8" s="16" t="s">
        <v>92</v>
      </c>
      <c r="D8" s="10"/>
      <c r="E8" s="10"/>
      <c r="F8" s="15"/>
      <c r="G8" s="10"/>
      <c r="H8" s="10"/>
      <c r="I8" s="5"/>
    </row>
    <row r="9" spans="1:9" ht="12.4">
      <c r="B9" s="5"/>
      <c r="C9" s="16"/>
      <c r="D9" s="10"/>
      <c r="E9" s="10"/>
      <c r="F9" s="15"/>
      <c r="G9" s="10"/>
      <c r="H9" s="10">
        <f>SSO</f>
        <v>0</v>
      </c>
      <c r="I9" s="5"/>
    </row>
    <row r="10" spans="1:9" ht="13.5">
      <c r="B10" s="11"/>
      <c r="C10" s="68"/>
      <c r="D10" s="10"/>
      <c r="E10" s="10"/>
      <c r="F10" s="15"/>
      <c r="G10" s="10"/>
      <c r="H10" s="10"/>
      <c r="I10" s="10"/>
    </row>
    <row r="11" spans="1:9" ht="12.4">
      <c r="B11" s="17"/>
      <c r="C11" s="10" t="s">
        <v>93</v>
      </c>
      <c r="D11" s="18"/>
      <c r="E11" s="10" t="s">
        <v>94</v>
      </c>
      <c r="F11" s="7"/>
      <c r="G11" s="10"/>
      <c r="H11" s="10"/>
      <c r="I11" s="10"/>
    </row>
    <row r="12" spans="1:9" ht="12.4">
      <c r="B12" s="77"/>
      <c r="C12" s="10" t="s">
        <v>386</v>
      </c>
      <c r="D12" s="58"/>
      <c r="E12" s="10" t="s">
        <v>95</v>
      </c>
      <c r="F12" s="7"/>
      <c r="G12" s="10"/>
      <c r="H12" s="10"/>
      <c r="I12" s="10"/>
    </row>
    <row r="13" spans="1:9" ht="12.4">
      <c r="A13" s="10"/>
      <c r="B13" s="10"/>
      <c r="C13" s="10"/>
      <c r="D13" s="10"/>
      <c r="E13" s="10"/>
      <c r="F13" s="15"/>
      <c r="G13" s="10"/>
      <c r="H13" s="10"/>
      <c r="I13" s="10"/>
    </row>
    <row r="14" spans="1:9" ht="12.4" hidden="1">
      <c r="B14" s="5"/>
      <c r="C14" s="5"/>
      <c r="D14" s="5"/>
      <c r="E14" s="5"/>
      <c r="F14" s="7"/>
      <c r="G14" s="5"/>
      <c r="H14" s="5"/>
      <c r="I14" s="5"/>
    </row>
    <row r="15" spans="1:9" ht="12.4" hidden="1"/>
    <row r="16" spans="1:9" ht="12.4" hidden="1"/>
    <row r="17" spans="2:8" ht="12.4" hidden="1"/>
    <row r="18" spans="2:8" ht="12.4" hidden="1"/>
    <row r="19" spans="2:8" ht="12.4" hidden="1"/>
    <row r="20" spans="2:8" ht="12.4" hidden="1"/>
    <row r="21" spans="2:8" ht="12.4" hidden="1"/>
    <row r="22" spans="2:8" ht="12.4" hidden="1"/>
    <row r="23" spans="2:8" ht="12.4" hidden="1"/>
    <row r="24" spans="2:8" ht="12.4" hidden="1"/>
    <row r="25" spans="2:8" ht="12.4" hidden="1"/>
    <row r="26" spans="2:8" ht="12.4">
      <c r="B26" s="10"/>
      <c r="C26" s="10"/>
      <c r="D26" s="10"/>
      <c r="E26" s="10"/>
    </row>
    <row r="27" spans="2:8" ht="12.75" customHeight="1">
      <c r="H27" s="9">
        <f>H22*MIN( H23+H24,H25*H26)</f>
        <v>0</v>
      </c>
    </row>
    <row r="57" spans="6:8" ht="12.75" hidden="1" customHeight="1">
      <c r="F57" s="20">
        <f>IF(SER&lt;F68*SERLIMIT,SER,F68*SERLIMIT)</f>
        <v>0</v>
      </c>
    </row>
    <row r="59" spans="6:8" ht="12.75" hidden="1" customHeight="1">
      <c r="F59" s="20">
        <f>It</f>
        <v>0.5</v>
      </c>
    </row>
    <row r="60" spans="6:8" ht="12.75" hidden="1" customHeight="1">
      <c r="H60" s="9">
        <f>SUM(F57:F58)*(1+F59/100)*(1+G59/100)</f>
        <v>0</v>
      </c>
    </row>
    <row r="73" spans="6:6" ht="12.75" hidden="1" customHeight="1">
      <c r="F73" s="20">
        <f>F92</f>
        <v>0</v>
      </c>
    </row>
    <row r="77" spans="6:6" ht="12.75" hidden="1" customHeight="1">
      <c r="F77" s="20">
        <f>F75*F76</f>
        <v>0</v>
      </c>
    </row>
    <row r="78" spans="6:6" ht="12.75" hidden="1" customHeight="1">
      <c r="F78" s="20">
        <f>0.01*(F71+F74+F77)*(F66+F67)</f>
        <v>0</v>
      </c>
    </row>
  </sheetData>
  <sheetProtection formatCells="0" formatColumns="0" formatRows="0" insertHyperlinks="0" autoFilter="0" pivotTables="0"/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T999988"/>
  <sheetViews>
    <sheetView showGridLines="0" zoomScale="85" zoomScaleNormal="85" workbookViewId="0"/>
  </sheetViews>
  <sheetFormatPr defaultColWidth="9" defaultRowHeight="12.4"/>
  <cols>
    <col min="1" max="1" width="28.87890625" style="111" customWidth="1"/>
    <col min="2" max="2" width="8.3515625" style="111" customWidth="1"/>
    <col min="3" max="3" width="6" style="111" customWidth="1"/>
    <col min="4" max="4" width="0" style="111" hidden="1" customWidth="1"/>
    <col min="5" max="5" width="9.17578125" style="111" bestFit="1" customWidth="1"/>
    <col min="6" max="6" width="13.1171875" style="111" bestFit="1" customWidth="1"/>
    <col min="7" max="9" width="10.17578125" style="111" bestFit="1" customWidth="1"/>
    <col min="10" max="10" width="14.3515625" style="111" bestFit="1" customWidth="1"/>
    <col min="11" max="11" width="10.17578125" style="111" bestFit="1" customWidth="1"/>
    <col min="12" max="12" width="14.3515625" style="111" bestFit="1" customWidth="1"/>
    <col min="13" max="13" width="11.3515625" style="111" customWidth="1"/>
    <col min="14" max="14" width="5.17578125" style="111" customWidth="1"/>
    <col min="15" max="16384" width="9" style="111"/>
  </cols>
  <sheetData>
    <row r="1" spans="1:20" s="121" customFormat="1" ht="14.65">
      <c r="A1" s="126" t="s">
        <v>134</v>
      </c>
      <c r="D1" s="127"/>
      <c r="N1" s="346"/>
    </row>
    <row r="2" spans="1:20" s="121" customFormat="1" ht="14.65">
      <c r="A2" s="126" t="str">
        <f>CompName</f>
        <v>Scottish Hydro Electric Transmission Plc</v>
      </c>
      <c r="D2" s="127"/>
      <c r="N2" s="346"/>
    </row>
    <row r="3" spans="1:20" s="121" customFormat="1">
      <c r="A3" s="128" t="str">
        <f>RegYr</f>
        <v>Regulatory Year ending 31 March 2019</v>
      </c>
      <c r="D3" s="127"/>
      <c r="N3" s="346"/>
    </row>
    <row r="4" spans="1:20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  <c r="T4" s="137"/>
    </row>
    <row r="5" spans="1:20" ht="20.25" customHeight="1">
      <c r="A5" s="143" t="s">
        <v>33</v>
      </c>
      <c r="N5" s="332"/>
    </row>
    <row r="6" spans="1:20" ht="13.5">
      <c r="B6" s="130"/>
      <c r="C6" s="130"/>
      <c r="D6" s="130"/>
      <c r="E6" s="130"/>
      <c r="G6" s="130"/>
      <c r="H6" s="130"/>
      <c r="I6" s="130"/>
      <c r="J6" s="130"/>
      <c r="N6" s="332"/>
    </row>
    <row r="7" spans="1:20" ht="13.5">
      <c r="B7" s="113"/>
      <c r="K7" s="118"/>
      <c r="N7" s="332"/>
    </row>
    <row r="8" spans="1:20" ht="13.5">
      <c r="B8" s="113"/>
      <c r="C8" s="113"/>
      <c r="E8" s="113"/>
      <c r="F8" s="113"/>
      <c r="G8" s="113"/>
      <c r="H8" s="113"/>
      <c r="I8" s="113"/>
      <c r="J8" s="113"/>
      <c r="N8" s="332"/>
    </row>
    <row r="9" spans="1:20" ht="14.25">
      <c r="B9" s="113"/>
      <c r="C9" s="263"/>
      <c r="E9" s="112">
        <v>2013</v>
      </c>
      <c r="F9" s="112">
        <v>2014</v>
      </c>
      <c r="G9" s="112">
        <v>2015</v>
      </c>
      <c r="H9" s="112">
        <v>2016</v>
      </c>
      <c r="I9" s="112">
        <v>2017</v>
      </c>
      <c r="J9" s="112">
        <v>2018</v>
      </c>
      <c r="K9" s="112">
        <v>2019</v>
      </c>
      <c r="L9" s="112">
        <v>2020</v>
      </c>
      <c r="M9" s="112">
        <v>2021</v>
      </c>
      <c r="N9" s="332"/>
    </row>
    <row r="10" spans="1:20">
      <c r="A10" s="131" t="s">
        <v>34</v>
      </c>
      <c r="B10" s="131" t="s">
        <v>267</v>
      </c>
      <c r="C10" s="259" t="s">
        <v>1</v>
      </c>
      <c r="E10" s="245"/>
      <c r="F10" s="230">
        <f t="shared" ref="F10:M10" si="0">TNR</f>
        <v>0</v>
      </c>
      <c r="G10" s="230">
        <f t="shared" si="0"/>
        <v>0</v>
      </c>
      <c r="H10" s="230">
        <f t="shared" si="0"/>
        <v>0</v>
      </c>
      <c r="I10" s="230">
        <f t="shared" si="0"/>
        <v>0</v>
      </c>
      <c r="J10" s="230">
        <f t="shared" si="0"/>
        <v>0</v>
      </c>
      <c r="K10" s="230">
        <f t="shared" si="0"/>
        <v>0</v>
      </c>
      <c r="L10" s="230">
        <f t="shared" si="0"/>
        <v>0</v>
      </c>
      <c r="M10" s="230">
        <f t="shared" si="0"/>
        <v>0</v>
      </c>
      <c r="N10" s="343" t="s">
        <v>267</v>
      </c>
    </row>
    <row r="11" spans="1:20">
      <c r="A11" s="131" t="s">
        <v>268</v>
      </c>
      <c r="B11" s="131" t="s">
        <v>12</v>
      </c>
      <c r="C11" s="259" t="s">
        <v>1</v>
      </c>
      <c r="E11" s="245"/>
      <c r="F11" s="230">
        <f t="shared" ref="F11:M11" si="1">TO</f>
        <v>150.13483384892973</v>
      </c>
      <c r="G11" s="230">
        <f t="shared" si="1"/>
        <v>190.52433193455516</v>
      </c>
      <c r="H11" s="230">
        <f t="shared" si="1"/>
        <v>446.06161980053275</v>
      </c>
      <c r="I11" s="230">
        <f t="shared" si="1"/>
        <v>443.07705741893619</v>
      </c>
      <c r="J11" s="230">
        <f t="shared" si="1"/>
        <v>739.72447217821787</v>
      </c>
      <c r="K11" s="230">
        <f t="shared" si="1"/>
        <v>777.34121335877603</v>
      </c>
      <c r="L11" s="230">
        <f t="shared" si="1"/>
        <v>1097.3887344224872</v>
      </c>
      <c r="M11" s="230">
        <f t="shared" si="1"/>
        <v>1015.837324299444</v>
      </c>
      <c r="N11" s="343" t="s">
        <v>12</v>
      </c>
    </row>
    <row r="12" spans="1:20" ht="12.75">
      <c r="A12" s="115" t="s">
        <v>34</v>
      </c>
      <c r="B12" s="131" t="s">
        <v>267</v>
      </c>
      <c r="C12" s="259" t="s">
        <v>1</v>
      </c>
      <c r="E12" s="230">
        <f>'R5 Input page'!E41</f>
        <v>131.97999999999999</v>
      </c>
      <c r="F12" s="245"/>
      <c r="G12" s="245"/>
      <c r="H12" s="245"/>
      <c r="I12" s="245"/>
      <c r="J12" s="245"/>
      <c r="K12" s="245"/>
      <c r="L12" s="245"/>
      <c r="M12" s="245"/>
      <c r="N12" s="332"/>
    </row>
    <row r="13" spans="1:20" ht="12.75">
      <c r="A13" s="115" t="s">
        <v>268</v>
      </c>
      <c r="B13" s="131" t="s">
        <v>12</v>
      </c>
      <c r="C13" s="259" t="s">
        <v>1</v>
      </c>
      <c r="E13" s="230">
        <f>'R5 Input page'!E42</f>
        <v>117.58</v>
      </c>
      <c r="F13" s="245"/>
      <c r="G13" s="245"/>
      <c r="H13" s="245"/>
      <c r="I13" s="245"/>
      <c r="J13" s="245"/>
      <c r="K13" s="245"/>
      <c r="L13" s="245"/>
      <c r="M13" s="245"/>
      <c r="N13" s="332"/>
    </row>
    <row r="14" spans="1:20" ht="12.75">
      <c r="A14" s="115" t="s">
        <v>37</v>
      </c>
      <c r="B14" s="131"/>
      <c r="C14" s="259"/>
      <c r="E14" s="229">
        <f>SUM(E12-E13)</f>
        <v>14.399999999999991</v>
      </c>
      <c r="F14" s="229">
        <f>SUM(F10-F11)</f>
        <v>-150.13483384892973</v>
      </c>
      <c r="G14" s="229">
        <f t="shared" ref="G14:L14" si="2">SUM(G10-G11)</f>
        <v>-190.52433193455516</v>
      </c>
      <c r="H14" s="229">
        <f>SUM(H10-H11)</f>
        <v>-446.06161980053275</v>
      </c>
      <c r="I14" s="229">
        <f t="shared" si="2"/>
        <v>-443.07705741893619</v>
      </c>
      <c r="J14" s="229">
        <f t="shared" si="2"/>
        <v>-739.72447217821787</v>
      </c>
      <c r="K14" s="229">
        <f t="shared" si="2"/>
        <v>-777.34121335877603</v>
      </c>
      <c r="L14" s="229">
        <f t="shared" si="2"/>
        <v>-1097.3887344224872</v>
      </c>
      <c r="M14" s="229">
        <f>SUM(M10-M11)</f>
        <v>-1015.837324299444</v>
      </c>
      <c r="N14" s="332"/>
    </row>
    <row r="15" spans="1:20" ht="12.75">
      <c r="A15" s="115" t="s">
        <v>72</v>
      </c>
      <c r="B15" s="131" t="s">
        <v>352</v>
      </c>
      <c r="C15" s="259" t="s">
        <v>105</v>
      </c>
      <c r="E15" s="230">
        <f t="shared" ref="E15:M15" si="3">It</f>
        <v>0.5</v>
      </c>
      <c r="F15" s="230">
        <f t="shared" si="3"/>
        <v>0.5</v>
      </c>
      <c r="G15" s="230">
        <f>It</f>
        <v>0.5</v>
      </c>
      <c r="H15" s="230">
        <f t="shared" si="3"/>
        <v>0.5</v>
      </c>
      <c r="I15" s="230">
        <f t="shared" si="3"/>
        <v>0.34</v>
      </c>
      <c r="J15" s="230">
        <f t="shared" si="3"/>
        <v>0.35</v>
      </c>
      <c r="K15" s="230">
        <f t="shared" si="3"/>
        <v>0.67</v>
      </c>
      <c r="L15" s="230">
        <f t="shared" si="3"/>
        <v>0</v>
      </c>
      <c r="M15" s="230">
        <f t="shared" si="3"/>
        <v>0</v>
      </c>
      <c r="N15" s="343" t="s">
        <v>352</v>
      </c>
    </row>
    <row r="16" spans="1:20" ht="12.75">
      <c r="A16" s="115" t="s">
        <v>35</v>
      </c>
      <c r="B16" s="131" t="s">
        <v>354</v>
      </c>
      <c r="C16" s="259" t="s">
        <v>117</v>
      </c>
      <c r="E16" s="245"/>
      <c r="F16" s="245"/>
      <c r="G16" s="245"/>
      <c r="H16" s="229">
        <f>IF(F$10&gt;(1.04*F$11),4,IF(F$10&lt;(0.96*F$11),0,2))</f>
        <v>0</v>
      </c>
      <c r="I16" s="229">
        <f t="shared" ref="I16:M16" si="4">IF(G$10&gt;(1.04*G$11),4,IF(G$10&lt;(0.96*G$11),0,2))</f>
        <v>0</v>
      </c>
      <c r="J16" s="229">
        <f t="shared" si="4"/>
        <v>0</v>
      </c>
      <c r="K16" s="229">
        <f t="shared" si="4"/>
        <v>0</v>
      </c>
      <c r="L16" s="229">
        <f t="shared" si="4"/>
        <v>0</v>
      </c>
      <c r="M16" s="229">
        <f t="shared" si="4"/>
        <v>0</v>
      </c>
      <c r="N16" s="343" t="s">
        <v>354</v>
      </c>
    </row>
    <row r="17" spans="1:14" s="241" customFormat="1" ht="12.75">
      <c r="A17" s="115" t="s">
        <v>35</v>
      </c>
      <c r="B17" s="131" t="s">
        <v>453</v>
      </c>
      <c r="C17" s="259" t="s">
        <v>117</v>
      </c>
      <c r="E17" s="252"/>
      <c r="F17" s="229">
        <f>IF($E$12&gt;(1.02*$E$13),4,0)</f>
        <v>4</v>
      </c>
      <c r="G17" s="253"/>
      <c r="H17" s="254"/>
      <c r="I17" s="254"/>
      <c r="J17" s="254"/>
      <c r="K17" s="254"/>
      <c r="L17" s="254"/>
      <c r="M17" s="254"/>
      <c r="N17" s="343"/>
    </row>
    <row r="18" spans="1:14">
      <c r="A18" s="131" t="s">
        <v>10</v>
      </c>
      <c r="B18" s="131" t="s">
        <v>355</v>
      </c>
      <c r="C18" s="259" t="s">
        <v>117</v>
      </c>
      <c r="E18" s="245"/>
      <c r="F18" s="255">
        <f>E14*(1+((E15+F17)/100))</f>
        <v>15.047999999999989</v>
      </c>
      <c r="G18" s="253"/>
      <c r="H18" s="255">
        <f t="shared" ref="H18:M18" si="5">F14*((1+((F15+H16)/100))*(1+((G15+2)/100)))</f>
        <v>-154.65764571862869</v>
      </c>
      <c r="I18" s="255">
        <f>G14*((1+((G15+I16)/100))*(1+((H15+2)/100)))</f>
        <v>-196.26387743408358</v>
      </c>
      <c r="J18" s="255">
        <f t="shared" si="5"/>
        <v>-458.7819590123845</v>
      </c>
      <c r="K18" s="255">
        <f t="shared" si="5"/>
        <v>-455.03123212039344</v>
      </c>
      <c r="L18" s="255">
        <f t="shared" si="5"/>
        <v>-762.13327848992515</v>
      </c>
      <c r="M18" s="255">
        <f t="shared" si="5"/>
        <v>-798.2003874780454</v>
      </c>
      <c r="N18" s="343" t="s">
        <v>355</v>
      </c>
    </row>
    <row r="19" spans="1:14">
      <c r="B19" s="131"/>
      <c r="C19" s="259"/>
      <c r="N19" s="332"/>
    </row>
    <row r="20" spans="1:14">
      <c r="N20" s="332"/>
    </row>
    <row r="21" spans="1:14">
      <c r="A21" s="110" t="s">
        <v>476</v>
      </c>
      <c r="F21" s="111" t="s">
        <v>192</v>
      </c>
      <c r="M21" s="118"/>
      <c r="N21" s="332"/>
    </row>
    <row r="22" spans="1:14">
      <c r="N22" s="332"/>
    </row>
    <row r="23" spans="1:14" ht="12.75" customHeight="1">
      <c r="E23" s="163"/>
      <c r="N23" s="343"/>
    </row>
    <row r="24" spans="1:14">
      <c r="A24" s="110" t="s">
        <v>477</v>
      </c>
      <c r="F24" s="111" t="s">
        <v>266</v>
      </c>
      <c r="N24" s="332"/>
    </row>
    <row r="25" spans="1:14">
      <c r="N25" s="332"/>
    </row>
    <row r="26" spans="1:14">
      <c r="N26" s="332"/>
    </row>
    <row r="27" spans="1:14">
      <c r="N27" s="332"/>
    </row>
    <row r="28" spans="1:14">
      <c r="N28" s="332"/>
    </row>
    <row r="29" spans="1:14">
      <c r="N29" s="332"/>
    </row>
    <row r="30" spans="1:14">
      <c r="N30" s="332"/>
    </row>
    <row r="31" spans="1:14">
      <c r="N31" s="332"/>
    </row>
    <row r="32" spans="1:14">
      <c r="N32" s="332"/>
    </row>
    <row r="33" spans="14:14">
      <c r="N33" s="332"/>
    </row>
    <row r="34" spans="14:14">
      <c r="N34" s="332"/>
    </row>
    <row r="35" spans="14:14">
      <c r="N35" s="332"/>
    </row>
    <row r="36" spans="14:14">
      <c r="N36" s="332"/>
    </row>
    <row r="37" spans="14:14">
      <c r="N37" s="332"/>
    </row>
    <row r="38" spans="14:14">
      <c r="N38" s="332"/>
    </row>
    <row r="39" spans="14:14">
      <c r="N39" s="332"/>
    </row>
    <row r="40" spans="14:14">
      <c r="N40" s="332"/>
    </row>
    <row r="41" spans="14:14">
      <c r="N41" s="332"/>
    </row>
    <row r="42" spans="14:14">
      <c r="N42" s="332"/>
    </row>
    <row r="43" spans="14:14">
      <c r="N43" s="332"/>
    </row>
    <row r="44" spans="14:14">
      <c r="N44" s="332"/>
    </row>
    <row r="45" spans="14:14">
      <c r="N45" s="332"/>
    </row>
    <row r="46" spans="14:14">
      <c r="N46" s="332"/>
    </row>
    <row r="47" spans="14:14">
      <c r="N47" s="332"/>
    </row>
    <row r="48" spans="14:14">
      <c r="N48" s="332"/>
    </row>
    <row r="49" spans="14:14">
      <c r="N49" s="332"/>
    </row>
    <row r="50" spans="14:14">
      <c r="N50" s="332"/>
    </row>
    <row r="51" spans="14:14">
      <c r="N51" s="332"/>
    </row>
    <row r="52" spans="14:14">
      <c r="N52" s="332"/>
    </row>
    <row r="53" spans="14:14">
      <c r="N53" s="332"/>
    </row>
    <row r="54" spans="14:14">
      <c r="N54" s="332"/>
    </row>
    <row r="55" spans="14:14">
      <c r="N55" s="332"/>
    </row>
    <row r="56" spans="14:14">
      <c r="N56" s="332"/>
    </row>
    <row r="57" spans="14:14">
      <c r="N57" s="332"/>
    </row>
    <row r="58" spans="14:14">
      <c r="N58" s="332"/>
    </row>
    <row r="59" spans="14:14">
      <c r="N59" s="332"/>
    </row>
    <row r="60" spans="14:14">
      <c r="N60" s="332"/>
    </row>
    <row r="61" spans="14:14">
      <c r="N61" s="332"/>
    </row>
    <row r="62" spans="14:14">
      <c r="N62" s="332"/>
    </row>
    <row r="63" spans="14:14">
      <c r="N63" s="332"/>
    </row>
    <row r="64" spans="14:14">
      <c r="N64" s="332"/>
    </row>
    <row r="65" spans="14:14">
      <c r="N65" s="332"/>
    </row>
    <row r="66" spans="14:14">
      <c r="N66" s="332"/>
    </row>
    <row r="67" spans="14:14">
      <c r="N67" s="332"/>
    </row>
    <row r="68" spans="14:14">
      <c r="N68" s="332"/>
    </row>
    <row r="69" spans="14:14">
      <c r="N69" s="332"/>
    </row>
    <row r="70" spans="14:14">
      <c r="N70" s="332"/>
    </row>
    <row r="71" spans="14:14">
      <c r="N71" s="332"/>
    </row>
    <row r="72" spans="14:14">
      <c r="N72" s="332"/>
    </row>
    <row r="73" spans="14:14">
      <c r="N73" s="332"/>
    </row>
    <row r="74" spans="14:14">
      <c r="N74" s="332"/>
    </row>
    <row r="75" spans="14:14">
      <c r="N75" s="332"/>
    </row>
    <row r="76" spans="14:14">
      <c r="N76" s="332"/>
    </row>
    <row r="77" spans="14:14">
      <c r="N77" s="332"/>
    </row>
    <row r="78" spans="14:14">
      <c r="N78" s="332"/>
    </row>
    <row r="79" spans="14:14">
      <c r="N79" s="332"/>
    </row>
    <row r="80" spans="14:14">
      <c r="N80" s="332"/>
    </row>
    <row r="81" spans="14:14">
      <c r="N81" s="332"/>
    </row>
    <row r="82" spans="14:14">
      <c r="N82" s="332"/>
    </row>
    <row r="83" spans="14:14">
      <c r="N83" s="332"/>
    </row>
    <row r="84" spans="14:14">
      <c r="N84" s="332"/>
    </row>
    <row r="85" spans="14:14">
      <c r="N85" s="332"/>
    </row>
    <row r="86" spans="14:14">
      <c r="N86" s="332"/>
    </row>
    <row r="87" spans="14:14">
      <c r="N87" s="332"/>
    </row>
    <row r="88" spans="14:14">
      <c r="N88" s="332"/>
    </row>
    <row r="89" spans="14:14">
      <c r="N89" s="332"/>
    </row>
    <row r="90" spans="14:14">
      <c r="N90" s="332"/>
    </row>
    <row r="91" spans="14:14">
      <c r="N91" s="332"/>
    </row>
    <row r="92" spans="14:14">
      <c r="N92" s="332"/>
    </row>
    <row r="93" spans="14:14">
      <c r="N93" s="332"/>
    </row>
    <row r="94" spans="14:14">
      <c r="N94" s="332"/>
    </row>
    <row r="95" spans="14:14">
      <c r="N95" s="332"/>
    </row>
    <row r="96" spans="14:14">
      <c r="N96" s="332"/>
    </row>
    <row r="97" spans="14:14">
      <c r="N97" s="332"/>
    </row>
    <row r="98" spans="14:14">
      <c r="N98" s="332"/>
    </row>
    <row r="99" spans="14:14">
      <c r="N99" s="332"/>
    </row>
    <row r="100" spans="14:14">
      <c r="N100" s="332"/>
    </row>
    <row r="101" spans="14:14">
      <c r="N101" s="332"/>
    </row>
    <row r="102" spans="14:14">
      <c r="N102" s="332"/>
    </row>
    <row r="103" spans="14:14">
      <c r="N103" s="332"/>
    </row>
    <row r="104" spans="14:14">
      <c r="N104" s="332"/>
    </row>
    <row r="105" spans="14:14">
      <c r="N105" s="332"/>
    </row>
    <row r="106" spans="14:14">
      <c r="N106" s="332"/>
    </row>
    <row r="107" spans="14:14">
      <c r="N107" s="332"/>
    </row>
    <row r="108" spans="14:14">
      <c r="N108" s="332"/>
    </row>
    <row r="109" spans="14:14">
      <c r="N109" s="332"/>
    </row>
    <row r="110" spans="14:14">
      <c r="N110" s="332"/>
    </row>
    <row r="111" spans="14:14">
      <c r="N111" s="332"/>
    </row>
    <row r="112" spans="14:14">
      <c r="N112" s="332"/>
    </row>
    <row r="113" spans="14:14">
      <c r="N113" s="332"/>
    </row>
    <row r="114" spans="14:14">
      <c r="N114" s="332"/>
    </row>
    <row r="115" spans="14:14">
      <c r="N115" s="332"/>
    </row>
    <row r="116" spans="14:14">
      <c r="N116" s="332"/>
    </row>
    <row r="117" spans="14:14">
      <c r="N117" s="332"/>
    </row>
    <row r="118" spans="14:14">
      <c r="N118" s="332"/>
    </row>
    <row r="119" spans="14:14">
      <c r="N119" s="332"/>
    </row>
    <row r="120" spans="14:14">
      <c r="N120" s="332"/>
    </row>
    <row r="121" spans="14:14">
      <c r="N121" s="332"/>
    </row>
    <row r="122" spans="14:14">
      <c r="N122" s="332"/>
    </row>
    <row r="123" spans="14:14">
      <c r="N123" s="332"/>
    </row>
    <row r="124" spans="14:14">
      <c r="N124" s="332"/>
    </row>
    <row r="125" spans="14:14">
      <c r="N125" s="332"/>
    </row>
    <row r="126" spans="14:14">
      <c r="N126" s="332"/>
    </row>
    <row r="127" spans="14:14">
      <c r="N127" s="332"/>
    </row>
    <row r="128" spans="14:14">
      <c r="N128" s="332"/>
    </row>
    <row r="129" spans="14:14">
      <c r="N129" s="332"/>
    </row>
    <row r="130" spans="14:14">
      <c r="N130" s="332"/>
    </row>
    <row r="131" spans="14:14">
      <c r="N131" s="332"/>
    </row>
    <row r="132" spans="14:14">
      <c r="N132" s="332"/>
    </row>
    <row r="133" spans="14:14">
      <c r="N133" s="332"/>
    </row>
    <row r="134" spans="14:14">
      <c r="N134" s="332"/>
    </row>
    <row r="135" spans="14:14">
      <c r="N135" s="332"/>
    </row>
    <row r="136" spans="14:14">
      <c r="N136" s="332"/>
    </row>
    <row r="137" spans="14:14">
      <c r="N137" s="332"/>
    </row>
    <row r="138" spans="14:14">
      <c r="N138" s="332"/>
    </row>
    <row r="139" spans="14:14">
      <c r="N139" s="332"/>
    </row>
    <row r="140" spans="14:14">
      <c r="N140" s="332"/>
    </row>
    <row r="141" spans="14:14">
      <c r="N141" s="332"/>
    </row>
    <row r="142" spans="14:14">
      <c r="N142" s="332"/>
    </row>
    <row r="143" spans="14:14">
      <c r="N143" s="332"/>
    </row>
    <row r="144" spans="14:14">
      <c r="N144" s="332"/>
    </row>
    <row r="145" spans="14:14">
      <c r="N145" s="332"/>
    </row>
    <row r="146" spans="14:14">
      <c r="N146" s="332"/>
    </row>
    <row r="147" spans="14:14">
      <c r="N147" s="332"/>
    </row>
    <row r="148" spans="14:14">
      <c r="N148" s="332"/>
    </row>
    <row r="149" spans="14:14">
      <c r="N149" s="332"/>
    </row>
    <row r="150" spans="14:14">
      <c r="N150" s="332"/>
    </row>
    <row r="151" spans="14:14">
      <c r="N151" s="332"/>
    </row>
    <row r="152" spans="14:14">
      <c r="N152" s="332"/>
    </row>
    <row r="153" spans="14:14">
      <c r="N153" s="332"/>
    </row>
    <row r="154" spans="14:14">
      <c r="N154" s="332"/>
    </row>
    <row r="155" spans="14:14">
      <c r="N155" s="332"/>
    </row>
    <row r="156" spans="14:14">
      <c r="N156" s="332"/>
    </row>
    <row r="157" spans="14:14">
      <c r="N157" s="332"/>
    </row>
    <row r="158" spans="14:14">
      <c r="N158" s="332"/>
    </row>
    <row r="159" spans="14:14">
      <c r="N159" s="332"/>
    </row>
    <row r="160" spans="14:14">
      <c r="N160" s="332"/>
    </row>
    <row r="161" spans="14:14">
      <c r="N161" s="332"/>
    </row>
    <row r="162" spans="14:14">
      <c r="N162" s="332"/>
    </row>
    <row r="163" spans="14:14">
      <c r="N163" s="332"/>
    </row>
    <row r="164" spans="14:14">
      <c r="N164" s="332"/>
    </row>
    <row r="165" spans="14:14">
      <c r="N165" s="332"/>
    </row>
    <row r="166" spans="14:14">
      <c r="N166" s="332"/>
    </row>
    <row r="167" spans="14:14">
      <c r="N167" s="332"/>
    </row>
    <row r="168" spans="14:14">
      <c r="N168" s="332"/>
    </row>
    <row r="169" spans="14:14">
      <c r="N169" s="332"/>
    </row>
    <row r="170" spans="14:14">
      <c r="N170" s="332"/>
    </row>
    <row r="171" spans="14:14">
      <c r="N171" s="332"/>
    </row>
    <row r="172" spans="14:14">
      <c r="N172" s="332"/>
    </row>
    <row r="173" spans="14:14">
      <c r="N173" s="332"/>
    </row>
    <row r="174" spans="14:14">
      <c r="N174" s="332"/>
    </row>
    <row r="175" spans="14:14">
      <c r="N175" s="332"/>
    </row>
    <row r="176" spans="14:14">
      <c r="N176" s="332"/>
    </row>
    <row r="177" spans="14:14">
      <c r="N177" s="332"/>
    </row>
    <row r="178" spans="14:14">
      <c r="N178" s="332"/>
    </row>
    <row r="179" spans="14:14">
      <c r="N179" s="332"/>
    </row>
    <row r="180" spans="14:14">
      <c r="N180" s="332"/>
    </row>
    <row r="181" spans="14:14">
      <c r="N181" s="332"/>
    </row>
    <row r="182" spans="14:14">
      <c r="N182" s="332"/>
    </row>
    <row r="183" spans="14:14">
      <c r="N183" s="332"/>
    </row>
    <row r="184" spans="14:14">
      <c r="N184" s="332"/>
    </row>
    <row r="185" spans="14:14">
      <c r="N185" s="332"/>
    </row>
    <row r="186" spans="14:14">
      <c r="N186" s="332"/>
    </row>
    <row r="187" spans="14:14">
      <c r="N187" s="332"/>
    </row>
    <row r="188" spans="14:14">
      <c r="N188" s="332"/>
    </row>
    <row r="189" spans="14:14">
      <c r="N189" s="332"/>
    </row>
    <row r="190" spans="14:14">
      <c r="N190" s="332"/>
    </row>
    <row r="191" spans="14:14">
      <c r="N191" s="332"/>
    </row>
    <row r="192" spans="14:14">
      <c r="N192" s="332"/>
    </row>
    <row r="193" spans="14:14">
      <c r="N193" s="332"/>
    </row>
    <row r="194" spans="14:14">
      <c r="N194" s="332"/>
    </row>
    <row r="195" spans="14:14">
      <c r="N195" s="332"/>
    </row>
    <row r="196" spans="14:14">
      <c r="N196" s="332"/>
    </row>
    <row r="197" spans="14:14">
      <c r="N197" s="332"/>
    </row>
    <row r="198" spans="14:14">
      <c r="N198" s="332"/>
    </row>
    <row r="199" spans="14:14">
      <c r="N199" s="332"/>
    </row>
    <row r="200" spans="14:14">
      <c r="N200" s="332"/>
    </row>
    <row r="201" spans="14:14">
      <c r="N201" s="332"/>
    </row>
    <row r="202" spans="14:14">
      <c r="N202" s="332"/>
    </row>
    <row r="203" spans="14:14">
      <c r="N203" s="332"/>
    </row>
    <row r="204" spans="14:14">
      <c r="N204" s="332"/>
    </row>
    <row r="205" spans="14:14">
      <c r="N205" s="332"/>
    </row>
    <row r="206" spans="14:14">
      <c r="N206" s="332"/>
    </row>
    <row r="207" spans="14:14">
      <c r="N207" s="332"/>
    </row>
    <row r="208" spans="14:14">
      <c r="N208" s="332"/>
    </row>
    <row r="209" spans="14:14">
      <c r="N209" s="332"/>
    </row>
    <row r="210" spans="14:14">
      <c r="N210" s="332"/>
    </row>
    <row r="211" spans="14:14">
      <c r="N211" s="332"/>
    </row>
    <row r="212" spans="14:14">
      <c r="N212" s="332"/>
    </row>
    <row r="213" spans="14:14">
      <c r="N213" s="332"/>
    </row>
    <row r="214" spans="14:14">
      <c r="N214" s="332"/>
    </row>
    <row r="215" spans="14:14">
      <c r="N215" s="332"/>
    </row>
    <row r="216" spans="14:14">
      <c r="N216" s="332"/>
    </row>
    <row r="217" spans="14:14">
      <c r="N217" s="332"/>
    </row>
    <row r="218" spans="14:14">
      <c r="N218" s="332"/>
    </row>
    <row r="219" spans="14:14">
      <c r="N219" s="332"/>
    </row>
    <row r="220" spans="14:14">
      <c r="N220" s="332"/>
    </row>
    <row r="221" spans="14:14">
      <c r="N221" s="332"/>
    </row>
    <row r="222" spans="14:14">
      <c r="N222" s="332"/>
    </row>
    <row r="223" spans="14:14">
      <c r="N223" s="332"/>
    </row>
    <row r="224" spans="14:14">
      <c r="N224" s="332"/>
    </row>
    <row r="225" spans="14:14">
      <c r="N225" s="332"/>
    </row>
    <row r="226" spans="14:14">
      <c r="N226" s="332"/>
    </row>
    <row r="227" spans="14:14">
      <c r="N227" s="332"/>
    </row>
    <row r="228" spans="14:14">
      <c r="N228" s="332"/>
    </row>
    <row r="229" spans="14:14">
      <c r="N229" s="332"/>
    </row>
    <row r="230" spans="14:14">
      <c r="N230" s="332"/>
    </row>
    <row r="231" spans="14:14">
      <c r="N231" s="332"/>
    </row>
    <row r="232" spans="14:14">
      <c r="N232" s="332"/>
    </row>
    <row r="233" spans="14:14">
      <c r="N233" s="332"/>
    </row>
    <row r="234" spans="14:14">
      <c r="N234" s="332"/>
    </row>
    <row r="235" spans="14:14">
      <c r="N235" s="332"/>
    </row>
    <row r="236" spans="14:14">
      <c r="N236" s="332"/>
    </row>
    <row r="237" spans="14:14">
      <c r="N237" s="332"/>
    </row>
    <row r="238" spans="14:14">
      <c r="N238" s="332"/>
    </row>
    <row r="239" spans="14:14">
      <c r="N239" s="332"/>
    </row>
    <row r="240" spans="14:14">
      <c r="N240" s="332"/>
    </row>
    <row r="241" spans="14:14">
      <c r="N241" s="332"/>
    </row>
    <row r="242" spans="14:14">
      <c r="N242" s="332"/>
    </row>
    <row r="243" spans="14:14">
      <c r="N243" s="332"/>
    </row>
    <row r="244" spans="14:14">
      <c r="N244" s="332"/>
    </row>
    <row r="245" spans="14:14">
      <c r="N245" s="332"/>
    </row>
    <row r="246" spans="14:14">
      <c r="N246" s="332"/>
    </row>
    <row r="247" spans="14:14">
      <c r="N247" s="332"/>
    </row>
    <row r="248" spans="14:14">
      <c r="N248" s="332"/>
    </row>
    <row r="249" spans="14:14">
      <c r="N249" s="332"/>
    </row>
    <row r="250" spans="14:14">
      <c r="N250" s="332"/>
    </row>
    <row r="251" spans="14:14">
      <c r="N251" s="332"/>
    </row>
    <row r="252" spans="14:14">
      <c r="N252" s="332"/>
    </row>
    <row r="253" spans="14:14">
      <c r="N253" s="332"/>
    </row>
    <row r="254" spans="14:14">
      <c r="N254" s="332"/>
    </row>
    <row r="255" spans="14:14">
      <c r="N255" s="332"/>
    </row>
    <row r="256" spans="14:14">
      <c r="N256" s="332"/>
    </row>
    <row r="257" spans="14:14">
      <c r="N257" s="332"/>
    </row>
    <row r="258" spans="14:14">
      <c r="N258" s="332"/>
    </row>
    <row r="259" spans="14:14">
      <c r="N259" s="332"/>
    </row>
    <row r="260" spans="14:14">
      <c r="N260" s="332"/>
    </row>
    <row r="261" spans="14:14">
      <c r="N261" s="332"/>
    </row>
    <row r="262" spans="14:14">
      <c r="N262" s="332"/>
    </row>
    <row r="263" spans="14:14">
      <c r="N263" s="332"/>
    </row>
    <row r="264" spans="14:14">
      <c r="N264" s="332"/>
    </row>
    <row r="265" spans="14:14">
      <c r="N265" s="332"/>
    </row>
    <row r="266" spans="14:14">
      <c r="N266" s="332"/>
    </row>
    <row r="267" spans="14:14">
      <c r="N267" s="332"/>
    </row>
    <row r="268" spans="14:14">
      <c r="N268" s="332"/>
    </row>
    <row r="269" spans="14:14">
      <c r="N269" s="332"/>
    </row>
    <row r="270" spans="14:14">
      <c r="N270" s="332"/>
    </row>
    <row r="271" spans="14:14">
      <c r="N271" s="332"/>
    </row>
    <row r="272" spans="14:14">
      <c r="N272" s="332"/>
    </row>
    <row r="273" spans="14:14">
      <c r="N273" s="332"/>
    </row>
    <row r="274" spans="14:14">
      <c r="N274" s="332"/>
    </row>
    <row r="275" spans="14:14">
      <c r="N275" s="332"/>
    </row>
    <row r="276" spans="14:14">
      <c r="N276" s="332"/>
    </row>
    <row r="277" spans="14:14">
      <c r="N277" s="332"/>
    </row>
    <row r="278" spans="14:14">
      <c r="N278" s="332"/>
    </row>
    <row r="279" spans="14:14">
      <c r="N279" s="332"/>
    </row>
    <row r="280" spans="14:14">
      <c r="N280" s="332"/>
    </row>
    <row r="281" spans="14:14">
      <c r="N281" s="332"/>
    </row>
    <row r="282" spans="14:14">
      <c r="N282" s="332"/>
    </row>
    <row r="283" spans="14:14">
      <c r="N283" s="332"/>
    </row>
    <row r="284" spans="14:14">
      <c r="N284" s="332"/>
    </row>
    <row r="285" spans="14:14">
      <c r="N285" s="332"/>
    </row>
    <row r="286" spans="14:14">
      <c r="N286" s="332"/>
    </row>
    <row r="287" spans="14:14">
      <c r="N287" s="332"/>
    </row>
    <row r="288" spans="14:14">
      <c r="N288" s="332"/>
    </row>
    <row r="289" spans="14:14">
      <c r="N289" s="332"/>
    </row>
    <row r="290" spans="14:14">
      <c r="N290" s="332"/>
    </row>
    <row r="291" spans="14:14">
      <c r="N291" s="332"/>
    </row>
    <row r="292" spans="14:14">
      <c r="N292" s="332"/>
    </row>
    <row r="293" spans="14:14">
      <c r="N293" s="332"/>
    </row>
    <row r="294" spans="14:14">
      <c r="N294" s="332"/>
    </row>
    <row r="295" spans="14:14">
      <c r="N295" s="332"/>
    </row>
    <row r="296" spans="14:14">
      <c r="N296" s="332"/>
    </row>
    <row r="297" spans="14:14">
      <c r="N297" s="332"/>
    </row>
    <row r="298" spans="14:14">
      <c r="N298" s="332"/>
    </row>
    <row r="299" spans="14:14">
      <c r="N299" s="332"/>
    </row>
    <row r="300" spans="14:14">
      <c r="N300" s="332"/>
    </row>
    <row r="301" spans="14:14">
      <c r="N301" s="332"/>
    </row>
    <row r="302" spans="14:14">
      <c r="N302" s="332"/>
    </row>
    <row r="303" spans="14:14">
      <c r="N303" s="332"/>
    </row>
    <row r="304" spans="14:14">
      <c r="N304" s="332"/>
    </row>
    <row r="305" spans="14:14">
      <c r="N305" s="332"/>
    </row>
    <row r="306" spans="14:14">
      <c r="N306" s="332"/>
    </row>
    <row r="307" spans="14:14">
      <c r="N307" s="332"/>
    </row>
    <row r="308" spans="14:14">
      <c r="N308" s="332"/>
    </row>
    <row r="309" spans="14:14">
      <c r="N309" s="332"/>
    </row>
    <row r="310" spans="14:14">
      <c r="N310" s="332"/>
    </row>
    <row r="311" spans="14:14">
      <c r="N311" s="332"/>
    </row>
    <row r="312" spans="14:14">
      <c r="N312" s="332"/>
    </row>
    <row r="313" spans="14:14">
      <c r="N313" s="332"/>
    </row>
    <row r="314" spans="14:14">
      <c r="N314" s="332"/>
    </row>
    <row r="315" spans="14:14">
      <c r="N315" s="332"/>
    </row>
    <row r="316" spans="14:14">
      <c r="N316" s="332"/>
    </row>
    <row r="317" spans="14:14">
      <c r="N317" s="332"/>
    </row>
    <row r="318" spans="14:14">
      <c r="N318" s="332"/>
    </row>
    <row r="319" spans="14:14">
      <c r="N319" s="332"/>
    </row>
    <row r="320" spans="14:14">
      <c r="N320" s="332"/>
    </row>
    <row r="321" spans="14:14">
      <c r="N321" s="332"/>
    </row>
    <row r="322" spans="14:14">
      <c r="N322" s="332"/>
    </row>
    <row r="323" spans="14:14">
      <c r="N323" s="332"/>
    </row>
    <row r="324" spans="14:14">
      <c r="N324" s="332"/>
    </row>
    <row r="325" spans="14:14">
      <c r="N325" s="332"/>
    </row>
    <row r="326" spans="14:14">
      <c r="N326" s="332"/>
    </row>
    <row r="327" spans="14:14">
      <c r="N327" s="332"/>
    </row>
    <row r="328" spans="14:14">
      <c r="N328" s="332"/>
    </row>
    <row r="329" spans="14:14">
      <c r="N329" s="332"/>
    </row>
    <row r="330" spans="14:14">
      <c r="N330" s="332"/>
    </row>
    <row r="331" spans="14:14">
      <c r="N331" s="332"/>
    </row>
    <row r="332" spans="14:14">
      <c r="N332" s="332"/>
    </row>
    <row r="333" spans="14:14">
      <c r="N333" s="332"/>
    </row>
    <row r="334" spans="14:14">
      <c r="N334" s="332"/>
    </row>
    <row r="335" spans="14:14">
      <c r="N335" s="332"/>
    </row>
    <row r="336" spans="14:14">
      <c r="N336" s="332"/>
    </row>
    <row r="337" spans="14:14">
      <c r="N337" s="332"/>
    </row>
    <row r="338" spans="14:14">
      <c r="N338" s="332"/>
    </row>
    <row r="339" spans="14:14">
      <c r="N339" s="332"/>
    </row>
    <row r="340" spans="14:14">
      <c r="N340" s="332"/>
    </row>
    <row r="341" spans="14:14">
      <c r="N341" s="332"/>
    </row>
    <row r="342" spans="14:14">
      <c r="N342" s="332"/>
    </row>
    <row r="343" spans="14:14">
      <c r="N343" s="332"/>
    </row>
    <row r="344" spans="14:14">
      <c r="N344" s="332"/>
    </row>
    <row r="345" spans="14:14">
      <c r="N345" s="332"/>
    </row>
    <row r="346" spans="14:14">
      <c r="N346" s="332"/>
    </row>
    <row r="347" spans="14:14">
      <c r="N347" s="332"/>
    </row>
    <row r="348" spans="14:14">
      <c r="N348" s="332"/>
    </row>
    <row r="349" spans="14:14">
      <c r="N349" s="332"/>
    </row>
    <row r="350" spans="14:14">
      <c r="N350" s="332"/>
    </row>
    <row r="351" spans="14:14">
      <c r="N351" s="332"/>
    </row>
    <row r="352" spans="14:14">
      <c r="N352" s="332"/>
    </row>
    <row r="353" spans="14:14">
      <c r="N353" s="332"/>
    </row>
    <row r="354" spans="14:14">
      <c r="N354" s="332"/>
    </row>
    <row r="355" spans="14:14">
      <c r="N355" s="332"/>
    </row>
    <row r="356" spans="14:14">
      <c r="N356" s="332"/>
    </row>
    <row r="357" spans="14:14">
      <c r="N357" s="332"/>
    </row>
    <row r="358" spans="14:14">
      <c r="N358" s="332"/>
    </row>
    <row r="359" spans="14:14">
      <c r="N359" s="332"/>
    </row>
    <row r="360" spans="14:14">
      <c r="N360" s="332"/>
    </row>
    <row r="361" spans="14:14">
      <c r="N361" s="332"/>
    </row>
    <row r="362" spans="14:14">
      <c r="N362" s="332"/>
    </row>
    <row r="363" spans="14:14">
      <c r="N363" s="332"/>
    </row>
    <row r="364" spans="14:14">
      <c r="N364" s="332"/>
    </row>
    <row r="365" spans="14:14">
      <c r="N365" s="332"/>
    </row>
    <row r="366" spans="14:14">
      <c r="N366" s="332"/>
    </row>
    <row r="367" spans="14:14">
      <c r="N367" s="332"/>
    </row>
    <row r="368" spans="14:14">
      <c r="N368" s="332"/>
    </row>
    <row r="369" spans="14:14">
      <c r="N369" s="332"/>
    </row>
    <row r="370" spans="14:14">
      <c r="N370" s="332"/>
    </row>
    <row r="371" spans="14:14">
      <c r="N371" s="332"/>
    </row>
    <row r="372" spans="14:14">
      <c r="N372" s="332"/>
    </row>
    <row r="373" spans="14:14">
      <c r="N373" s="332"/>
    </row>
    <row r="374" spans="14:14">
      <c r="N374" s="332"/>
    </row>
    <row r="375" spans="14:14">
      <c r="N375" s="332"/>
    </row>
    <row r="376" spans="14:14">
      <c r="N376" s="332"/>
    </row>
    <row r="377" spans="14:14">
      <c r="N377" s="332"/>
    </row>
    <row r="378" spans="14:14">
      <c r="N378" s="332"/>
    </row>
    <row r="379" spans="14:14">
      <c r="N379" s="332"/>
    </row>
    <row r="380" spans="14:14">
      <c r="N380" s="332"/>
    </row>
    <row r="381" spans="14:14">
      <c r="N381" s="332"/>
    </row>
    <row r="382" spans="14:14">
      <c r="N382" s="332"/>
    </row>
    <row r="383" spans="14:14">
      <c r="N383" s="332"/>
    </row>
    <row r="384" spans="14:14">
      <c r="N384" s="332"/>
    </row>
    <row r="385" spans="14:14">
      <c r="N385" s="332"/>
    </row>
    <row r="386" spans="14:14">
      <c r="N386" s="332"/>
    </row>
    <row r="387" spans="14:14">
      <c r="N387" s="332"/>
    </row>
    <row r="388" spans="14:14">
      <c r="N388" s="332"/>
    </row>
    <row r="389" spans="14:14">
      <c r="N389" s="332"/>
    </row>
    <row r="390" spans="14:14">
      <c r="N390" s="332"/>
    </row>
    <row r="391" spans="14:14">
      <c r="N391" s="332"/>
    </row>
    <row r="392" spans="14:14">
      <c r="N392" s="332"/>
    </row>
    <row r="393" spans="14:14">
      <c r="N393" s="332"/>
    </row>
    <row r="394" spans="14:14">
      <c r="N394" s="332"/>
    </row>
    <row r="395" spans="14:14">
      <c r="N395" s="332"/>
    </row>
    <row r="396" spans="14:14">
      <c r="N396" s="332"/>
    </row>
    <row r="397" spans="14:14">
      <c r="N397" s="332"/>
    </row>
    <row r="398" spans="14:14">
      <c r="N398" s="332"/>
    </row>
    <row r="399" spans="14:14">
      <c r="N399" s="332"/>
    </row>
    <row r="400" spans="14:14">
      <c r="N400" s="332"/>
    </row>
    <row r="401" spans="14:14">
      <c r="N401" s="332"/>
    </row>
    <row r="402" spans="14:14">
      <c r="N402" s="332"/>
    </row>
    <row r="403" spans="14:14">
      <c r="N403" s="332"/>
    </row>
    <row r="404" spans="14:14">
      <c r="N404" s="332"/>
    </row>
    <row r="405" spans="14:14">
      <c r="N405" s="332"/>
    </row>
    <row r="406" spans="14:14">
      <c r="N406" s="332"/>
    </row>
    <row r="407" spans="14:14">
      <c r="N407" s="332"/>
    </row>
    <row r="408" spans="14:14">
      <c r="N408" s="332"/>
    </row>
    <row r="409" spans="14:14">
      <c r="N409" s="332"/>
    </row>
    <row r="410" spans="14:14">
      <c r="N410" s="332"/>
    </row>
    <row r="411" spans="14:14">
      <c r="N411" s="332"/>
    </row>
    <row r="412" spans="14:14">
      <c r="N412" s="332"/>
    </row>
    <row r="413" spans="14:14">
      <c r="N413" s="332"/>
    </row>
    <row r="414" spans="14:14">
      <c r="N414" s="332"/>
    </row>
    <row r="415" spans="14:14">
      <c r="N415" s="332"/>
    </row>
    <row r="416" spans="14:14">
      <c r="N416" s="332"/>
    </row>
    <row r="417" spans="14:14">
      <c r="N417" s="332"/>
    </row>
    <row r="418" spans="14:14">
      <c r="N418" s="332"/>
    </row>
    <row r="419" spans="14:14">
      <c r="N419" s="332"/>
    </row>
    <row r="420" spans="14:14">
      <c r="N420" s="332"/>
    </row>
    <row r="421" spans="14:14">
      <c r="N421" s="332"/>
    </row>
    <row r="422" spans="14:14">
      <c r="N422" s="332"/>
    </row>
    <row r="423" spans="14:14">
      <c r="N423" s="332"/>
    </row>
    <row r="424" spans="14:14">
      <c r="N424" s="332"/>
    </row>
    <row r="425" spans="14:14">
      <c r="N425" s="332"/>
    </row>
    <row r="426" spans="14:14">
      <c r="N426" s="332"/>
    </row>
    <row r="427" spans="14:14">
      <c r="N427" s="332"/>
    </row>
    <row r="428" spans="14:14">
      <c r="N428" s="332"/>
    </row>
    <row r="429" spans="14:14">
      <c r="N429" s="332"/>
    </row>
    <row r="430" spans="14:14">
      <c r="N430" s="332"/>
    </row>
    <row r="431" spans="14:14">
      <c r="N431" s="332"/>
    </row>
    <row r="432" spans="14:14">
      <c r="N432" s="332"/>
    </row>
    <row r="433" spans="14:14">
      <c r="N433" s="332"/>
    </row>
    <row r="434" spans="14:14">
      <c r="N434" s="332"/>
    </row>
    <row r="435" spans="14:14">
      <c r="N435" s="332"/>
    </row>
    <row r="436" spans="14:14">
      <c r="N436" s="332"/>
    </row>
    <row r="437" spans="14:14">
      <c r="N437" s="332"/>
    </row>
    <row r="438" spans="14:14">
      <c r="N438" s="332"/>
    </row>
    <row r="439" spans="14:14">
      <c r="N439" s="332"/>
    </row>
    <row r="440" spans="14:14">
      <c r="N440" s="332"/>
    </row>
    <row r="441" spans="14:14">
      <c r="N441" s="332"/>
    </row>
    <row r="442" spans="14:14">
      <c r="N442" s="332"/>
    </row>
    <row r="443" spans="14:14">
      <c r="N443" s="332"/>
    </row>
    <row r="444" spans="14:14">
      <c r="N444" s="332"/>
    </row>
    <row r="445" spans="14:14">
      <c r="N445" s="332"/>
    </row>
    <row r="446" spans="14:14">
      <c r="N446" s="332"/>
    </row>
    <row r="447" spans="14:14">
      <c r="N447" s="332"/>
    </row>
    <row r="448" spans="14:14">
      <c r="N448" s="332"/>
    </row>
    <row r="449" spans="14:14">
      <c r="N449" s="332"/>
    </row>
    <row r="450" spans="14:14">
      <c r="N450" s="332"/>
    </row>
    <row r="451" spans="14:14">
      <c r="N451" s="332"/>
    </row>
    <row r="452" spans="14:14">
      <c r="N452" s="332"/>
    </row>
    <row r="453" spans="14:14">
      <c r="N453" s="332"/>
    </row>
    <row r="454" spans="14:14">
      <c r="N454" s="332"/>
    </row>
    <row r="455" spans="14:14">
      <c r="N455" s="332"/>
    </row>
    <row r="456" spans="14:14">
      <c r="N456" s="332"/>
    </row>
    <row r="457" spans="14:14">
      <c r="N457" s="332"/>
    </row>
    <row r="458" spans="14:14">
      <c r="N458" s="332"/>
    </row>
    <row r="459" spans="14:14">
      <c r="N459" s="332"/>
    </row>
    <row r="460" spans="14:14">
      <c r="N460" s="332"/>
    </row>
    <row r="461" spans="14:14">
      <c r="N461" s="332"/>
    </row>
    <row r="462" spans="14:14">
      <c r="N462" s="332"/>
    </row>
    <row r="463" spans="14:14">
      <c r="N463" s="332"/>
    </row>
    <row r="464" spans="14:14">
      <c r="N464" s="332"/>
    </row>
    <row r="465" spans="14:14">
      <c r="N465" s="332"/>
    </row>
    <row r="466" spans="14:14">
      <c r="N466" s="332"/>
    </row>
    <row r="467" spans="14:14">
      <c r="N467" s="332"/>
    </row>
    <row r="468" spans="14:14">
      <c r="N468" s="332"/>
    </row>
    <row r="469" spans="14:14">
      <c r="N469" s="332"/>
    </row>
    <row r="470" spans="14:14">
      <c r="N470" s="332"/>
    </row>
    <row r="471" spans="14:14">
      <c r="N471" s="332"/>
    </row>
    <row r="472" spans="14:14">
      <c r="N472" s="332"/>
    </row>
    <row r="473" spans="14:14">
      <c r="N473" s="332"/>
    </row>
    <row r="474" spans="14:14">
      <c r="N474" s="332"/>
    </row>
    <row r="475" spans="14:14">
      <c r="N475" s="332"/>
    </row>
    <row r="476" spans="14:14">
      <c r="N476" s="332"/>
    </row>
    <row r="477" spans="14:14">
      <c r="N477" s="332"/>
    </row>
    <row r="478" spans="14:14">
      <c r="N478" s="332"/>
    </row>
    <row r="479" spans="14:14">
      <c r="N479" s="332"/>
    </row>
    <row r="480" spans="14:14">
      <c r="N480" s="332"/>
    </row>
    <row r="999983" spans="1:1">
      <c r="A999983" s="111" t="s">
        <v>7</v>
      </c>
    </row>
    <row r="999984" spans="1:1">
      <c r="A999984" s="111" t="s">
        <v>2</v>
      </c>
    </row>
    <row r="999985" spans="1:1">
      <c r="A999985" s="111" t="s">
        <v>6</v>
      </c>
    </row>
    <row r="999986" spans="1:1">
      <c r="A999986" s="111" t="s">
        <v>3</v>
      </c>
    </row>
    <row r="999987" spans="1:1">
      <c r="A999987" s="111" t="s">
        <v>4</v>
      </c>
    </row>
    <row r="999988" spans="1:1">
      <c r="A999988" s="111" t="s">
        <v>5</v>
      </c>
    </row>
  </sheetData>
  <pageMargins left="0.15748031496062992" right="0.15748031496062992" top="0.35433070866141736" bottom="0.55118110236220474" header="0.19685039370078741" footer="0.23622047244094491"/>
  <pageSetup paperSize="9" scale="83" orientation="landscape" r:id="rId1"/>
  <headerFooter>
    <oddFooter>&amp;C&amp;D&amp;R&amp;F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P205"/>
  <sheetViews>
    <sheetView showGridLines="0" zoomScale="85" zoomScaleNormal="85" workbookViewId="0">
      <pane xSplit="3" ySplit="5" topLeftCell="D6" activePane="bottomRight" state="frozen"/>
      <selection activeCell="F73" sqref="F73"/>
      <selection pane="topRight" activeCell="F73" sqref="F73"/>
      <selection pane="bottomLeft" activeCell="F73" sqref="F73"/>
      <selection pane="bottomRight" activeCell="D6" sqref="D6"/>
    </sheetView>
  </sheetViews>
  <sheetFormatPr defaultColWidth="9" defaultRowHeight="12.4"/>
  <cols>
    <col min="1" max="1" width="31.46875" style="131" customWidth="1"/>
    <col min="2" max="2" width="11.3515625" style="131" customWidth="1"/>
    <col min="3" max="3" width="11" style="131" customWidth="1"/>
    <col min="4" max="4" width="6.64453125" style="111" customWidth="1"/>
    <col min="5" max="5" width="8.1171875" style="111" customWidth="1"/>
    <col min="6" max="6" width="8" style="111" customWidth="1"/>
    <col min="7" max="9" width="8.17578125" style="111" customWidth="1"/>
    <col min="10" max="10" width="8.46875" style="111" customWidth="1"/>
    <col min="11" max="11" width="8.3515625" style="111" customWidth="1"/>
    <col min="12" max="12" width="8.64453125" style="111" customWidth="1"/>
    <col min="13" max="13" width="9" style="111"/>
    <col min="14" max="14" width="28.3515625" style="118" bestFit="1" customWidth="1"/>
    <col min="15" max="15" width="16.703125" style="111" bestFit="1" customWidth="1"/>
    <col min="16" max="16384" width="9" style="111"/>
  </cols>
  <sheetData>
    <row r="1" spans="1:15" ht="14.65">
      <c r="A1" s="165" t="s">
        <v>243</v>
      </c>
      <c r="N1" s="343"/>
    </row>
    <row r="2" spans="1:15" ht="14.65">
      <c r="A2" s="165" t="str">
        <f>CompName</f>
        <v>Scottish Hydro Electric Transmission Plc</v>
      </c>
      <c r="N2" s="343"/>
    </row>
    <row r="3" spans="1:15">
      <c r="A3" s="166" t="str">
        <f>RegYr</f>
        <v>Regulatory Year ending 31 March 2019</v>
      </c>
      <c r="N3" s="343"/>
    </row>
    <row r="4" spans="1:15" ht="5.2" customHeight="1">
      <c r="N4" s="343"/>
    </row>
    <row r="5" spans="1:15" ht="15.4">
      <c r="A5" s="167" t="s">
        <v>136</v>
      </c>
      <c r="C5" s="262"/>
      <c r="E5" s="112">
        <v>2013</v>
      </c>
      <c r="F5" s="112">
        <v>2014</v>
      </c>
      <c r="G5" s="112">
        <v>2015</v>
      </c>
      <c r="H5" s="112">
        <v>2016</v>
      </c>
      <c r="I5" s="112">
        <v>2017</v>
      </c>
      <c r="J5" s="112">
        <v>2018</v>
      </c>
      <c r="K5" s="112">
        <v>2019</v>
      </c>
      <c r="L5" s="112">
        <v>2020</v>
      </c>
      <c r="M5" s="112">
        <v>2021</v>
      </c>
      <c r="N5" s="343"/>
    </row>
    <row r="6" spans="1:15">
      <c r="C6" s="262"/>
      <c r="N6" s="343"/>
    </row>
    <row r="7" spans="1:15" ht="13.9">
      <c r="A7" s="142" t="s">
        <v>454</v>
      </c>
      <c r="C7" s="262"/>
      <c r="N7" s="343"/>
    </row>
    <row r="8" spans="1:15" ht="14.25">
      <c r="A8" s="166" t="s">
        <v>479</v>
      </c>
      <c r="C8" s="262"/>
      <c r="E8" s="112">
        <v>2013</v>
      </c>
      <c r="F8" s="112">
        <v>2014</v>
      </c>
      <c r="G8" s="112">
        <v>2015</v>
      </c>
      <c r="H8" s="112">
        <v>2016</v>
      </c>
      <c r="I8" s="112">
        <v>2017</v>
      </c>
      <c r="J8" s="112">
        <v>2018</v>
      </c>
      <c r="K8" s="112">
        <v>2019</v>
      </c>
      <c r="L8" s="112">
        <v>2020</v>
      </c>
      <c r="M8" s="112">
        <v>2021</v>
      </c>
      <c r="N8" s="343"/>
    </row>
    <row r="9" spans="1:15">
      <c r="A9" s="131" t="s">
        <v>245</v>
      </c>
      <c r="B9" s="131" t="s">
        <v>144</v>
      </c>
      <c r="C9" s="262" t="s">
        <v>1</v>
      </c>
      <c r="E9" s="133">
        <f>E25+E83</f>
        <v>0</v>
      </c>
      <c r="F9" s="133">
        <f>F25+F83</f>
        <v>0</v>
      </c>
      <c r="G9" s="133">
        <f t="shared" ref="G9:M9" si="0">G25+G83</f>
        <v>0</v>
      </c>
      <c r="H9" s="133">
        <f t="shared" si="0"/>
        <v>0</v>
      </c>
      <c r="I9" s="133">
        <f t="shared" si="0"/>
        <v>0</v>
      </c>
      <c r="J9" s="133">
        <f t="shared" si="0"/>
        <v>0</v>
      </c>
      <c r="K9" s="133">
        <f t="shared" si="0"/>
        <v>0</v>
      </c>
      <c r="L9" s="133">
        <f t="shared" si="0"/>
        <v>0</v>
      </c>
      <c r="M9" s="133">
        <f t="shared" si="0"/>
        <v>0</v>
      </c>
      <c r="N9" s="343"/>
    </row>
    <row r="10" spans="1:15">
      <c r="A10" s="131" t="s">
        <v>256</v>
      </c>
      <c r="B10" s="131" t="s">
        <v>146</v>
      </c>
      <c r="C10" s="262" t="s">
        <v>1</v>
      </c>
      <c r="E10" s="133">
        <f>E42+E100</f>
        <v>0</v>
      </c>
      <c r="F10" s="133">
        <f>F42+F100</f>
        <v>42.010032788215355</v>
      </c>
      <c r="G10" s="133">
        <f t="shared" ref="G10:M10" si="1">G42+G100</f>
        <v>43.36850859600105</v>
      </c>
      <c r="H10" s="133">
        <f>H42+H100</f>
        <v>42.62707400205376</v>
      </c>
      <c r="I10" s="133">
        <f t="shared" si="1"/>
        <v>0</v>
      </c>
      <c r="J10" s="133">
        <f t="shared" si="1"/>
        <v>0</v>
      </c>
      <c r="K10" s="133">
        <f t="shared" si="1"/>
        <v>0</v>
      </c>
      <c r="L10" s="133">
        <f t="shared" si="1"/>
        <v>0</v>
      </c>
      <c r="M10" s="133">
        <f t="shared" si="1"/>
        <v>0</v>
      </c>
      <c r="N10" s="343"/>
    </row>
    <row r="11" spans="1:15">
      <c r="A11" s="131" t="s">
        <v>255</v>
      </c>
      <c r="B11" s="131" t="s">
        <v>147</v>
      </c>
      <c r="C11" s="262" t="s">
        <v>1</v>
      </c>
      <c r="E11" s="133">
        <f>E69+E127</f>
        <v>0</v>
      </c>
      <c r="F11" s="133">
        <f>F69+F127</f>
        <v>1.1202636953122749</v>
      </c>
      <c r="G11" s="133">
        <f t="shared" ref="G11:M11" si="2">G69+G127</f>
        <v>2.273989644793255</v>
      </c>
      <c r="H11" s="133">
        <f>H69+H127</f>
        <v>2.2345919399734906</v>
      </c>
      <c r="I11" s="133">
        <f t="shared" si="2"/>
        <v>0</v>
      </c>
      <c r="J11" s="133">
        <f t="shared" si="2"/>
        <v>84.256191454810178</v>
      </c>
      <c r="K11" s="133">
        <f t="shared" si="2"/>
        <v>83.929406675831544</v>
      </c>
      <c r="L11" s="133">
        <f t="shared" si="2"/>
        <v>83.48339417561121</v>
      </c>
      <c r="M11" s="133">
        <f t="shared" si="2"/>
        <v>77.309616964781469</v>
      </c>
      <c r="N11" s="343"/>
    </row>
    <row r="12" spans="1:15">
      <c r="A12" s="131" t="s">
        <v>270</v>
      </c>
      <c r="C12" s="262"/>
      <c r="E12" s="207">
        <f>SUM(E9:E11)</f>
        <v>0</v>
      </c>
      <c r="F12" s="62">
        <f>SUM(F9:F11)</f>
        <v>43.13029648352763</v>
      </c>
      <c r="G12" s="62">
        <f t="shared" ref="G12:M12" si="3">SUM(G9:G11)</f>
        <v>45.642498240794303</v>
      </c>
      <c r="H12" s="62">
        <f>SUM(H9:H11)</f>
        <v>44.861665942027251</v>
      </c>
      <c r="I12" s="62">
        <f t="shared" si="3"/>
        <v>0</v>
      </c>
      <c r="J12" s="62">
        <f t="shared" si="3"/>
        <v>84.256191454810178</v>
      </c>
      <c r="K12" s="62">
        <f t="shared" si="3"/>
        <v>83.929406675831544</v>
      </c>
      <c r="L12" s="62">
        <f t="shared" si="3"/>
        <v>83.48339417561121</v>
      </c>
      <c r="M12" s="62">
        <f t="shared" si="3"/>
        <v>77.309616964781469</v>
      </c>
      <c r="N12" s="343" t="s">
        <v>271</v>
      </c>
    </row>
    <row r="13" spans="1:15">
      <c r="A13" s="131" t="s">
        <v>257</v>
      </c>
      <c r="B13" s="131" t="s">
        <v>145</v>
      </c>
      <c r="C13" s="262" t="s">
        <v>1</v>
      </c>
      <c r="F13" s="133">
        <f>F72+F130</f>
        <v>0</v>
      </c>
      <c r="G13" s="133">
        <f>G72+G130</f>
        <v>0</v>
      </c>
      <c r="H13" s="133">
        <f>H72+H130</f>
        <v>0</v>
      </c>
      <c r="I13" s="133">
        <f t="shared" ref="I13:M13" si="4">I72+I130</f>
        <v>0</v>
      </c>
      <c r="J13" s="133">
        <f t="shared" si="4"/>
        <v>0</v>
      </c>
      <c r="K13" s="133">
        <f t="shared" si="4"/>
        <v>0</v>
      </c>
      <c r="L13" s="133">
        <f t="shared" si="4"/>
        <v>0</v>
      </c>
      <c r="M13" s="133">
        <f t="shared" si="4"/>
        <v>0</v>
      </c>
      <c r="N13" s="343"/>
    </row>
    <row r="14" spans="1:15">
      <c r="A14" s="131" t="s">
        <v>246</v>
      </c>
      <c r="B14" s="131" t="s">
        <v>148</v>
      </c>
      <c r="C14" s="262" t="s">
        <v>1</v>
      </c>
      <c r="F14" s="133">
        <f>F73+F131</f>
        <v>0</v>
      </c>
      <c r="G14" s="133">
        <f t="shared" ref="G14:L14" si="5">G73+G131</f>
        <v>0</v>
      </c>
      <c r="H14" s="133">
        <f>H73+H131</f>
        <v>0</v>
      </c>
      <c r="I14" s="133">
        <f t="shared" si="5"/>
        <v>0</v>
      </c>
      <c r="J14" s="133">
        <f t="shared" si="5"/>
        <v>0</v>
      </c>
      <c r="K14" s="133">
        <f t="shared" si="5"/>
        <v>0</v>
      </c>
      <c r="L14" s="133">
        <f t="shared" si="5"/>
        <v>0</v>
      </c>
      <c r="M14" s="133">
        <f>M73+M131</f>
        <v>0</v>
      </c>
      <c r="N14" s="343"/>
      <c r="O14" s="118"/>
    </row>
    <row r="15" spans="1:15" ht="13.5">
      <c r="B15" s="113"/>
      <c r="C15" s="262"/>
      <c r="N15" s="343"/>
    </row>
    <row r="16" spans="1:15">
      <c r="B16" s="131" t="s">
        <v>310</v>
      </c>
      <c r="C16" s="262" t="s">
        <v>1</v>
      </c>
      <c r="F16" s="62">
        <f>SUM(F12:F14)</f>
        <v>43.13029648352763</v>
      </c>
      <c r="G16" s="307">
        <f t="shared" ref="G16:M16" si="6">SUM(G12:G14)</f>
        <v>45.642498240794303</v>
      </c>
      <c r="H16" s="62">
        <f>SUM(H12:H14)</f>
        <v>44.861665942027251</v>
      </c>
      <c r="I16" s="62">
        <f t="shared" si="6"/>
        <v>0</v>
      </c>
      <c r="J16" s="62">
        <f t="shared" si="6"/>
        <v>84.256191454810178</v>
      </c>
      <c r="K16" s="62">
        <f t="shared" si="6"/>
        <v>83.929406675831544</v>
      </c>
      <c r="L16" s="62">
        <f t="shared" si="6"/>
        <v>83.48339417561121</v>
      </c>
      <c r="M16" s="62">
        <f t="shared" si="6"/>
        <v>77.309616964781469</v>
      </c>
      <c r="N16" s="343" t="s">
        <v>136</v>
      </c>
    </row>
    <row r="17" spans="1:15" ht="13.5">
      <c r="A17" s="113"/>
      <c r="C17" s="262"/>
      <c r="F17" s="118"/>
      <c r="N17" s="343"/>
    </row>
    <row r="18" spans="1:15" ht="13.9">
      <c r="A18" s="142" t="s">
        <v>280</v>
      </c>
      <c r="B18" s="309" t="s">
        <v>365</v>
      </c>
      <c r="C18" s="262"/>
      <c r="N18" s="343"/>
    </row>
    <row r="19" spans="1:15" ht="13.5">
      <c r="A19" s="113"/>
      <c r="C19" s="262"/>
      <c r="N19" s="343"/>
    </row>
    <row r="20" spans="1:15" ht="13.9">
      <c r="A20" s="142" t="s">
        <v>277</v>
      </c>
      <c r="C20" s="262"/>
      <c r="J20" s="118"/>
      <c r="N20" s="343"/>
    </row>
    <row r="21" spans="1:15" ht="14.25">
      <c r="A21" s="144" t="s">
        <v>480</v>
      </c>
      <c r="C21" s="262"/>
      <c r="E21" s="112">
        <v>2013</v>
      </c>
      <c r="F21" s="112">
        <v>2014</v>
      </c>
      <c r="G21" s="112">
        <v>2015</v>
      </c>
      <c r="H21" s="112">
        <v>2016</v>
      </c>
      <c r="I21" s="112">
        <v>2017</v>
      </c>
      <c r="J21" s="112">
        <v>2018</v>
      </c>
      <c r="K21" s="112">
        <v>2019</v>
      </c>
      <c r="L21" s="112">
        <v>2020</v>
      </c>
      <c r="M21" s="112">
        <v>2021</v>
      </c>
      <c r="N21" s="343"/>
    </row>
    <row r="22" spans="1:15">
      <c r="A22" s="121" t="s">
        <v>382</v>
      </c>
      <c r="B22" s="131" t="s">
        <v>149</v>
      </c>
      <c r="C22" s="262" t="s">
        <v>1</v>
      </c>
      <c r="E22" s="133">
        <f t="shared" ref="E22:M22" si="7">CFTIRG1</f>
        <v>0</v>
      </c>
      <c r="F22" s="133">
        <f t="shared" si="7"/>
        <v>0</v>
      </c>
      <c r="G22" s="133">
        <f t="shared" si="7"/>
        <v>0</v>
      </c>
      <c r="H22" s="133">
        <f t="shared" si="7"/>
        <v>0</v>
      </c>
      <c r="I22" s="133">
        <f t="shared" si="7"/>
        <v>0</v>
      </c>
      <c r="J22" s="133">
        <f t="shared" si="7"/>
        <v>0</v>
      </c>
      <c r="K22" s="133">
        <f t="shared" si="7"/>
        <v>0</v>
      </c>
      <c r="L22" s="133">
        <f t="shared" si="7"/>
        <v>0</v>
      </c>
      <c r="M22" s="133">
        <f t="shared" si="7"/>
        <v>0</v>
      </c>
      <c r="N22" s="343" t="s">
        <v>384</v>
      </c>
      <c r="O22" s="118"/>
    </row>
    <row r="23" spans="1:15">
      <c r="A23" s="131" t="s">
        <v>156</v>
      </c>
      <c r="B23" s="131" t="s">
        <v>116</v>
      </c>
      <c r="C23" s="262" t="s">
        <v>117</v>
      </c>
      <c r="E23" s="317">
        <f t="shared" ref="E23:M23" si="8">RPIF</f>
        <v>1.1339999999999999</v>
      </c>
      <c r="F23" s="317">
        <f t="shared" si="8"/>
        <v>1.1630161697108456</v>
      </c>
      <c r="G23" s="317">
        <f t="shared" si="8"/>
        <v>1.2050819527256253</v>
      </c>
      <c r="H23" s="317">
        <f t="shared" si="8"/>
        <v>1.2266493019576674</v>
      </c>
      <c r="I23" s="317">
        <f t="shared" si="8"/>
        <v>1.2327329838381795</v>
      </c>
      <c r="J23" s="317">
        <f t="shared" si="8"/>
        <v>1.2709189417960116</v>
      </c>
      <c r="K23" s="317">
        <f t="shared" si="8"/>
        <v>1.3140238772935624</v>
      </c>
      <c r="L23" s="317">
        <f t="shared" si="8"/>
        <v>1.3585865587485577</v>
      </c>
      <c r="M23" s="317">
        <f t="shared" si="8"/>
        <v>1.309769334513619</v>
      </c>
      <c r="N23" s="343" t="s">
        <v>116</v>
      </c>
    </row>
    <row r="24" spans="1:15">
      <c r="C24" s="262"/>
      <c r="N24" s="343"/>
    </row>
    <row r="25" spans="1:15" ht="13.5">
      <c r="A25" s="113" t="s">
        <v>164</v>
      </c>
      <c r="B25" s="131" t="s">
        <v>144</v>
      </c>
      <c r="C25" s="262" t="s">
        <v>1</v>
      </c>
      <c r="E25" s="207">
        <f t="shared" ref="E25:M25" si="9">E22*E23</f>
        <v>0</v>
      </c>
      <c r="F25" s="62">
        <f>F22*F23</f>
        <v>0</v>
      </c>
      <c r="G25" s="62">
        <f t="shared" si="9"/>
        <v>0</v>
      </c>
      <c r="H25" s="62">
        <f t="shared" si="9"/>
        <v>0</v>
      </c>
      <c r="I25" s="62">
        <f t="shared" si="9"/>
        <v>0</v>
      </c>
      <c r="J25" s="62">
        <f t="shared" si="9"/>
        <v>0</v>
      </c>
      <c r="K25" s="62">
        <f t="shared" si="9"/>
        <v>0</v>
      </c>
      <c r="L25" s="62">
        <f t="shared" si="9"/>
        <v>0</v>
      </c>
      <c r="M25" s="62">
        <f t="shared" si="9"/>
        <v>0</v>
      </c>
      <c r="N25" s="343"/>
    </row>
    <row r="26" spans="1:15" ht="13.5">
      <c r="A26" s="113"/>
      <c r="C26" s="262"/>
      <c r="E26" s="118"/>
      <c r="N26" s="343"/>
    </row>
    <row r="27" spans="1:15" ht="13.5">
      <c r="A27" s="113"/>
      <c r="C27" s="262"/>
      <c r="N27" s="343"/>
    </row>
    <row r="28" spans="1:15" ht="13.9">
      <c r="A28" s="142" t="s">
        <v>278</v>
      </c>
      <c r="C28" s="262"/>
      <c r="N28" s="343"/>
    </row>
    <row r="29" spans="1:15">
      <c r="A29" s="144" t="s">
        <v>481</v>
      </c>
      <c r="C29" s="262"/>
      <c r="N29" s="343"/>
    </row>
    <row r="30" spans="1:15" ht="16.5" customHeight="1">
      <c r="A30" s="113"/>
      <c r="C30" s="262"/>
      <c r="E30" s="112">
        <v>2013</v>
      </c>
      <c r="F30" s="112">
        <v>2014</v>
      </c>
      <c r="G30" s="112">
        <v>2015</v>
      </c>
      <c r="H30" s="112">
        <v>2016</v>
      </c>
      <c r="I30" s="112">
        <v>2017</v>
      </c>
      <c r="J30" s="112">
        <v>2018</v>
      </c>
      <c r="K30" s="112">
        <v>2019</v>
      </c>
      <c r="L30" s="112">
        <v>2020</v>
      </c>
      <c r="M30" s="112">
        <v>2021</v>
      </c>
      <c r="N30" s="343"/>
    </row>
    <row r="31" spans="1:15">
      <c r="A31" s="131" t="s">
        <v>240</v>
      </c>
      <c r="B31" s="131" t="s">
        <v>141</v>
      </c>
      <c r="C31" s="262" t="s">
        <v>105</v>
      </c>
      <c r="F31" s="153">
        <f t="shared" ref="F31:M31" si="10">CCTIRG</f>
        <v>8.7999999999999995E-2</v>
      </c>
      <c r="G31" s="153">
        <f t="shared" si="10"/>
        <v>8.7999999999999995E-2</v>
      </c>
      <c r="H31" s="153">
        <f t="shared" si="10"/>
        <v>8.7999999999999995E-2</v>
      </c>
      <c r="I31" s="153">
        <f t="shared" si="10"/>
        <v>8.7999999999999995E-2</v>
      </c>
      <c r="J31" s="153">
        <f t="shared" si="10"/>
        <v>8.7999999999999995E-2</v>
      </c>
      <c r="K31" s="153">
        <f t="shared" si="10"/>
        <v>8.7999999999999995E-2</v>
      </c>
      <c r="L31" s="153">
        <f t="shared" si="10"/>
        <v>8.7999999999999995E-2</v>
      </c>
      <c r="M31" s="153">
        <f t="shared" si="10"/>
        <v>8.7999999999999995E-2</v>
      </c>
      <c r="N31" s="343" t="s">
        <v>141</v>
      </c>
    </row>
    <row r="32" spans="1:15">
      <c r="A32" s="121" t="s">
        <v>250</v>
      </c>
      <c r="B32" s="131" t="s">
        <v>137</v>
      </c>
      <c r="C32" s="262" t="s">
        <v>1</v>
      </c>
      <c r="F32" s="133">
        <f t="shared" ref="F32:M32" si="11">FTIRGC1</f>
        <v>257.22300000000001</v>
      </c>
      <c r="G32" s="133">
        <f t="shared" si="11"/>
        <v>249.18199999999999</v>
      </c>
      <c r="H32" s="133">
        <f t="shared" si="11"/>
        <v>235.12299999999999</v>
      </c>
      <c r="I32" s="133">
        <f t="shared" si="11"/>
        <v>0</v>
      </c>
      <c r="J32" s="133">
        <f t="shared" si="11"/>
        <v>0</v>
      </c>
      <c r="K32" s="133">
        <f t="shared" si="11"/>
        <v>0</v>
      </c>
      <c r="L32" s="133">
        <f t="shared" si="11"/>
        <v>0</v>
      </c>
      <c r="M32" s="133">
        <f t="shared" si="11"/>
        <v>0</v>
      </c>
      <c r="N32" s="343" t="s">
        <v>582</v>
      </c>
    </row>
    <row r="33" spans="1:16">
      <c r="A33" s="131" t="s">
        <v>241</v>
      </c>
      <c r="B33" s="131" t="s">
        <v>150</v>
      </c>
      <c r="C33" s="262" t="s">
        <v>1</v>
      </c>
      <c r="F33" s="133">
        <f t="shared" ref="F33:M33" si="12">AFFTIRG1</f>
        <v>0</v>
      </c>
      <c r="G33" s="133">
        <f t="shared" si="12"/>
        <v>0</v>
      </c>
      <c r="H33" s="133">
        <f t="shared" si="12"/>
        <v>0</v>
      </c>
      <c r="I33" s="133">
        <f t="shared" si="12"/>
        <v>0</v>
      </c>
      <c r="J33" s="133">
        <f t="shared" si="12"/>
        <v>0</v>
      </c>
      <c r="K33" s="133">
        <f t="shared" si="12"/>
        <v>0</v>
      </c>
      <c r="L33" s="133">
        <f t="shared" si="12"/>
        <v>0</v>
      </c>
      <c r="M33" s="133">
        <f t="shared" si="12"/>
        <v>0</v>
      </c>
      <c r="N33" s="343" t="s">
        <v>357</v>
      </c>
    </row>
    <row r="34" spans="1:16">
      <c r="A34" s="131" t="s">
        <v>156</v>
      </c>
      <c r="B34" s="131" t="s">
        <v>116</v>
      </c>
      <c r="C34" s="262" t="s">
        <v>117</v>
      </c>
      <c r="F34" s="317">
        <f t="shared" ref="F34:M34" si="13">RPIF</f>
        <v>1.1630161697108456</v>
      </c>
      <c r="G34" s="317">
        <f t="shared" si="13"/>
        <v>1.2050819527256253</v>
      </c>
      <c r="H34" s="317">
        <f t="shared" si="13"/>
        <v>1.2266493019576674</v>
      </c>
      <c r="I34" s="317">
        <f t="shared" si="13"/>
        <v>1.2327329838381795</v>
      </c>
      <c r="J34" s="317">
        <f t="shared" si="13"/>
        <v>1.2709189417960116</v>
      </c>
      <c r="K34" s="317">
        <f t="shared" si="13"/>
        <v>1.3140238772935624</v>
      </c>
      <c r="L34" s="317">
        <f t="shared" si="13"/>
        <v>1.3585865587485577</v>
      </c>
      <c r="M34" s="317">
        <f t="shared" si="13"/>
        <v>1.309769334513619</v>
      </c>
      <c r="N34" s="343" t="s">
        <v>116</v>
      </c>
    </row>
    <row r="35" spans="1:16">
      <c r="B35" s="131" t="s">
        <v>162</v>
      </c>
      <c r="C35" s="262"/>
      <c r="F35" s="62">
        <f>(F32+F33)*F31*F34</f>
        <v>26.32559672349489</v>
      </c>
      <c r="G35" s="62">
        <f t="shared" ref="G35:M35" si="14">(G32+G33)*G31*G34</f>
        <v>26.425056340678751</v>
      </c>
      <c r="H35" s="62">
        <f t="shared" si="14"/>
        <v>25.380384816528952</v>
      </c>
      <c r="I35" s="62">
        <f t="shared" si="14"/>
        <v>0</v>
      </c>
      <c r="J35" s="62">
        <f t="shared" si="14"/>
        <v>0</v>
      </c>
      <c r="K35" s="62">
        <f t="shared" si="14"/>
        <v>0</v>
      </c>
      <c r="L35" s="62">
        <f t="shared" si="14"/>
        <v>0</v>
      </c>
      <c r="M35" s="62">
        <f t="shared" si="14"/>
        <v>0</v>
      </c>
      <c r="N35" s="343"/>
    </row>
    <row r="36" spans="1:16" ht="13.5">
      <c r="B36" s="113"/>
      <c r="C36" s="262"/>
      <c r="N36" s="343"/>
    </row>
    <row r="37" spans="1:16">
      <c r="A37" s="121" t="s">
        <v>251</v>
      </c>
      <c r="B37" s="131" t="s">
        <v>151</v>
      </c>
      <c r="C37" s="262" t="s">
        <v>1</v>
      </c>
      <c r="F37" s="133">
        <f t="shared" ref="F37:M37" si="15">FTIRGDEPN1</f>
        <v>13.486000000000001</v>
      </c>
      <c r="G37" s="133">
        <f t="shared" si="15"/>
        <v>14.060000000000002</v>
      </c>
      <c r="H37" s="133">
        <f t="shared" si="15"/>
        <v>14.06</v>
      </c>
      <c r="I37" s="133">
        <f t="shared" si="15"/>
        <v>0</v>
      </c>
      <c r="J37" s="133">
        <f t="shared" si="15"/>
        <v>0</v>
      </c>
      <c r="K37" s="133">
        <f t="shared" si="15"/>
        <v>0</v>
      </c>
      <c r="L37" s="133">
        <f t="shared" si="15"/>
        <v>0</v>
      </c>
      <c r="M37" s="133">
        <f t="shared" si="15"/>
        <v>0</v>
      </c>
      <c r="N37" s="343" t="s">
        <v>583</v>
      </c>
      <c r="P37" s="157"/>
    </row>
    <row r="38" spans="1:16">
      <c r="A38" s="131" t="s">
        <v>244</v>
      </c>
      <c r="B38" s="131" t="s">
        <v>152</v>
      </c>
      <c r="C38" s="262" t="s">
        <v>1</v>
      </c>
      <c r="F38" s="133">
        <f>'R5 Input page'!F121</f>
        <v>0</v>
      </c>
      <c r="G38" s="133">
        <f>'R5 Input page'!G121</f>
        <v>0</v>
      </c>
      <c r="H38" s="133">
        <f>'R5 Input page'!H121</f>
        <v>0</v>
      </c>
      <c r="I38" s="133">
        <f>'R5 Input page'!I121</f>
        <v>0</v>
      </c>
      <c r="J38" s="133">
        <f>'R5 Input page'!J121</f>
        <v>0</v>
      </c>
      <c r="K38" s="133">
        <f>'R5 Input page'!K121</f>
        <v>0</v>
      </c>
      <c r="L38" s="133">
        <f>'R5 Input page'!L121</f>
        <v>0</v>
      </c>
      <c r="M38" s="133">
        <f>'R5 Input page'!M121</f>
        <v>0</v>
      </c>
      <c r="N38" s="343"/>
    </row>
    <row r="39" spans="1:16">
      <c r="A39" s="131" t="s">
        <v>156</v>
      </c>
      <c r="B39" s="131" t="s">
        <v>116</v>
      </c>
      <c r="C39" s="262" t="s">
        <v>117</v>
      </c>
      <c r="F39" s="164">
        <f t="shared" ref="F39:M39" si="16">RPIF</f>
        <v>1.1630161697108456</v>
      </c>
      <c r="G39" s="164">
        <f t="shared" si="16"/>
        <v>1.2050819527256253</v>
      </c>
      <c r="H39" s="164">
        <f t="shared" si="16"/>
        <v>1.2266493019576674</v>
      </c>
      <c r="I39" s="164">
        <f t="shared" si="16"/>
        <v>1.2327329838381795</v>
      </c>
      <c r="J39" s="164">
        <f t="shared" si="16"/>
        <v>1.2709189417960116</v>
      </c>
      <c r="K39" s="164">
        <f t="shared" si="16"/>
        <v>1.3140238772935624</v>
      </c>
      <c r="L39" s="164">
        <f t="shared" si="16"/>
        <v>1.3585865587485577</v>
      </c>
      <c r="M39" s="164">
        <f t="shared" si="16"/>
        <v>1.309769334513619</v>
      </c>
      <c r="N39" s="343" t="s">
        <v>116</v>
      </c>
    </row>
    <row r="40" spans="1:16">
      <c r="B40" s="131" t="s">
        <v>163</v>
      </c>
      <c r="C40" s="262"/>
      <c r="F40" s="62">
        <f>(F37+F38)*F39</f>
        <v>15.684436064720465</v>
      </c>
      <c r="G40" s="62">
        <f t="shared" ref="G40:M40" si="17">(G37+G38)*G39</f>
        <v>16.943452255322295</v>
      </c>
      <c r="H40" s="62">
        <f t="shared" si="17"/>
        <v>17.246689185524804</v>
      </c>
      <c r="I40" s="62">
        <f t="shared" si="17"/>
        <v>0</v>
      </c>
      <c r="J40" s="62">
        <f t="shared" si="17"/>
        <v>0</v>
      </c>
      <c r="K40" s="62">
        <f t="shared" si="17"/>
        <v>0</v>
      </c>
      <c r="L40" s="62">
        <f t="shared" si="17"/>
        <v>0</v>
      </c>
      <c r="M40" s="62">
        <f t="shared" si="17"/>
        <v>0</v>
      </c>
      <c r="N40" s="343"/>
    </row>
    <row r="41" spans="1:16">
      <c r="C41" s="262"/>
      <c r="N41" s="343"/>
    </row>
    <row r="42" spans="1:16">
      <c r="B42" s="131" t="s">
        <v>146</v>
      </c>
      <c r="C42" s="262" t="s">
        <v>1</v>
      </c>
      <c r="F42" s="62">
        <f>F35+F40</f>
        <v>42.010032788215355</v>
      </c>
      <c r="G42" s="62">
        <f>G35+G40</f>
        <v>43.36850859600105</v>
      </c>
      <c r="H42" s="62">
        <f>H35+H40</f>
        <v>42.62707400205376</v>
      </c>
      <c r="I42" s="62">
        <f t="shared" ref="I42:M42" si="18">I35+I40</f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343"/>
    </row>
    <row r="43" spans="1:16" ht="13.5">
      <c r="A43" s="113"/>
      <c r="C43" s="262"/>
      <c r="N43" s="343"/>
    </row>
    <row r="44" spans="1:16" ht="13.5">
      <c r="A44" s="113"/>
      <c r="C44" s="262"/>
      <c r="N44" s="343"/>
    </row>
    <row r="45" spans="1:16" ht="13.9">
      <c r="A45" s="142" t="s">
        <v>279</v>
      </c>
      <c r="C45" s="262"/>
      <c r="N45" s="343"/>
    </row>
    <row r="46" spans="1:16" ht="13.5">
      <c r="A46" s="312"/>
      <c r="B46" s="313"/>
      <c r="C46" s="314"/>
      <c r="N46" s="343"/>
    </row>
    <row r="47" spans="1:16">
      <c r="A47" s="144" t="s">
        <v>482</v>
      </c>
      <c r="C47" s="262"/>
      <c r="N47" s="343"/>
    </row>
    <row r="48" spans="1:16" ht="14.25">
      <c r="A48" s="113"/>
      <c r="C48" s="262"/>
      <c r="E48" s="112">
        <v>2013</v>
      </c>
      <c r="F48" s="112">
        <v>2014</v>
      </c>
      <c r="G48" s="112">
        <v>2015</v>
      </c>
      <c r="H48" s="112">
        <v>2016</v>
      </c>
      <c r="I48" s="112">
        <v>2017</v>
      </c>
      <c r="J48" s="112">
        <v>2018</v>
      </c>
      <c r="K48" s="112">
        <v>2019</v>
      </c>
      <c r="L48" s="112">
        <v>2020</v>
      </c>
      <c r="M48" s="112">
        <v>2021</v>
      </c>
      <c r="N48" s="343"/>
    </row>
    <row r="49" spans="1:14">
      <c r="A49" s="131" t="s">
        <v>240</v>
      </c>
      <c r="B49" s="131" t="s">
        <v>141</v>
      </c>
      <c r="C49" s="262" t="s">
        <v>105</v>
      </c>
      <c r="F49" s="153">
        <f t="shared" ref="F49:M49" si="19">CCTIRG</f>
        <v>8.7999999999999995E-2</v>
      </c>
      <c r="G49" s="153">
        <f t="shared" si="19"/>
        <v>8.7999999999999995E-2</v>
      </c>
      <c r="H49" s="153">
        <f t="shared" si="19"/>
        <v>8.7999999999999995E-2</v>
      </c>
      <c r="I49" s="153">
        <f t="shared" si="19"/>
        <v>8.7999999999999995E-2</v>
      </c>
      <c r="J49" s="153">
        <f t="shared" si="19"/>
        <v>8.7999999999999995E-2</v>
      </c>
      <c r="K49" s="153">
        <f t="shared" si="19"/>
        <v>8.7999999999999995E-2</v>
      </c>
      <c r="L49" s="153">
        <f t="shared" si="19"/>
        <v>8.7999999999999995E-2</v>
      </c>
      <c r="M49" s="153">
        <f t="shared" si="19"/>
        <v>8.7999999999999995E-2</v>
      </c>
      <c r="N49" s="343" t="s">
        <v>141</v>
      </c>
    </row>
    <row r="50" spans="1:14">
      <c r="A50" s="121" t="s">
        <v>254</v>
      </c>
      <c r="B50" s="131" t="s">
        <v>143</v>
      </c>
      <c r="C50" s="262" t="s">
        <v>1</v>
      </c>
      <c r="F50" s="133">
        <f t="shared" ref="F50:M50" si="20">ETIRGC</f>
        <v>0</v>
      </c>
      <c r="G50" s="133">
        <f t="shared" si="20"/>
        <v>0</v>
      </c>
      <c r="H50" s="133">
        <f t="shared" si="20"/>
        <v>0</v>
      </c>
      <c r="I50" s="133">
        <f t="shared" si="20"/>
        <v>0</v>
      </c>
      <c r="J50" s="133">
        <f t="shared" si="20"/>
        <v>440.42599999999999</v>
      </c>
      <c r="K50" s="133">
        <f t="shared" si="20"/>
        <v>412.887</v>
      </c>
      <c r="L50" s="133">
        <f t="shared" si="20"/>
        <v>385.34899999999999</v>
      </c>
      <c r="M50" s="133">
        <f t="shared" si="20"/>
        <v>357.81099999999998</v>
      </c>
      <c r="N50" s="343" t="s">
        <v>143</v>
      </c>
    </row>
    <row r="51" spans="1:14">
      <c r="C51" s="262"/>
      <c r="N51" s="343"/>
    </row>
    <row r="52" spans="1:14">
      <c r="A52" s="131" t="s">
        <v>247</v>
      </c>
      <c r="B52" s="131" t="s">
        <v>153</v>
      </c>
      <c r="C52" s="262" t="s">
        <v>1</v>
      </c>
      <c r="F52" s="133">
        <f t="shared" ref="F52:M52" si="21">SAFTIRG1</f>
        <v>0</v>
      </c>
      <c r="G52" s="133">
        <f t="shared" si="21"/>
        <v>0</v>
      </c>
      <c r="H52" s="133">
        <f t="shared" si="21"/>
        <v>0</v>
      </c>
      <c r="I52" s="133">
        <f t="shared" si="21"/>
        <v>0</v>
      </c>
      <c r="J52" s="133">
        <f t="shared" si="21"/>
        <v>0</v>
      </c>
      <c r="K52" s="133">
        <f t="shared" si="21"/>
        <v>0</v>
      </c>
      <c r="L52" s="133">
        <f t="shared" si="21"/>
        <v>0</v>
      </c>
      <c r="M52" s="133">
        <f t="shared" si="21"/>
        <v>0</v>
      </c>
      <c r="N52" s="343" t="s">
        <v>275</v>
      </c>
    </row>
    <row r="53" spans="1:14">
      <c r="A53" s="121" t="s">
        <v>252</v>
      </c>
      <c r="B53" s="131" t="s">
        <v>139</v>
      </c>
      <c r="C53" s="262" t="s">
        <v>1</v>
      </c>
      <c r="F53" s="133">
        <f t="shared" ref="F53:M53" si="22">ETIRGORAV</f>
        <v>0</v>
      </c>
      <c r="G53" s="133">
        <f t="shared" si="22"/>
        <v>0</v>
      </c>
      <c r="H53" s="133">
        <f t="shared" si="22"/>
        <v>0</v>
      </c>
      <c r="I53" s="133">
        <f t="shared" si="22"/>
        <v>0</v>
      </c>
      <c r="J53" s="133">
        <f t="shared" si="22"/>
        <v>454.19499999999999</v>
      </c>
      <c r="K53" s="133">
        <f t="shared" si="22"/>
        <v>0</v>
      </c>
      <c r="L53" s="133">
        <f t="shared" si="22"/>
        <v>0</v>
      </c>
      <c r="M53" s="133">
        <f t="shared" si="22"/>
        <v>0</v>
      </c>
      <c r="N53" s="343" t="s">
        <v>139</v>
      </c>
    </row>
    <row r="54" spans="1:14">
      <c r="A54" s="131" t="s">
        <v>154</v>
      </c>
      <c r="B54" s="131" t="s">
        <v>155</v>
      </c>
      <c r="C54" s="262" t="s">
        <v>117</v>
      </c>
      <c r="F54" s="62">
        <f>IF(F52&gt;0,F52/F53,1)</f>
        <v>1</v>
      </c>
      <c r="G54" s="62">
        <f t="shared" ref="G54:M54" si="23">IF(G52&gt;0,G52/G53,1)</f>
        <v>1</v>
      </c>
      <c r="H54" s="62">
        <f t="shared" si="23"/>
        <v>1</v>
      </c>
      <c r="I54" s="62">
        <f t="shared" si="23"/>
        <v>1</v>
      </c>
      <c r="J54" s="62">
        <f t="shared" si="23"/>
        <v>1</v>
      </c>
      <c r="K54" s="62">
        <f t="shared" si="23"/>
        <v>1</v>
      </c>
      <c r="L54" s="62">
        <f t="shared" si="23"/>
        <v>1</v>
      </c>
      <c r="M54" s="62">
        <f t="shared" si="23"/>
        <v>1</v>
      </c>
      <c r="N54" s="343"/>
    </row>
    <row r="55" spans="1:14">
      <c r="C55" s="262"/>
      <c r="N55" s="343"/>
    </row>
    <row r="56" spans="1:14">
      <c r="A56" s="131" t="s">
        <v>156</v>
      </c>
      <c r="B56" s="131" t="s">
        <v>116</v>
      </c>
      <c r="C56" s="262" t="s">
        <v>117</v>
      </c>
      <c r="F56" s="164">
        <f t="shared" ref="F56:M56" si="24">RPIF</f>
        <v>1.1630161697108456</v>
      </c>
      <c r="G56" s="164">
        <f t="shared" si="24"/>
        <v>1.2050819527256253</v>
      </c>
      <c r="H56" s="164">
        <f t="shared" si="24"/>
        <v>1.2266493019576674</v>
      </c>
      <c r="I56" s="164">
        <f t="shared" si="24"/>
        <v>1.2327329838381795</v>
      </c>
      <c r="J56" s="164">
        <f t="shared" si="24"/>
        <v>1.2709189417960116</v>
      </c>
      <c r="K56" s="164">
        <f t="shared" si="24"/>
        <v>1.3140238772935624</v>
      </c>
      <c r="L56" s="164">
        <f t="shared" si="24"/>
        <v>1.3585865587485577</v>
      </c>
      <c r="M56" s="164">
        <f t="shared" si="24"/>
        <v>1.309769334513619</v>
      </c>
      <c r="N56" s="343" t="s">
        <v>116</v>
      </c>
    </row>
    <row r="57" spans="1:14">
      <c r="C57" s="262"/>
      <c r="N57" s="343"/>
    </row>
    <row r="58" spans="1:14">
      <c r="A58" s="131" t="s">
        <v>316</v>
      </c>
      <c r="C58" s="262" t="s">
        <v>1</v>
      </c>
      <c r="F58" s="62">
        <f>F49*(F54*F50)*F56</f>
        <v>0</v>
      </c>
      <c r="G58" s="62">
        <f t="shared" ref="G58:M58" si="25">G49*(G54*G50)*G56</f>
        <v>0</v>
      </c>
      <c r="H58" s="62">
        <f t="shared" si="25"/>
        <v>0</v>
      </c>
      <c r="I58" s="62">
        <f t="shared" si="25"/>
        <v>0</v>
      </c>
      <c r="J58" s="62">
        <f t="shared" si="25"/>
        <v>49.257625635631612</v>
      </c>
      <c r="K58" s="62">
        <f t="shared" si="25"/>
        <v>47.743817142921422</v>
      </c>
      <c r="L58" s="62">
        <f t="shared" si="25"/>
        <v>46.070637520793419</v>
      </c>
      <c r="M58" s="62">
        <f t="shared" si="25"/>
        <v>41.241189030945421</v>
      </c>
      <c r="N58" s="343"/>
    </row>
    <row r="59" spans="1:14">
      <c r="C59" s="262"/>
      <c r="N59" s="343"/>
    </row>
    <row r="60" spans="1:14">
      <c r="A60" s="144" t="s">
        <v>482</v>
      </c>
      <c r="C60" s="262"/>
      <c r="N60" s="343"/>
    </row>
    <row r="61" spans="1:14" ht="15.75" customHeight="1">
      <c r="C61" s="262"/>
      <c r="J61" s="118"/>
      <c r="N61" s="343"/>
    </row>
    <row r="62" spans="1:14">
      <c r="C62" s="262"/>
      <c r="N62" s="343"/>
    </row>
    <row r="63" spans="1:14" ht="14.25">
      <c r="C63" s="262"/>
      <c r="E63" s="112">
        <v>2013</v>
      </c>
      <c r="F63" s="112">
        <v>2014</v>
      </c>
      <c r="G63" s="112">
        <v>2015</v>
      </c>
      <c r="H63" s="112">
        <v>2016</v>
      </c>
      <c r="I63" s="112">
        <v>2017</v>
      </c>
      <c r="J63" s="112">
        <v>2018</v>
      </c>
      <c r="K63" s="112">
        <v>2019</v>
      </c>
      <c r="L63" s="112">
        <v>2020</v>
      </c>
      <c r="M63" s="112">
        <v>2021</v>
      </c>
      <c r="N63" s="343"/>
    </row>
    <row r="64" spans="1:14">
      <c r="A64" s="121" t="s">
        <v>253</v>
      </c>
      <c r="B64" s="131" t="s">
        <v>140</v>
      </c>
      <c r="C64" s="262"/>
      <c r="F64" s="133">
        <f t="shared" ref="F64:M64" si="26">Dep</f>
        <v>0</v>
      </c>
      <c r="G64" s="133">
        <f t="shared" si="26"/>
        <v>0</v>
      </c>
      <c r="H64" s="133">
        <f t="shared" si="26"/>
        <v>0</v>
      </c>
      <c r="I64" s="133">
        <f t="shared" si="26"/>
        <v>0</v>
      </c>
      <c r="J64" s="133">
        <f t="shared" si="26"/>
        <v>27.538</v>
      </c>
      <c r="K64" s="133">
        <f t="shared" si="26"/>
        <v>27.538</v>
      </c>
      <c r="L64" s="133">
        <f t="shared" si="26"/>
        <v>27.538</v>
      </c>
      <c r="M64" s="133">
        <f t="shared" si="26"/>
        <v>27.538</v>
      </c>
      <c r="N64" s="343" t="s">
        <v>140</v>
      </c>
    </row>
    <row r="65" spans="1:16">
      <c r="A65" s="131" t="s">
        <v>154</v>
      </c>
      <c r="B65" s="131" t="s">
        <v>155</v>
      </c>
      <c r="C65" s="262" t="s">
        <v>117</v>
      </c>
      <c r="F65" s="133">
        <f t="shared" ref="F65:M65" si="27">F54</f>
        <v>1</v>
      </c>
      <c r="G65" s="133">
        <f t="shared" si="27"/>
        <v>1</v>
      </c>
      <c r="H65" s="133">
        <f t="shared" si="27"/>
        <v>1</v>
      </c>
      <c r="I65" s="133">
        <f t="shared" si="27"/>
        <v>1</v>
      </c>
      <c r="J65" s="133">
        <f t="shared" si="27"/>
        <v>1</v>
      </c>
      <c r="K65" s="133">
        <f t="shared" si="27"/>
        <v>1</v>
      </c>
      <c r="L65" s="133">
        <f t="shared" si="27"/>
        <v>1</v>
      </c>
      <c r="M65" s="133">
        <f t="shared" si="27"/>
        <v>1</v>
      </c>
      <c r="N65" s="343"/>
    </row>
    <row r="66" spans="1:16">
      <c r="A66" s="131" t="s">
        <v>156</v>
      </c>
      <c r="B66" s="131" t="s">
        <v>116</v>
      </c>
      <c r="C66" s="262" t="s">
        <v>117</v>
      </c>
      <c r="F66" s="164">
        <f t="shared" ref="F66:M66" si="28">RPIF</f>
        <v>1.1630161697108456</v>
      </c>
      <c r="G66" s="164">
        <f t="shared" si="28"/>
        <v>1.2050819527256253</v>
      </c>
      <c r="H66" s="164">
        <f t="shared" si="28"/>
        <v>1.2266493019576674</v>
      </c>
      <c r="I66" s="164">
        <f t="shared" si="28"/>
        <v>1.2327329838381795</v>
      </c>
      <c r="J66" s="164">
        <f t="shared" si="28"/>
        <v>1.2709189417960116</v>
      </c>
      <c r="K66" s="164">
        <f t="shared" si="28"/>
        <v>1.3140238772935624</v>
      </c>
      <c r="L66" s="164">
        <f t="shared" si="28"/>
        <v>1.3585865587485577</v>
      </c>
      <c r="M66" s="164">
        <f t="shared" si="28"/>
        <v>1.309769334513619</v>
      </c>
      <c r="N66" s="343" t="s">
        <v>116</v>
      </c>
    </row>
    <row r="67" spans="1:16">
      <c r="A67" s="131" t="s">
        <v>189</v>
      </c>
      <c r="C67" s="262"/>
      <c r="F67" s="62">
        <f t="shared" ref="F67:M67" si="29">F64*F65*F66</f>
        <v>0</v>
      </c>
      <c r="G67" s="62">
        <f t="shared" si="29"/>
        <v>0</v>
      </c>
      <c r="H67" s="62">
        <f t="shared" si="29"/>
        <v>0</v>
      </c>
      <c r="I67" s="62">
        <f t="shared" si="29"/>
        <v>0</v>
      </c>
      <c r="J67" s="62">
        <f t="shared" si="29"/>
        <v>34.998565819178566</v>
      </c>
      <c r="K67" s="62">
        <f t="shared" si="29"/>
        <v>36.185589532910122</v>
      </c>
      <c r="L67" s="62">
        <f t="shared" si="29"/>
        <v>37.412756654817784</v>
      </c>
      <c r="M67" s="62">
        <f t="shared" si="29"/>
        <v>36.068427933836041</v>
      </c>
      <c r="N67" s="343"/>
    </row>
    <row r="68" spans="1:16">
      <c r="C68" s="262"/>
      <c r="N68" s="343"/>
    </row>
    <row r="69" spans="1:16">
      <c r="B69" s="131" t="s">
        <v>147</v>
      </c>
      <c r="C69" s="262" t="s">
        <v>1</v>
      </c>
      <c r="F69" s="62">
        <f t="shared" ref="F69:M69" si="30">F58+F67</f>
        <v>0</v>
      </c>
      <c r="G69" s="62">
        <f t="shared" si="30"/>
        <v>0</v>
      </c>
      <c r="H69" s="62">
        <f t="shared" si="30"/>
        <v>0</v>
      </c>
      <c r="I69" s="62">
        <f t="shared" si="30"/>
        <v>0</v>
      </c>
      <c r="J69" s="62">
        <f t="shared" si="30"/>
        <v>84.256191454810178</v>
      </c>
      <c r="K69" s="62">
        <f t="shared" si="30"/>
        <v>83.929406675831544</v>
      </c>
      <c r="L69" s="62">
        <f t="shared" si="30"/>
        <v>83.48339417561121</v>
      </c>
      <c r="M69" s="62">
        <f t="shared" si="30"/>
        <v>77.309616964781469</v>
      </c>
      <c r="N69" s="343"/>
    </row>
    <row r="70" spans="1:16">
      <c r="C70" s="262"/>
      <c r="N70" s="343"/>
    </row>
    <row r="71" spans="1:16">
      <c r="C71" s="262"/>
      <c r="N71" s="343"/>
    </row>
    <row r="72" spans="1:16">
      <c r="A72" s="131" t="s">
        <v>257</v>
      </c>
      <c r="B72" s="131" t="s">
        <v>145</v>
      </c>
      <c r="C72" s="262" t="s">
        <v>1</v>
      </c>
      <c r="F72" s="133">
        <f t="shared" ref="F72:M72" si="31">TIRGIncAdj1</f>
        <v>0</v>
      </c>
      <c r="G72" s="133">
        <f t="shared" si="31"/>
        <v>0</v>
      </c>
      <c r="H72" s="133">
        <f t="shared" si="31"/>
        <v>0</v>
      </c>
      <c r="I72" s="133">
        <f t="shared" si="31"/>
        <v>0</v>
      </c>
      <c r="J72" s="133">
        <f t="shared" si="31"/>
        <v>0</v>
      </c>
      <c r="K72" s="133">
        <f t="shared" si="31"/>
        <v>0</v>
      </c>
      <c r="L72" s="133">
        <f t="shared" si="31"/>
        <v>0</v>
      </c>
      <c r="M72" s="133">
        <f t="shared" si="31"/>
        <v>0</v>
      </c>
      <c r="N72" s="343" t="s">
        <v>359</v>
      </c>
      <c r="P72" s="118"/>
    </row>
    <row r="73" spans="1:16">
      <c r="A73" s="131" t="s">
        <v>246</v>
      </c>
      <c r="B73" s="131" t="s">
        <v>148</v>
      </c>
      <c r="C73" s="262" t="s">
        <v>1</v>
      </c>
      <c r="F73" s="133">
        <f t="shared" ref="F73:M73" si="32">ATIRG1</f>
        <v>0</v>
      </c>
      <c r="G73" s="133">
        <f t="shared" si="32"/>
        <v>0</v>
      </c>
      <c r="H73" s="133">
        <f t="shared" si="32"/>
        <v>0</v>
      </c>
      <c r="I73" s="133">
        <f t="shared" si="32"/>
        <v>0</v>
      </c>
      <c r="J73" s="133">
        <f t="shared" si="32"/>
        <v>0</v>
      </c>
      <c r="K73" s="133">
        <f t="shared" si="32"/>
        <v>0</v>
      </c>
      <c r="L73" s="133">
        <f t="shared" si="32"/>
        <v>0</v>
      </c>
      <c r="M73" s="133">
        <f t="shared" si="32"/>
        <v>0</v>
      </c>
      <c r="N73" s="343" t="s">
        <v>360</v>
      </c>
    </row>
    <row r="74" spans="1:16">
      <c r="C74" s="262"/>
      <c r="N74" s="343"/>
    </row>
    <row r="75" spans="1:16">
      <c r="C75" s="262"/>
      <c r="N75" s="343"/>
    </row>
    <row r="76" spans="1:16" ht="13.9">
      <c r="A76" s="142" t="s">
        <v>281</v>
      </c>
      <c r="B76" s="309" t="s">
        <v>366</v>
      </c>
      <c r="C76" s="262"/>
      <c r="N76" s="343"/>
    </row>
    <row r="77" spans="1:16">
      <c r="A77" s="144" t="s">
        <v>480</v>
      </c>
      <c r="C77" s="262"/>
      <c r="N77" s="343"/>
    </row>
    <row r="78" spans="1:16" ht="21.75" customHeight="1">
      <c r="A78" s="142" t="s">
        <v>282</v>
      </c>
      <c r="C78" s="262"/>
      <c r="K78" s="118"/>
      <c r="N78" s="343"/>
    </row>
    <row r="79" spans="1:16" ht="15.4">
      <c r="A79" s="308" t="s">
        <v>366</v>
      </c>
      <c r="C79" s="262"/>
      <c r="E79" s="112">
        <v>2013</v>
      </c>
      <c r="F79" s="112">
        <v>2014</v>
      </c>
      <c r="G79" s="112">
        <v>2015</v>
      </c>
      <c r="H79" s="112">
        <v>2016</v>
      </c>
      <c r="I79" s="112">
        <v>2017</v>
      </c>
      <c r="J79" s="112">
        <v>2018</v>
      </c>
      <c r="K79" s="112">
        <v>2019</v>
      </c>
      <c r="L79" s="112">
        <v>2020</v>
      </c>
      <c r="M79" s="112">
        <v>2021</v>
      </c>
      <c r="N79" s="343"/>
    </row>
    <row r="80" spans="1:16">
      <c r="A80" s="121" t="s">
        <v>382</v>
      </c>
      <c r="B80" s="131" t="s">
        <v>149</v>
      </c>
      <c r="C80" s="262"/>
      <c r="F80" s="133">
        <f t="shared" ref="F80:M80" si="33">CFTIRG2</f>
        <v>0</v>
      </c>
      <c r="G80" s="133">
        <f t="shared" si="33"/>
        <v>0</v>
      </c>
      <c r="H80" s="133">
        <f t="shared" si="33"/>
        <v>0</v>
      </c>
      <c r="I80" s="133">
        <f t="shared" si="33"/>
        <v>0</v>
      </c>
      <c r="J80" s="133">
        <f t="shared" si="33"/>
        <v>0</v>
      </c>
      <c r="K80" s="133">
        <f t="shared" si="33"/>
        <v>0</v>
      </c>
      <c r="L80" s="133">
        <f t="shared" si="33"/>
        <v>0</v>
      </c>
      <c r="M80" s="133">
        <f t="shared" si="33"/>
        <v>0</v>
      </c>
      <c r="N80" s="343" t="s">
        <v>383</v>
      </c>
    </row>
    <row r="81" spans="1:15">
      <c r="A81" s="131" t="s">
        <v>156</v>
      </c>
      <c r="B81" s="131" t="s">
        <v>116</v>
      </c>
      <c r="C81" s="262" t="s">
        <v>117</v>
      </c>
      <c r="F81" s="317">
        <f t="shared" ref="F81:M81" si="34">RPIF</f>
        <v>1.1630161697108456</v>
      </c>
      <c r="G81" s="317">
        <f t="shared" si="34"/>
        <v>1.2050819527256253</v>
      </c>
      <c r="H81" s="317">
        <f t="shared" si="34"/>
        <v>1.2266493019576674</v>
      </c>
      <c r="I81" s="317">
        <f t="shared" si="34"/>
        <v>1.2327329838381795</v>
      </c>
      <c r="J81" s="317">
        <f t="shared" si="34"/>
        <v>1.2709189417960116</v>
      </c>
      <c r="K81" s="317">
        <f t="shared" si="34"/>
        <v>1.3140238772935624</v>
      </c>
      <c r="L81" s="317">
        <f t="shared" si="34"/>
        <v>1.3585865587485577</v>
      </c>
      <c r="M81" s="317">
        <f t="shared" si="34"/>
        <v>1.309769334513619</v>
      </c>
      <c r="N81" s="343" t="s">
        <v>116</v>
      </c>
    </row>
    <row r="82" spans="1:15">
      <c r="C82" s="262"/>
      <c r="N82" s="343"/>
    </row>
    <row r="83" spans="1:15" ht="13.5">
      <c r="A83" s="113" t="s">
        <v>164</v>
      </c>
      <c r="B83" s="131" t="s">
        <v>144</v>
      </c>
      <c r="C83" s="262" t="s">
        <v>1</v>
      </c>
      <c r="E83" s="207">
        <f t="shared" ref="E83:M83" si="35">E80*E81</f>
        <v>0</v>
      </c>
      <c r="F83" s="62">
        <f t="shared" si="35"/>
        <v>0</v>
      </c>
      <c r="G83" s="62">
        <f t="shared" si="35"/>
        <v>0</v>
      </c>
      <c r="H83" s="62">
        <f t="shared" si="35"/>
        <v>0</v>
      </c>
      <c r="I83" s="62">
        <f t="shared" si="35"/>
        <v>0</v>
      </c>
      <c r="J83" s="62">
        <f t="shared" si="35"/>
        <v>0</v>
      </c>
      <c r="K83" s="62">
        <f t="shared" si="35"/>
        <v>0</v>
      </c>
      <c r="L83" s="62">
        <f t="shared" si="35"/>
        <v>0</v>
      </c>
      <c r="M83" s="62">
        <f t="shared" si="35"/>
        <v>0</v>
      </c>
      <c r="N83" s="343"/>
    </row>
    <row r="84" spans="1:15" ht="13.5">
      <c r="A84" s="113"/>
      <c r="C84" s="262"/>
      <c r="N84" s="343"/>
    </row>
    <row r="85" spans="1:15" ht="13.5">
      <c r="A85" s="113"/>
      <c r="C85" s="262"/>
      <c r="N85" s="343"/>
    </row>
    <row r="86" spans="1:15" ht="13.9">
      <c r="A86" s="142" t="s">
        <v>283</v>
      </c>
      <c r="C86" s="262"/>
      <c r="N86" s="343"/>
    </row>
    <row r="87" spans="1:15">
      <c r="A87" s="144" t="s">
        <v>481</v>
      </c>
      <c r="C87" s="262"/>
      <c r="N87" s="343"/>
    </row>
    <row r="88" spans="1:15" ht="14.25">
      <c r="A88" s="113"/>
      <c r="C88" s="262"/>
      <c r="E88" s="112">
        <v>2013</v>
      </c>
      <c r="F88" s="112">
        <v>2014</v>
      </c>
      <c r="G88" s="112">
        <v>2015</v>
      </c>
      <c r="H88" s="112">
        <v>2016</v>
      </c>
      <c r="I88" s="112">
        <v>2017</v>
      </c>
      <c r="J88" s="112">
        <v>2018</v>
      </c>
      <c r="K88" s="112">
        <v>2019</v>
      </c>
      <c r="L88" s="112">
        <v>2020</v>
      </c>
      <c r="M88" s="112">
        <v>2021</v>
      </c>
      <c r="N88" s="343"/>
    </row>
    <row r="89" spans="1:15">
      <c r="A89" s="131" t="s">
        <v>240</v>
      </c>
      <c r="B89" s="131" t="s">
        <v>141</v>
      </c>
      <c r="C89" s="262" t="s">
        <v>105</v>
      </c>
      <c r="F89" s="153">
        <f t="shared" ref="F89:M89" si="36">CCTIRG</f>
        <v>8.7999999999999995E-2</v>
      </c>
      <c r="G89" s="153">
        <f t="shared" si="36"/>
        <v>8.7999999999999995E-2</v>
      </c>
      <c r="H89" s="153">
        <f t="shared" si="36"/>
        <v>8.7999999999999995E-2</v>
      </c>
      <c r="I89" s="153">
        <f t="shared" si="36"/>
        <v>8.7999999999999995E-2</v>
      </c>
      <c r="J89" s="153">
        <f t="shared" si="36"/>
        <v>8.7999999999999995E-2</v>
      </c>
      <c r="K89" s="153">
        <f t="shared" si="36"/>
        <v>8.7999999999999995E-2</v>
      </c>
      <c r="L89" s="153">
        <f t="shared" si="36"/>
        <v>8.7999999999999995E-2</v>
      </c>
      <c r="M89" s="153">
        <f t="shared" si="36"/>
        <v>8.7999999999999995E-2</v>
      </c>
      <c r="N89" s="343" t="s">
        <v>141</v>
      </c>
    </row>
    <row r="90" spans="1:15">
      <c r="A90" s="121" t="s">
        <v>250</v>
      </c>
      <c r="B90" s="131" t="s">
        <v>137</v>
      </c>
      <c r="C90" s="262" t="s">
        <v>1</v>
      </c>
      <c r="F90" s="133">
        <f t="shared" ref="F90:M90" si="37">FTIRGC2</f>
        <v>0</v>
      </c>
      <c r="G90" s="133">
        <f t="shared" si="37"/>
        <v>0</v>
      </c>
      <c r="H90" s="133">
        <f t="shared" si="37"/>
        <v>0</v>
      </c>
      <c r="I90" s="133">
        <f t="shared" si="37"/>
        <v>0</v>
      </c>
      <c r="J90" s="133">
        <f t="shared" si="37"/>
        <v>0</v>
      </c>
      <c r="K90" s="133">
        <f t="shared" si="37"/>
        <v>0</v>
      </c>
      <c r="L90" s="133">
        <f t="shared" si="37"/>
        <v>0</v>
      </c>
      <c r="M90" s="133">
        <f t="shared" si="37"/>
        <v>0</v>
      </c>
      <c r="N90" s="343" t="s">
        <v>368</v>
      </c>
      <c r="O90" s="118"/>
    </row>
    <row r="91" spans="1:15">
      <c r="A91" s="131" t="s">
        <v>241</v>
      </c>
      <c r="B91" s="131" t="s">
        <v>150</v>
      </c>
      <c r="C91" s="262" t="s">
        <v>1</v>
      </c>
      <c r="F91" s="133">
        <f t="shared" ref="F91:M91" si="38">AFFTIRG2</f>
        <v>0</v>
      </c>
      <c r="G91" s="133">
        <f t="shared" si="38"/>
        <v>0</v>
      </c>
      <c r="H91" s="133">
        <f t="shared" si="38"/>
        <v>0</v>
      </c>
      <c r="I91" s="133">
        <f t="shared" si="38"/>
        <v>0</v>
      </c>
      <c r="J91" s="133">
        <f t="shared" si="38"/>
        <v>0</v>
      </c>
      <c r="K91" s="133">
        <f t="shared" si="38"/>
        <v>0</v>
      </c>
      <c r="L91" s="133">
        <f t="shared" si="38"/>
        <v>0</v>
      </c>
      <c r="M91" s="133">
        <f t="shared" si="38"/>
        <v>0</v>
      </c>
      <c r="N91" s="343" t="s">
        <v>361</v>
      </c>
    </row>
    <row r="92" spans="1:15">
      <c r="A92" s="131" t="s">
        <v>156</v>
      </c>
      <c r="B92" s="131" t="s">
        <v>116</v>
      </c>
      <c r="C92" s="262" t="s">
        <v>117</v>
      </c>
      <c r="F92" s="317">
        <f t="shared" ref="F92:M92" si="39">RPIF</f>
        <v>1.1630161697108456</v>
      </c>
      <c r="G92" s="317">
        <f t="shared" si="39"/>
        <v>1.2050819527256253</v>
      </c>
      <c r="H92" s="317">
        <f t="shared" si="39"/>
        <v>1.2266493019576674</v>
      </c>
      <c r="I92" s="317">
        <f t="shared" si="39"/>
        <v>1.2327329838381795</v>
      </c>
      <c r="J92" s="317">
        <f t="shared" si="39"/>
        <v>1.2709189417960116</v>
      </c>
      <c r="K92" s="317">
        <f t="shared" si="39"/>
        <v>1.3140238772935624</v>
      </c>
      <c r="L92" s="317">
        <f t="shared" si="39"/>
        <v>1.3585865587485577</v>
      </c>
      <c r="M92" s="317">
        <f t="shared" si="39"/>
        <v>1.309769334513619</v>
      </c>
      <c r="N92" s="343" t="s">
        <v>116</v>
      </c>
    </row>
    <row r="93" spans="1:15">
      <c r="B93" s="131" t="s">
        <v>162</v>
      </c>
      <c r="C93" s="262"/>
      <c r="F93" s="62">
        <f t="shared" ref="F93:M93" si="40">(F90+F91)*F89*F92</f>
        <v>0</v>
      </c>
      <c r="G93" s="62">
        <f t="shared" si="40"/>
        <v>0</v>
      </c>
      <c r="H93" s="62">
        <f t="shared" si="40"/>
        <v>0</v>
      </c>
      <c r="I93" s="62">
        <f t="shared" si="40"/>
        <v>0</v>
      </c>
      <c r="J93" s="62">
        <f t="shared" si="40"/>
        <v>0</v>
      </c>
      <c r="K93" s="62">
        <f t="shared" si="40"/>
        <v>0</v>
      </c>
      <c r="L93" s="62">
        <f t="shared" si="40"/>
        <v>0</v>
      </c>
      <c r="M93" s="62">
        <f t="shared" si="40"/>
        <v>0</v>
      </c>
      <c r="N93" s="343"/>
    </row>
    <row r="94" spans="1:15" ht="13.5">
      <c r="B94" s="113"/>
      <c r="C94" s="262"/>
      <c r="N94" s="343"/>
    </row>
    <row r="95" spans="1:15">
      <c r="A95" s="121" t="s">
        <v>251</v>
      </c>
      <c r="B95" s="131" t="s">
        <v>151</v>
      </c>
      <c r="C95" s="262" t="s">
        <v>1</v>
      </c>
      <c r="F95" s="133">
        <f t="shared" ref="F95:M95" si="41">FTIRGCDEPN2</f>
        <v>0</v>
      </c>
      <c r="G95" s="133">
        <f t="shared" si="41"/>
        <v>0</v>
      </c>
      <c r="H95" s="133">
        <f t="shared" si="41"/>
        <v>0</v>
      </c>
      <c r="I95" s="133">
        <f t="shared" si="41"/>
        <v>0</v>
      </c>
      <c r="J95" s="133">
        <f t="shared" si="41"/>
        <v>0</v>
      </c>
      <c r="K95" s="133">
        <f t="shared" si="41"/>
        <v>0</v>
      </c>
      <c r="L95" s="133">
        <f t="shared" si="41"/>
        <v>0</v>
      </c>
      <c r="M95" s="133">
        <f t="shared" si="41"/>
        <v>0</v>
      </c>
      <c r="N95" s="343" t="s">
        <v>369</v>
      </c>
    </row>
    <row r="96" spans="1:15">
      <c r="A96" s="131" t="s">
        <v>244</v>
      </c>
      <c r="B96" s="131" t="s">
        <v>152</v>
      </c>
      <c r="C96" s="262" t="s">
        <v>1</v>
      </c>
      <c r="F96" s="133">
        <f t="shared" ref="F96:M96" si="42">AFFTIRGDepn2</f>
        <v>0</v>
      </c>
      <c r="G96" s="133">
        <f t="shared" si="42"/>
        <v>0</v>
      </c>
      <c r="H96" s="133">
        <f t="shared" si="42"/>
        <v>0</v>
      </c>
      <c r="I96" s="133">
        <f t="shared" si="42"/>
        <v>0</v>
      </c>
      <c r="J96" s="133">
        <f t="shared" si="42"/>
        <v>0</v>
      </c>
      <c r="K96" s="133">
        <f t="shared" si="42"/>
        <v>0</v>
      </c>
      <c r="L96" s="133">
        <f t="shared" si="42"/>
        <v>0</v>
      </c>
      <c r="M96" s="133">
        <f t="shared" si="42"/>
        <v>0</v>
      </c>
      <c r="N96" s="343" t="s">
        <v>362</v>
      </c>
      <c r="O96" s="118"/>
    </row>
    <row r="97" spans="1:15">
      <c r="A97" s="131" t="s">
        <v>156</v>
      </c>
      <c r="B97" s="131" t="s">
        <v>116</v>
      </c>
      <c r="C97" s="262" t="s">
        <v>117</v>
      </c>
      <c r="F97" s="164">
        <f t="shared" ref="F97:M97" si="43">RPIF</f>
        <v>1.1630161697108456</v>
      </c>
      <c r="G97" s="164">
        <f t="shared" si="43"/>
        <v>1.2050819527256253</v>
      </c>
      <c r="H97" s="164">
        <f t="shared" si="43"/>
        <v>1.2266493019576674</v>
      </c>
      <c r="I97" s="164">
        <f t="shared" si="43"/>
        <v>1.2327329838381795</v>
      </c>
      <c r="J97" s="164">
        <f t="shared" si="43"/>
        <v>1.2709189417960116</v>
      </c>
      <c r="K97" s="164">
        <f t="shared" si="43"/>
        <v>1.3140238772935624</v>
      </c>
      <c r="L97" s="164">
        <f t="shared" si="43"/>
        <v>1.3585865587485577</v>
      </c>
      <c r="M97" s="164">
        <f t="shared" si="43"/>
        <v>1.309769334513619</v>
      </c>
      <c r="N97" s="343" t="s">
        <v>116</v>
      </c>
    </row>
    <row r="98" spans="1:15">
      <c r="B98" s="131" t="s">
        <v>163</v>
      </c>
      <c r="C98" s="262"/>
      <c r="F98" s="62">
        <f t="shared" ref="F98:M98" si="44">(F95+F96)*F97</f>
        <v>0</v>
      </c>
      <c r="G98" s="62">
        <f t="shared" si="44"/>
        <v>0</v>
      </c>
      <c r="H98" s="62">
        <f t="shared" si="44"/>
        <v>0</v>
      </c>
      <c r="I98" s="62">
        <f t="shared" si="44"/>
        <v>0</v>
      </c>
      <c r="J98" s="62">
        <f t="shared" si="44"/>
        <v>0</v>
      </c>
      <c r="K98" s="62">
        <f t="shared" si="44"/>
        <v>0</v>
      </c>
      <c r="L98" s="62">
        <f t="shared" si="44"/>
        <v>0</v>
      </c>
      <c r="M98" s="62">
        <f t="shared" si="44"/>
        <v>0</v>
      </c>
      <c r="N98" s="343"/>
    </row>
    <row r="99" spans="1:15">
      <c r="C99" s="262"/>
      <c r="N99" s="343"/>
    </row>
    <row r="100" spans="1:15">
      <c r="B100" s="131" t="s">
        <v>146</v>
      </c>
      <c r="C100" s="262" t="s">
        <v>1</v>
      </c>
      <c r="F100" s="62">
        <f t="shared" ref="F100:M100" si="45">F93+F98</f>
        <v>0</v>
      </c>
      <c r="G100" s="62">
        <f t="shared" si="45"/>
        <v>0</v>
      </c>
      <c r="H100" s="62">
        <f t="shared" si="45"/>
        <v>0</v>
      </c>
      <c r="I100" s="62">
        <f t="shared" si="45"/>
        <v>0</v>
      </c>
      <c r="J100" s="62">
        <f t="shared" si="45"/>
        <v>0</v>
      </c>
      <c r="K100" s="62">
        <f t="shared" si="45"/>
        <v>0</v>
      </c>
      <c r="L100" s="62">
        <f t="shared" si="45"/>
        <v>0</v>
      </c>
      <c r="M100" s="62">
        <f t="shared" si="45"/>
        <v>0</v>
      </c>
      <c r="N100" s="343"/>
    </row>
    <row r="101" spans="1:15" ht="13.5">
      <c r="A101" s="113"/>
      <c r="C101" s="262"/>
      <c r="N101" s="343"/>
    </row>
    <row r="102" spans="1:15" ht="13.5">
      <c r="A102" s="113"/>
      <c r="C102" s="262"/>
      <c r="N102" s="343"/>
    </row>
    <row r="103" spans="1:15" ht="13.9">
      <c r="A103" s="142" t="s">
        <v>284</v>
      </c>
      <c r="B103" s="309" t="s">
        <v>366</v>
      </c>
      <c r="C103" s="262"/>
      <c r="N103" s="343"/>
    </row>
    <row r="104" spans="1:15">
      <c r="A104" s="144" t="s">
        <v>482</v>
      </c>
      <c r="C104" s="262"/>
      <c r="N104" s="343"/>
    </row>
    <row r="105" spans="1:15" ht="13.5">
      <c r="A105" s="113"/>
      <c r="C105" s="262"/>
      <c r="N105" s="343"/>
    </row>
    <row r="106" spans="1:15" ht="14.25">
      <c r="A106" s="113"/>
      <c r="C106" s="262"/>
      <c r="E106" s="112">
        <v>2013</v>
      </c>
      <c r="F106" s="112">
        <v>2014</v>
      </c>
      <c r="G106" s="112">
        <v>2015</v>
      </c>
      <c r="H106" s="112">
        <v>2016</v>
      </c>
      <c r="I106" s="112">
        <v>2017</v>
      </c>
      <c r="J106" s="112">
        <v>2018</v>
      </c>
      <c r="K106" s="112">
        <v>2019</v>
      </c>
      <c r="L106" s="112">
        <v>2020</v>
      </c>
      <c r="M106" s="112">
        <v>2021</v>
      </c>
      <c r="N106" s="343"/>
    </row>
    <row r="107" spans="1:15">
      <c r="A107" s="131" t="s">
        <v>240</v>
      </c>
      <c r="B107" s="131" t="s">
        <v>141</v>
      </c>
      <c r="C107" s="262" t="s">
        <v>105</v>
      </c>
      <c r="F107" s="153">
        <f>'R4 Licence Condition Values'!F89</f>
        <v>8.7999999999999995E-2</v>
      </c>
      <c r="G107" s="153">
        <f>'R4 Licence Condition Values'!G89</f>
        <v>8.7999999999999995E-2</v>
      </c>
      <c r="H107" s="153">
        <f>'R4 Licence Condition Values'!H89</f>
        <v>8.7999999999999995E-2</v>
      </c>
      <c r="I107" s="153">
        <f>'R4 Licence Condition Values'!I89</f>
        <v>8.7999999999999995E-2</v>
      </c>
      <c r="J107" s="153">
        <f>'R4 Licence Condition Values'!J89</f>
        <v>8.7999999999999995E-2</v>
      </c>
      <c r="K107" s="153">
        <f>'R4 Licence Condition Values'!K89</f>
        <v>8.7999999999999995E-2</v>
      </c>
      <c r="L107" s="153">
        <f>'R4 Licence Condition Values'!L89</f>
        <v>8.7999999999999995E-2</v>
      </c>
      <c r="M107" s="153">
        <f>'R4 Licence Condition Values'!M89</f>
        <v>8.7999999999999995E-2</v>
      </c>
      <c r="N107" s="343"/>
    </row>
    <row r="108" spans="1:15">
      <c r="A108" s="121" t="s">
        <v>254</v>
      </c>
      <c r="B108" s="131" t="s">
        <v>143</v>
      </c>
      <c r="C108" s="262" t="s">
        <v>1</v>
      </c>
      <c r="F108" s="133">
        <f t="shared" ref="F108:M108" si="46">ETIRG2</f>
        <v>6.48</v>
      </c>
      <c r="G108" s="133">
        <f t="shared" si="46"/>
        <v>13</v>
      </c>
      <c r="H108" s="133">
        <f t="shared" si="46"/>
        <v>12.257999999999999</v>
      </c>
      <c r="I108" s="133">
        <f t="shared" si="46"/>
        <v>0</v>
      </c>
      <c r="J108" s="133">
        <f t="shared" si="46"/>
        <v>0</v>
      </c>
      <c r="K108" s="133">
        <f t="shared" si="46"/>
        <v>0</v>
      </c>
      <c r="L108" s="133">
        <f t="shared" si="46"/>
        <v>0</v>
      </c>
      <c r="M108" s="133">
        <f t="shared" si="46"/>
        <v>0</v>
      </c>
      <c r="N108" s="343" t="s">
        <v>585</v>
      </c>
    </row>
    <row r="109" spans="1:15">
      <c r="C109" s="262"/>
      <c r="N109" s="343"/>
      <c r="O109" s="118"/>
    </row>
    <row r="110" spans="1:15">
      <c r="A110" s="131" t="s">
        <v>247</v>
      </c>
      <c r="B110" s="131" t="s">
        <v>153</v>
      </c>
      <c r="C110" s="262" t="s">
        <v>1</v>
      </c>
      <c r="F110" s="133">
        <f t="shared" ref="F110:M110" si="47">SAFTIRG2</f>
        <v>0</v>
      </c>
      <c r="G110" s="133">
        <f t="shared" si="47"/>
        <v>0</v>
      </c>
      <c r="H110" s="133">
        <f t="shared" si="47"/>
        <v>0</v>
      </c>
      <c r="I110" s="133">
        <f t="shared" si="47"/>
        <v>0</v>
      </c>
      <c r="J110" s="133">
        <f t="shared" si="47"/>
        <v>0</v>
      </c>
      <c r="K110" s="133">
        <f t="shared" si="47"/>
        <v>0</v>
      </c>
      <c r="L110" s="133">
        <f t="shared" si="47"/>
        <v>0</v>
      </c>
      <c r="M110" s="133">
        <f t="shared" si="47"/>
        <v>0</v>
      </c>
      <c r="N110" s="343" t="s">
        <v>276</v>
      </c>
    </row>
    <row r="111" spans="1:15">
      <c r="A111" s="121" t="s">
        <v>252</v>
      </c>
      <c r="B111" s="131" t="s">
        <v>139</v>
      </c>
      <c r="C111" s="262" t="s">
        <v>1</v>
      </c>
      <c r="F111" s="133">
        <f t="shared" ref="F111:M111" si="48">ETIRGORAV2</f>
        <v>0</v>
      </c>
      <c r="G111" s="133">
        <f t="shared" si="48"/>
        <v>0</v>
      </c>
      <c r="H111" s="133">
        <f t="shared" si="48"/>
        <v>0</v>
      </c>
      <c r="I111" s="133">
        <f t="shared" si="48"/>
        <v>0</v>
      </c>
      <c r="J111" s="133">
        <f t="shared" si="48"/>
        <v>0</v>
      </c>
      <c r="K111" s="133">
        <f t="shared" si="48"/>
        <v>0</v>
      </c>
      <c r="L111" s="133">
        <f t="shared" si="48"/>
        <v>0</v>
      </c>
      <c r="M111" s="133">
        <f t="shared" si="48"/>
        <v>0</v>
      </c>
      <c r="N111" s="343" t="s">
        <v>586</v>
      </c>
    </row>
    <row r="112" spans="1:15">
      <c r="A112" s="131" t="s">
        <v>154</v>
      </c>
      <c r="B112" s="131" t="s">
        <v>155</v>
      </c>
      <c r="C112" s="262" t="s">
        <v>117</v>
      </c>
      <c r="F112" s="62">
        <f>IF(F110&gt;0,F110/F111,1)</f>
        <v>1</v>
      </c>
      <c r="G112" s="62">
        <f t="shared" ref="G112:M112" si="49">IF(G110&gt;0,G110/G111,1)</f>
        <v>1</v>
      </c>
      <c r="H112" s="62">
        <f t="shared" si="49"/>
        <v>1</v>
      </c>
      <c r="I112" s="62">
        <f t="shared" si="49"/>
        <v>1</v>
      </c>
      <c r="J112" s="62">
        <f t="shared" si="49"/>
        <v>1</v>
      </c>
      <c r="K112" s="62">
        <f t="shared" si="49"/>
        <v>1</v>
      </c>
      <c r="L112" s="62">
        <f t="shared" si="49"/>
        <v>1</v>
      </c>
      <c r="M112" s="62">
        <f t="shared" si="49"/>
        <v>1</v>
      </c>
      <c r="N112" s="343"/>
    </row>
    <row r="113" spans="1:15">
      <c r="C113" s="262"/>
      <c r="N113" s="343"/>
    </row>
    <row r="114" spans="1:15">
      <c r="A114" s="131" t="s">
        <v>156</v>
      </c>
      <c r="B114" s="131" t="s">
        <v>116</v>
      </c>
      <c r="C114" s="262" t="s">
        <v>117</v>
      </c>
      <c r="F114" s="164">
        <f t="shared" ref="F114:M114" si="50">RPIF</f>
        <v>1.1630161697108456</v>
      </c>
      <c r="G114" s="164">
        <f t="shared" si="50"/>
        <v>1.2050819527256253</v>
      </c>
      <c r="H114" s="164">
        <f t="shared" si="50"/>
        <v>1.2266493019576674</v>
      </c>
      <c r="I114" s="164">
        <f t="shared" si="50"/>
        <v>1.2327329838381795</v>
      </c>
      <c r="J114" s="164">
        <f t="shared" si="50"/>
        <v>1.2709189417960116</v>
      </c>
      <c r="K114" s="164">
        <f t="shared" si="50"/>
        <v>1.3140238772935624</v>
      </c>
      <c r="L114" s="164">
        <f t="shared" si="50"/>
        <v>1.3585865587485577</v>
      </c>
      <c r="M114" s="164">
        <f t="shared" si="50"/>
        <v>1.309769334513619</v>
      </c>
      <c r="N114" s="343" t="s">
        <v>116</v>
      </c>
      <c r="O114" s="118"/>
    </row>
    <row r="115" spans="1:15">
      <c r="C115" s="262"/>
      <c r="N115" s="343"/>
    </row>
    <row r="116" spans="1:15">
      <c r="A116" s="131" t="s">
        <v>242</v>
      </c>
      <c r="B116" s="309" t="s">
        <v>366</v>
      </c>
      <c r="C116" s="262"/>
      <c r="F116" s="62">
        <f>F107*(F112*F108)*F114</f>
        <v>0.66319834061591254</v>
      </c>
      <c r="G116" s="62">
        <f t="shared" ref="G116:M116" si="51">G107*(G112*G108)*G114</f>
        <v>1.3786137539181154</v>
      </c>
      <c r="H116" s="62">
        <f t="shared" si="51"/>
        <v>1.3231915086189436</v>
      </c>
      <c r="I116" s="62">
        <f t="shared" si="51"/>
        <v>0</v>
      </c>
      <c r="J116" s="62">
        <f t="shared" si="51"/>
        <v>0</v>
      </c>
      <c r="K116" s="62">
        <f t="shared" si="51"/>
        <v>0</v>
      </c>
      <c r="L116" s="62">
        <f>L107*(L112*L108)*L114</f>
        <v>0</v>
      </c>
      <c r="M116" s="62">
        <f t="shared" si="51"/>
        <v>0</v>
      </c>
      <c r="N116" s="343"/>
    </row>
    <row r="117" spans="1:15">
      <c r="C117" s="262"/>
      <c r="N117" s="343"/>
    </row>
    <row r="118" spans="1:15">
      <c r="A118" s="144" t="s">
        <v>482</v>
      </c>
      <c r="C118" s="262"/>
      <c r="N118" s="343"/>
    </row>
    <row r="119" spans="1:15">
      <c r="C119" s="262"/>
      <c r="I119" s="118"/>
      <c r="N119" s="343"/>
    </row>
    <row r="120" spans="1:15">
      <c r="C120" s="262"/>
      <c r="N120" s="343"/>
    </row>
    <row r="121" spans="1:15" ht="14.25">
      <c r="C121" s="262"/>
      <c r="E121" s="112">
        <v>2013</v>
      </c>
      <c r="F121" s="112">
        <v>2014</v>
      </c>
      <c r="G121" s="112">
        <v>2015</v>
      </c>
      <c r="H121" s="112">
        <v>2016</v>
      </c>
      <c r="I121" s="112">
        <v>2017</v>
      </c>
      <c r="J121" s="112">
        <v>2018</v>
      </c>
      <c r="K121" s="112">
        <v>2019</v>
      </c>
      <c r="L121" s="112">
        <v>2020</v>
      </c>
      <c r="M121" s="112">
        <v>2021</v>
      </c>
      <c r="N121" s="343"/>
    </row>
    <row r="122" spans="1:15">
      <c r="A122" s="121" t="s">
        <v>253</v>
      </c>
      <c r="B122" s="131" t="s">
        <v>140</v>
      </c>
      <c r="C122" s="262"/>
      <c r="F122" s="133">
        <f t="shared" ref="F122:M122" si="52">depn2</f>
        <v>0.39300000000000002</v>
      </c>
      <c r="G122" s="133">
        <f t="shared" si="52"/>
        <v>0.74299999999999999</v>
      </c>
      <c r="H122" s="133">
        <f t="shared" si="52"/>
        <v>0.74299999999999999</v>
      </c>
      <c r="I122" s="133">
        <f t="shared" si="52"/>
        <v>0</v>
      </c>
      <c r="J122" s="133">
        <f t="shared" si="52"/>
        <v>0</v>
      </c>
      <c r="K122" s="133">
        <f t="shared" si="52"/>
        <v>0</v>
      </c>
      <c r="L122" s="133">
        <f t="shared" si="52"/>
        <v>0</v>
      </c>
      <c r="M122" s="133">
        <f t="shared" si="52"/>
        <v>0</v>
      </c>
      <c r="N122" s="343" t="s">
        <v>385</v>
      </c>
    </row>
    <row r="123" spans="1:15">
      <c r="A123" s="131" t="s">
        <v>154</v>
      </c>
      <c r="B123" s="131" t="s">
        <v>155</v>
      </c>
      <c r="C123" s="262" t="s">
        <v>1</v>
      </c>
      <c r="F123" s="133">
        <f t="shared" ref="F123:M123" si="53">F112</f>
        <v>1</v>
      </c>
      <c r="G123" s="133">
        <f t="shared" si="53"/>
        <v>1</v>
      </c>
      <c r="H123" s="133">
        <f t="shared" si="53"/>
        <v>1</v>
      </c>
      <c r="I123" s="133">
        <f t="shared" si="53"/>
        <v>1</v>
      </c>
      <c r="J123" s="133">
        <f t="shared" si="53"/>
        <v>1</v>
      </c>
      <c r="K123" s="133">
        <f t="shared" si="53"/>
        <v>1</v>
      </c>
      <c r="L123" s="133">
        <f t="shared" si="53"/>
        <v>1</v>
      </c>
      <c r="M123" s="133">
        <f t="shared" si="53"/>
        <v>1</v>
      </c>
      <c r="N123" s="343"/>
      <c r="O123" s="118"/>
    </row>
    <row r="124" spans="1:15">
      <c r="A124" s="131" t="s">
        <v>156</v>
      </c>
      <c r="B124" s="131" t="s">
        <v>116</v>
      </c>
      <c r="C124" s="262" t="s">
        <v>117</v>
      </c>
      <c r="F124" s="164">
        <f t="shared" ref="F124:M124" si="54">RPIF</f>
        <v>1.1630161697108456</v>
      </c>
      <c r="G124" s="164">
        <f t="shared" si="54"/>
        <v>1.2050819527256253</v>
      </c>
      <c r="H124" s="164">
        <f t="shared" si="54"/>
        <v>1.2266493019576674</v>
      </c>
      <c r="I124" s="164">
        <f t="shared" si="54"/>
        <v>1.2327329838381795</v>
      </c>
      <c r="J124" s="164">
        <f t="shared" si="54"/>
        <v>1.2709189417960116</v>
      </c>
      <c r="K124" s="164">
        <f t="shared" si="54"/>
        <v>1.3140238772935624</v>
      </c>
      <c r="L124" s="164">
        <f t="shared" si="54"/>
        <v>1.3585865587485577</v>
      </c>
      <c r="M124" s="164">
        <f t="shared" si="54"/>
        <v>1.309769334513619</v>
      </c>
      <c r="N124" s="343" t="s">
        <v>116</v>
      </c>
    </row>
    <row r="125" spans="1:15">
      <c r="A125" s="131" t="s">
        <v>189</v>
      </c>
      <c r="C125" s="262"/>
      <c r="F125" s="62">
        <f t="shared" ref="F125:M125" si="55">F122*F123*F124</f>
        <v>0.45706535469636234</v>
      </c>
      <c r="G125" s="62">
        <f t="shared" si="55"/>
        <v>0.89537589087513958</v>
      </c>
      <c r="H125" s="62">
        <f t="shared" si="55"/>
        <v>0.91140043135454685</v>
      </c>
      <c r="I125" s="62">
        <f t="shared" si="55"/>
        <v>0</v>
      </c>
      <c r="J125" s="62">
        <f t="shared" si="55"/>
        <v>0</v>
      </c>
      <c r="K125" s="62">
        <f t="shared" si="55"/>
        <v>0</v>
      </c>
      <c r="L125" s="62">
        <f t="shared" si="55"/>
        <v>0</v>
      </c>
      <c r="M125" s="62">
        <f t="shared" si="55"/>
        <v>0</v>
      </c>
      <c r="N125" s="343"/>
    </row>
    <row r="126" spans="1:15">
      <c r="C126" s="262"/>
      <c r="N126" s="343"/>
    </row>
    <row r="127" spans="1:15">
      <c r="B127" s="131" t="s">
        <v>147</v>
      </c>
      <c r="C127" s="262" t="s">
        <v>1</v>
      </c>
      <c r="F127" s="62">
        <f t="shared" ref="F127:M127" si="56">F116+F125</f>
        <v>1.1202636953122749</v>
      </c>
      <c r="G127" s="62">
        <f t="shared" si="56"/>
        <v>2.273989644793255</v>
      </c>
      <c r="H127" s="62">
        <f t="shared" si="56"/>
        <v>2.2345919399734906</v>
      </c>
      <c r="I127" s="62">
        <f t="shared" si="56"/>
        <v>0</v>
      </c>
      <c r="J127" s="62">
        <f t="shared" si="56"/>
        <v>0</v>
      </c>
      <c r="K127" s="62">
        <f t="shared" si="56"/>
        <v>0</v>
      </c>
      <c r="L127" s="62">
        <f t="shared" si="56"/>
        <v>0</v>
      </c>
      <c r="M127" s="62">
        <f t="shared" si="56"/>
        <v>0</v>
      </c>
      <c r="N127" s="343"/>
    </row>
    <row r="128" spans="1:15">
      <c r="C128" s="262"/>
      <c r="N128" s="343"/>
    </row>
    <row r="129" spans="1:15">
      <c r="C129" s="262"/>
      <c r="N129" s="343"/>
    </row>
    <row r="130" spans="1:15">
      <c r="A130" s="131" t="s">
        <v>257</v>
      </c>
      <c r="B130" s="131" t="s">
        <v>145</v>
      </c>
      <c r="C130" s="262" t="s">
        <v>1</v>
      </c>
      <c r="F130" s="133">
        <f t="shared" ref="F130:M130" si="57">TIRGIncAdj2</f>
        <v>0</v>
      </c>
      <c r="G130" s="133">
        <f t="shared" si="57"/>
        <v>0</v>
      </c>
      <c r="H130" s="133">
        <f t="shared" si="57"/>
        <v>0</v>
      </c>
      <c r="I130" s="133">
        <f t="shared" si="57"/>
        <v>0</v>
      </c>
      <c r="J130" s="133">
        <f t="shared" si="57"/>
        <v>0</v>
      </c>
      <c r="K130" s="133">
        <f t="shared" si="57"/>
        <v>0</v>
      </c>
      <c r="L130" s="133">
        <f t="shared" si="57"/>
        <v>0</v>
      </c>
      <c r="M130" s="133">
        <f t="shared" si="57"/>
        <v>0</v>
      </c>
      <c r="N130" s="343" t="s">
        <v>363</v>
      </c>
      <c r="O130" s="118"/>
    </row>
    <row r="131" spans="1:15">
      <c r="A131" s="131" t="s">
        <v>246</v>
      </c>
      <c r="B131" s="131" t="s">
        <v>148</v>
      </c>
      <c r="C131" s="262" t="s">
        <v>1</v>
      </c>
      <c r="F131" s="133">
        <f t="shared" ref="F131:M131" si="58">ATIRG2</f>
        <v>0</v>
      </c>
      <c r="G131" s="133">
        <f t="shared" si="58"/>
        <v>0</v>
      </c>
      <c r="H131" s="133">
        <f t="shared" si="58"/>
        <v>0</v>
      </c>
      <c r="I131" s="133">
        <f t="shared" si="58"/>
        <v>0</v>
      </c>
      <c r="J131" s="133">
        <f t="shared" si="58"/>
        <v>0</v>
      </c>
      <c r="K131" s="133">
        <f t="shared" si="58"/>
        <v>0</v>
      </c>
      <c r="L131" s="133">
        <f t="shared" si="58"/>
        <v>0</v>
      </c>
      <c r="M131" s="133">
        <f t="shared" si="58"/>
        <v>0</v>
      </c>
      <c r="N131" s="343" t="s">
        <v>364</v>
      </c>
    </row>
    <row r="132" spans="1:15">
      <c r="C132" s="262"/>
      <c r="N132" s="343"/>
    </row>
    <row r="133" spans="1:15">
      <c r="C133" s="262"/>
      <c r="N133" s="343"/>
    </row>
    <row r="134" spans="1:15">
      <c r="C134" s="262"/>
      <c r="N134" s="343"/>
    </row>
    <row r="135" spans="1:15">
      <c r="N135" s="343"/>
    </row>
    <row r="136" spans="1:15">
      <c r="N136" s="343"/>
    </row>
    <row r="137" spans="1:15">
      <c r="N137" s="343"/>
    </row>
    <row r="138" spans="1:15">
      <c r="N138" s="343"/>
    </row>
    <row r="139" spans="1:15">
      <c r="N139" s="343"/>
    </row>
    <row r="140" spans="1:15">
      <c r="N140" s="343"/>
    </row>
    <row r="141" spans="1:15">
      <c r="N141" s="343"/>
    </row>
    <row r="142" spans="1:15">
      <c r="N142" s="343"/>
    </row>
    <row r="143" spans="1:15">
      <c r="N143" s="343"/>
    </row>
    <row r="144" spans="1:15">
      <c r="N144" s="343"/>
    </row>
    <row r="145" spans="14:14">
      <c r="N145" s="343"/>
    </row>
    <row r="146" spans="14:14">
      <c r="N146" s="343"/>
    </row>
    <row r="147" spans="14:14">
      <c r="N147" s="343"/>
    </row>
    <row r="148" spans="14:14">
      <c r="N148" s="343"/>
    </row>
    <row r="149" spans="14:14">
      <c r="N149" s="343"/>
    </row>
    <row r="150" spans="14:14">
      <c r="N150" s="343"/>
    </row>
    <row r="151" spans="14:14">
      <c r="N151" s="343"/>
    </row>
    <row r="152" spans="14:14">
      <c r="N152" s="343"/>
    </row>
    <row r="153" spans="14:14">
      <c r="N153" s="343"/>
    </row>
    <row r="154" spans="14:14">
      <c r="N154" s="343"/>
    </row>
    <row r="155" spans="14:14">
      <c r="N155" s="343"/>
    </row>
    <row r="156" spans="14:14">
      <c r="N156" s="343"/>
    </row>
    <row r="157" spans="14:14">
      <c r="N157" s="343"/>
    </row>
    <row r="158" spans="14:14">
      <c r="N158" s="343"/>
    </row>
    <row r="159" spans="14:14">
      <c r="N159" s="343"/>
    </row>
    <row r="160" spans="14:14">
      <c r="N160" s="343"/>
    </row>
    <row r="161" spans="14:14">
      <c r="N161" s="343"/>
    </row>
    <row r="162" spans="14:14">
      <c r="N162" s="343"/>
    </row>
    <row r="163" spans="14:14">
      <c r="N163" s="343"/>
    </row>
    <row r="164" spans="14:14">
      <c r="N164" s="343"/>
    </row>
    <row r="165" spans="14:14">
      <c r="N165" s="343"/>
    </row>
    <row r="166" spans="14:14">
      <c r="N166" s="343"/>
    </row>
    <row r="167" spans="14:14">
      <c r="N167" s="343"/>
    </row>
    <row r="168" spans="14:14">
      <c r="N168" s="343"/>
    </row>
    <row r="169" spans="14:14">
      <c r="N169" s="343"/>
    </row>
    <row r="170" spans="14:14">
      <c r="N170" s="343"/>
    </row>
    <row r="171" spans="14:14">
      <c r="N171" s="343"/>
    </row>
    <row r="172" spans="14:14">
      <c r="N172" s="343"/>
    </row>
    <row r="173" spans="14:14">
      <c r="N173" s="343"/>
    </row>
    <row r="174" spans="14:14">
      <c r="N174" s="343"/>
    </row>
    <row r="175" spans="14:14">
      <c r="N175" s="343"/>
    </row>
    <row r="176" spans="14:14">
      <c r="N176" s="343"/>
    </row>
    <row r="177" spans="14:14">
      <c r="N177" s="343"/>
    </row>
    <row r="178" spans="14:14">
      <c r="N178" s="343"/>
    </row>
    <row r="179" spans="14:14">
      <c r="N179" s="343"/>
    </row>
    <row r="180" spans="14:14">
      <c r="N180" s="343"/>
    </row>
    <row r="181" spans="14:14">
      <c r="N181" s="343"/>
    </row>
    <row r="182" spans="14:14">
      <c r="N182" s="343"/>
    </row>
    <row r="183" spans="14:14">
      <c r="N183" s="343"/>
    </row>
    <row r="184" spans="14:14">
      <c r="N184" s="343"/>
    </row>
    <row r="185" spans="14:14">
      <c r="N185" s="343"/>
    </row>
    <row r="186" spans="14:14">
      <c r="N186" s="343"/>
    </row>
    <row r="187" spans="14:14">
      <c r="N187" s="343"/>
    </row>
    <row r="188" spans="14:14">
      <c r="N188" s="343"/>
    </row>
    <row r="189" spans="14:14">
      <c r="N189" s="343"/>
    </row>
    <row r="190" spans="14:14">
      <c r="N190" s="343"/>
    </row>
    <row r="191" spans="14:14">
      <c r="N191" s="343"/>
    </row>
    <row r="192" spans="14:14">
      <c r="N192" s="343"/>
    </row>
    <row r="193" spans="14:14">
      <c r="N193" s="343"/>
    </row>
    <row r="194" spans="14:14">
      <c r="N194" s="343"/>
    </row>
    <row r="195" spans="14:14">
      <c r="N195" s="343"/>
    </row>
    <row r="196" spans="14:14">
      <c r="N196" s="343"/>
    </row>
    <row r="197" spans="14:14">
      <c r="N197" s="343"/>
    </row>
    <row r="198" spans="14:14">
      <c r="N198" s="343"/>
    </row>
    <row r="199" spans="14:14">
      <c r="N199" s="343"/>
    </row>
    <row r="200" spans="14:14">
      <c r="N200" s="343"/>
    </row>
    <row r="201" spans="14:14">
      <c r="N201" s="343"/>
    </row>
    <row r="202" spans="14:14">
      <c r="N202" s="343"/>
    </row>
    <row r="203" spans="14:14">
      <c r="N203" s="343"/>
    </row>
    <row r="204" spans="14:14">
      <c r="N204" s="343"/>
    </row>
    <row r="205" spans="14:14">
      <c r="N205" s="343"/>
    </row>
  </sheetData>
  <printOptions headings="1"/>
  <pageMargins left="0.23622047244094491" right="0.15748031496062992" top="0.35433070866141736" bottom="0.43307086614173229" header="0.15748031496062992" footer="0.27559055118110237"/>
  <pageSetup paperSize="9" scale="91" fitToHeight="0" orientation="landscape" r:id="rId1"/>
  <headerFooter>
    <oddFooter>&amp;C&amp;D&amp;R&amp;F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999998"/>
  <sheetViews>
    <sheetView showGridLines="0" zoomScale="85" zoomScaleNormal="85" workbookViewId="0">
      <selection activeCell="G29" sqref="G29"/>
    </sheetView>
  </sheetViews>
  <sheetFormatPr defaultColWidth="9" defaultRowHeight="12.4"/>
  <cols>
    <col min="1" max="1" width="32.3515625" style="111" customWidth="1"/>
    <col min="2" max="2" width="6.87890625" style="111" customWidth="1"/>
    <col min="3" max="4" width="9" style="111" hidden="1" customWidth="1"/>
    <col min="5" max="5" width="12" style="111" customWidth="1"/>
    <col min="6" max="9" width="10.17578125" style="111" customWidth="1"/>
    <col min="10" max="10" width="14.3515625" style="111" bestFit="1" customWidth="1"/>
    <col min="11" max="11" width="10.17578125" style="111" customWidth="1"/>
    <col min="12" max="12" width="14.3515625" style="111" bestFit="1" customWidth="1"/>
    <col min="13" max="13" width="12.8203125" style="111" customWidth="1"/>
    <col min="14" max="14" width="7.1171875" style="111" customWidth="1"/>
    <col min="15" max="16384" width="9" style="111"/>
  </cols>
  <sheetData>
    <row r="1" spans="1:19" s="121" customFormat="1" ht="14.65">
      <c r="A1" s="126" t="s">
        <v>607</v>
      </c>
      <c r="N1" s="346"/>
    </row>
    <row r="2" spans="1:19" s="121" customFormat="1" ht="14.65">
      <c r="A2" s="126" t="str">
        <f>CompName</f>
        <v>Scottish Hydro Electric Transmission Plc</v>
      </c>
      <c r="N2" s="346"/>
    </row>
    <row r="3" spans="1:19" s="121" customFormat="1">
      <c r="A3" s="128" t="str">
        <f>RegYr</f>
        <v>Regulatory Year ending 31 March 2019</v>
      </c>
      <c r="N3" s="346"/>
    </row>
    <row r="4" spans="1:19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</row>
    <row r="5" spans="1:19" ht="17.649999999999999">
      <c r="A5" s="265" t="s">
        <v>478</v>
      </c>
      <c r="B5" s="129" t="s">
        <v>308</v>
      </c>
      <c r="G5" s="118"/>
      <c r="I5" s="118"/>
      <c r="N5" s="332"/>
    </row>
    <row r="6" spans="1:19" ht="13.5">
      <c r="B6" s="130"/>
      <c r="C6" s="130"/>
      <c r="D6" s="130"/>
      <c r="E6" s="130"/>
      <c r="F6" s="130"/>
      <c r="G6" s="130"/>
      <c r="H6" s="130"/>
      <c r="I6" s="130"/>
      <c r="N6" s="332"/>
    </row>
    <row r="7" spans="1:19" ht="14.25">
      <c r="B7" s="113"/>
      <c r="C7" s="113"/>
      <c r="D7" s="113"/>
      <c r="E7" s="113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2"/>
    </row>
    <row r="8" spans="1:19" ht="13.5">
      <c r="B8" s="113"/>
      <c r="C8" s="113"/>
      <c r="D8" s="113"/>
      <c r="E8" s="113"/>
      <c r="F8" s="113"/>
      <c r="G8" s="113"/>
      <c r="H8" s="113"/>
      <c r="I8" s="113"/>
      <c r="N8" s="332"/>
    </row>
    <row r="9" spans="1:19" ht="13.5">
      <c r="A9" s="113" t="s">
        <v>13</v>
      </c>
      <c r="B9" s="113" t="s">
        <v>311</v>
      </c>
      <c r="C9" s="113"/>
      <c r="D9" s="113"/>
      <c r="E9" s="113" t="s">
        <v>1</v>
      </c>
      <c r="F9" s="230">
        <f t="shared" ref="F9:M9" si="0">BR</f>
        <v>121.5805473654021</v>
      </c>
      <c r="G9" s="230">
        <f t="shared" si="0"/>
        <v>144.88183369376085</v>
      </c>
      <c r="H9" s="230">
        <f>BR</f>
        <v>257.33707831815008</v>
      </c>
      <c r="I9" s="230">
        <f t="shared" si="0"/>
        <v>257.63707638924029</v>
      </c>
      <c r="J9" s="230">
        <f t="shared" si="0"/>
        <v>212.33853452570145</v>
      </c>
      <c r="K9" s="230">
        <f t="shared" si="0"/>
        <v>256.82229984453886</v>
      </c>
      <c r="L9" s="230">
        <f t="shared" si="0"/>
        <v>271.06517550609101</v>
      </c>
      <c r="M9" s="230">
        <f t="shared" si="0"/>
        <v>159.34814995953684</v>
      </c>
      <c r="N9" s="343" t="s">
        <v>311</v>
      </c>
    </row>
    <row r="10" spans="1:19" ht="13.5">
      <c r="A10" s="113" t="s">
        <v>9</v>
      </c>
      <c r="B10" s="113" t="s">
        <v>312</v>
      </c>
      <c r="C10" s="113"/>
      <c r="D10" s="113"/>
      <c r="E10" s="113" t="s">
        <v>1</v>
      </c>
      <c r="F10" s="230">
        <f t="shared" ref="F10:M10" si="1">PT</f>
        <v>0</v>
      </c>
      <c r="G10" s="230">
        <f t="shared" si="1"/>
        <v>0</v>
      </c>
      <c r="H10" s="230">
        <f t="shared" si="1"/>
        <v>-12.626550201783784</v>
      </c>
      <c r="I10" s="230">
        <f t="shared" si="1"/>
        <v>-12.637088524491084</v>
      </c>
      <c r="J10" s="230">
        <f t="shared" si="1"/>
        <v>-17.535035490011005</v>
      </c>
      <c r="K10" s="230">
        <f t="shared" si="1"/>
        <v>-18.068939317346686</v>
      </c>
      <c r="L10" s="230">
        <f t="shared" si="1"/>
        <v>-18.620715279453407</v>
      </c>
      <c r="M10" s="230">
        <f t="shared" si="1"/>
        <v>-17.90328838952226</v>
      </c>
      <c r="N10" s="343" t="s">
        <v>312</v>
      </c>
    </row>
    <row r="11" spans="1:19" ht="13.5">
      <c r="A11" s="113" t="s">
        <v>15</v>
      </c>
      <c r="B11" s="113" t="s">
        <v>313</v>
      </c>
      <c r="C11" s="113"/>
      <c r="D11" s="113"/>
      <c r="E11" s="113" t="s">
        <v>1</v>
      </c>
      <c r="F11" s="230">
        <f t="shared" ref="F11:M11" si="2">OIP</f>
        <v>0.47198999999999997</v>
      </c>
      <c r="G11" s="230">
        <f t="shared" si="2"/>
        <v>0</v>
      </c>
      <c r="H11" s="230">
        <f t="shared" si="2"/>
        <v>1.8317800235105277</v>
      </c>
      <c r="I11" s="230">
        <f t="shared" si="2"/>
        <v>1.81319212010342</v>
      </c>
      <c r="J11" s="230">
        <f t="shared" si="2"/>
        <v>1.8828226753328254</v>
      </c>
      <c r="K11" s="230">
        <f t="shared" si="2"/>
        <v>-0.37278596464105646</v>
      </c>
      <c r="L11" s="230">
        <f t="shared" si="2"/>
        <v>-0.67239846968684625</v>
      </c>
      <c r="M11" s="230">
        <f t="shared" si="2"/>
        <v>-1.1175417133973891</v>
      </c>
      <c r="N11" s="343" t="s">
        <v>313</v>
      </c>
    </row>
    <row r="12" spans="1:19" ht="13.5">
      <c r="A12" s="113" t="s">
        <v>36</v>
      </c>
      <c r="B12" s="113" t="s">
        <v>231</v>
      </c>
      <c r="C12" s="113"/>
      <c r="D12" s="113"/>
      <c r="E12" s="113" t="s">
        <v>1</v>
      </c>
      <c r="F12" s="230">
        <f t="shared" ref="F12:M12" si="3">NIA</f>
        <v>0</v>
      </c>
      <c r="G12" s="230">
        <f t="shared" si="3"/>
        <v>0</v>
      </c>
      <c r="H12" s="230">
        <f t="shared" si="3"/>
        <v>0</v>
      </c>
      <c r="I12" s="230">
        <f t="shared" si="3"/>
        <v>0</v>
      </c>
      <c r="J12" s="230">
        <f t="shared" si="3"/>
        <v>0</v>
      </c>
      <c r="K12" s="230">
        <f t="shared" si="3"/>
        <v>0</v>
      </c>
      <c r="L12" s="230">
        <f t="shared" si="3"/>
        <v>0</v>
      </c>
      <c r="M12" s="230">
        <f t="shared" si="3"/>
        <v>0</v>
      </c>
      <c r="N12" s="343" t="s">
        <v>231</v>
      </c>
      <c r="O12" s="118"/>
    </row>
    <row r="13" spans="1:19" ht="13.5">
      <c r="A13" s="113" t="s">
        <v>16</v>
      </c>
      <c r="B13" s="113" t="s">
        <v>310</v>
      </c>
      <c r="C13" s="113"/>
      <c r="D13" s="113"/>
      <c r="E13" s="113" t="s">
        <v>1</v>
      </c>
      <c r="F13" s="230">
        <f t="shared" ref="F13:M13" si="4">TIRG</f>
        <v>43.13029648352763</v>
      </c>
      <c r="G13" s="230">
        <f t="shared" si="4"/>
        <v>45.642498240794303</v>
      </c>
      <c r="H13" s="230">
        <f t="shared" si="4"/>
        <v>44.861665942027251</v>
      </c>
      <c r="I13" s="230">
        <f t="shared" si="4"/>
        <v>0</v>
      </c>
      <c r="J13" s="230">
        <f t="shared" si="4"/>
        <v>84.256191454810178</v>
      </c>
      <c r="K13" s="230">
        <f t="shared" si="4"/>
        <v>83.929406675831544</v>
      </c>
      <c r="L13" s="230">
        <f t="shared" si="4"/>
        <v>83.48339417561121</v>
      </c>
      <c r="M13" s="230">
        <f t="shared" si="4"/>
        <v>77.309616964781469</v>
      </c>
      <c r="N13" s="154" t="s">
        <v>310</v>
      </c>
    </row>
    <row r="14" spans="1:19" ht="13.5">
      <c r="A14" s="113" t="s">
        <v>315</v>
      </c>
      <c r="B14" s="113" t="s">
        <v>309</v>
      </c>
      <c r="C14" s="113"/>
      <c r="D14" s="113"/>
      <c r="E14" s="113" t="s">
        <v>1</v>
      </c>
      <c r="F14" s="230">
        <f t="shared" ref="F14:M14" si="5">SHCP</f>
        <v>0</v>
      </c>
      <c r="G14" s="230">
        <f t="shared" si="5"/>
        <v>0</v>
      </c>
      <c r="H14" s="230">
        <f t="shared" si="5"/>
        <v>0</v>
      </c>
      <c r="I14" s="230">
        <f t="shared" si="5"/>
        <v>0</v>
      </c>
      <c r="J14" s="230">
        <f t="shared" si="5"/>
        <v>0</v>
      </c>
      <c r="K14" s="230">
        <f t="shared" si="5"/>
        <v>0</v>
      </c>
      <c r="L14" s="230">
        <f t="shared" si="5"/>
        <v>0</v>
      </c>
      <c r="M14" s="230">
        <f t="shared" si="5"/>
        <v>0</v>
      </c>
      <c r="N14" s="154" t="s">
        <v>309</v>
      </c>
    </row>
    <row r="15" spans="1:19" ht="13.5">
      <c r="A15" s="113" t="s">
        <v>10</v>
      </c>
      <c r="B15" s="113" t="s">
        <v>314</v>
      </c>
      <c r="C15" s="113"/>
      <c r="D15" s="113"/>
      <c r="E15" s="113" t="s">
        <v>117</v>
      </c>
      <c r="F15" s="230">
        <f t="shared" ref="F15:M15" si="6">Kt</f>
        <v>15.047999999999989</v>
      </c>
      <c r="G15" s="230">
        <f t="shared" si="6"/>
        <v>0</v>
      </c>
      <c r="H15" s="230">
        <f t="shared" si="6"/>
        <v>-154.65764571862869</v>
      </c>
      <c r="I15" s="230">
        <f t="shared" si="6"/>
        <v>-196.26387743408358</v>
      </c>
      <c r="J15" s="230">
        <f t="shared" si="6"/>
        <v>-458.7819590123845</v>
      </c>
      <c r="K15" s="230">
        <f t="shared" si="6"/>
        <v>-455.03123212039344</v>
      </c>
      <c r="L15" s="230">
        <f t="shared" si="6"/>
        <v>-762.13327848992515</v>
      </c>
      <c r="M15" s="230">
        <f t="shared" si="6"/>
        <v>-798.2003874780454</v>
      </c>
      <c r="N15" s="343" t="s">
        <v>314</v>
      </c>
    </row>
    <row r="16" spans="1:19" ht="13.5">
      <c r="A16" s="113"/>
      <c r="B16" s="113"/>
      <c r="C16" s="113"/>
      <c r="D16" s="113"/>
      <c r="E16" s="113"/>
      <c r="F16" s="168"/>
      <c r="G16" s="168"/>
      <c r="H16" s="168"/>
      <c r="I16" s="168"/>
      <c r="J16" s="168"/>
      <c r="K16" s="168"/>
      <c r="L16" s="168"/>
      <c r="M16" s="168"/>
      <c r="N16" s="332"/>
    </row>
    <row r="17" spans="1:14" ht="13.5">
      <c r="A17" s="113" t="s">
        <v>11</v>
      </c>
      <c r="B17" s="113" t="s">
        <v>12</v>
      </c>
      <c r="C17" s="113"/>
      <c r="D17" s="113"/>
      <c r="E17" s="113" t="s">
        <v>1</v>
      </c>
      <c r="F17" s="135">
        <f>SUM(F9:F14)-F15</f>
        <v>150.13483384892973</v>
      </c>
      <c r="G17" s="135">
        <f>SUM(G9:G14)-G15</f>
        <v>190.52433193455516</v>
      </c>
      <c r="H17" s="135">
        <f>SUM(H9:H14)-H15</f>
        <v>446.06161980053275</v>
      </c>
      <c r="I17" s="135">
        <f t="shared" ref="I17:M17" si="7">SUM(I9:I14)-I15</f>
        <v>443.07705741893619</v>
      </c>
      <c r="J17" s="135">
        <f t="shared" si="7"/>
        <v>739.72447217821787</v>
      </c>
      <c r="K17" s="135">
        <f t="shared" si="7"/>
        <v>777.34121335877603</v>
      </c>
      <c r="L17" s="135">
        <f t="shared" si="7"/>
        <v>1097.3887344224872</v>
      </c>
      <c r="M17" s="135">
        <f t="shared" si="7"/>
        <v>1015.837324299444</v>
      </c>
      <c r="N17" s="154" t="s">
        <v>12</v>
      </c>
    </row>
    <row r="18" spans="1:14" ht="13.5">
      <c r="C18" s="113"/>
      <c r="D18" s="113"/>
      <c r="E18" s="113"/>
      <c r="N18" s="332"/>
    </row>
    <row r="19" spans="1:14">
      <c r="N19" s="332"/>
    </row>
    <row r="20" spans="1:14">
      <c r="N20" s="332"/>
    </row>
    <row r="21" spans="1:14">
      <c r="N21" s="332"/>
    </row>
    <row r="22" spans="1:14">
      <c r="N22" s="332"/>
    </row>
    <row r="23" spans="1:14">
      <c r="N23" s="332"/>
    </row>
    <row r="24" spans="1:14">
      <c r="N24" s="332"/>
    </row>
    <row r="25" spans="1:14">
      <c r="N25" s="332"/>
    </row>
    <row r="26" spans="1:14">
      <c r="N26" s="332"/>
    </row>
    <row r="27" spans="1:14">
      <c r="N27" s="332"/>
    </row>
    <row r="28" spans="1:14">
      <c r="N28" s="332"/>
    </row>
    <row r="29" spans="1:14">
      <c r="N29" s="332"/>
    </row>
    <row r="999993" spans="1:1">
      <c r="A999993" s="111" t="s">
        <v>7</v>
      </c>
    </row>
    <row r="999994" spans="1:1">
      <c r="A999994" s="111" t="s">
        <v>2</v>
      </c>
    </row>
    <row r="999995" spans="1:1">
      <c r="A999995" s="111" t="s">
        <v>6</v>
      </c>
    </row>
    <row r="999996" spans="1:1">
      <c r="A999996" s="111" t="s">
        <v>3</v>
      </c>
    </row>
    <row r="999997" spans="1:1">
      <c r="A999997" s="111" t="s">
        <v>4</v>
      </c>
    </row>
    <row r="999998" spans="1:1">
      <c r="A999998" s="111" t="s">
        <v>5</v>
      </c>
    </row>
  </sheetData>
  <pageMargins left="0.27559055118110237" right="0.19685039370078741" top="0.6692913385826772" bottom="0.6692913385826772" header="0.31496062992125984" footer="0.31496062992125984"/>
  <pageSetup paperSize="9" scale="85" orientation="landscape" r:id="rId1"/>
  <headerFooter>
    <oddFooter>&amp;C&amp;D&amp;R&amp;F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CC"/>
    <pageSetUpPr fitToPage="1"/>
  </sheetPr>
  <dimension ref="A1:K78"/>
  <sheetViews>
    <sheetView showGridLines="0" view="pageBreakPreview" zoomScale="85" zoomScaleNormal="60" zoomScaleSheetLayoutView="85" workbookViewId="0"/>
  </sheetViews>
  <sheetFormatPr defaultColWidth="0" defaultRowHeight="15" customHeight="1" zeroHeight="1"/>
  <cols>
    <col min="1" max="1" width="8.46875" style="169" customWidth="1"/>
    <col min="2" max="2" width="18.1171875" style="169" customWidth="1"/>
    <col min="3" max="5" width="8" style="169" customWidth="1"/>
    <col min="6" max="6" width="5.87890625" style="169" customWidth="1"/>
    <col min="7" max="7" width="20.3515625" style="169" customWidth="1"/>
    <col min="8" max="8" width="2.3515625" style="169" customWidth="1"/>
    <col min="9" max="9" width="8.46875" style="169" customWidth="1"/>
    <col min="10" max="10" width="2.3515625" style="169" customWidth="1"/>
    <col min="11" max="16384" width="0" style="169" hidden="1"/>
  </cols>
  <sheetData>
    <row r="1" spans="1:8" s="121" customFormat="1" ht="14.65">
      <c r="A1" s="126" t="s">
        <v>269</v>
      </c>
      <c r="E1" s="127"/>
      <c r="H1" s="346"/>
    </row>
    <row r="2" spans="1:8" s="121" customFormat="1" ht="14.65">
      <c r="A2" s="126" t="str">
        <f>CompName</f>
        <v>Scottish Hydro Electric Transmission Plc</v>
      </c>
      <c r="E2" s="127"/>
      <c r="H2" s="346"/>
    </row>
    <row r="3" spans="1:8" s="121" customFormat="1" ht="12.4">
      <c r="A3" s="128" t="str">
        <f>RegYr</f>
        <v>Regulatory Year ending 31 March 2019</v>
      </c>
      <c r="E3" s="127"/>
      <c r="H3" s="346"/>
    </row>
    <row r="4" spans="1:8" ht="15.75" customHeight="1">
      <c r="H4" s="358"/>
    </row>
    <row r="5" spans="1:8" ht="13.9">
      <c r="A5" s="121" t="s">
        <v>380</v>
      </c>
      <c r="H5" s="358"/>
    </row>
    <row r="6" spans="1:8" ht="9" customHeight="1">
      <c r="H6" s="358"/>
    </row>
    <row r="7" spans="1:8" ht="13.9">
      <c r="A7" s="170" t="s">
        <v>82</v>
      </c>
      <c r="H7" s="358"/>
    </row>
    <row r="8" spans="1:8" ht="9" customHeight="1">
      <c r="A8" s="171"/>
      <c r="H8" s="358"/>
    </row>
    <row r="9" spans="1:8" ht="13.9">
      <c r="A9" s="172" t="s">
        <v>83</v>
      </c>
      <c r="B9" s="173"/>
      <c r="C9" s="173"/>
      <c r="D9" s="173"/>
      <c r="E9" s="173"/>
      <c r="F9" s="173"/>
      <c r="G9" s="173"/>
      <c r="H9" s="358"/>
    </row>
    <row r="10" spans="1:8" ht="9" customHeight="1">
      <c r="H10" s="358"/>
    </row>
    <row r="11" spans="1:8" ht="13.9">
      <c r="G11" s="174" t="s">
        <v>8</v>
      </c>
      <c r="H11" s="367"/>
    </row>
    <row r="12" spans="1:8" ht="13.9">
      <c r="B12" s="175" t="s">
        <v>84</v>
      </c>
      <c r="G12" s="176" t="s">
        <v>1</v>
      </c>
      <c r="H12" s="358"/>
    </row>
    <row r="13" spans="1:8" ht="13.9">
      <c r="A13" s="174">
        <v>1</v>
      </c>
      <c r="B13" s="404"/>
      <c r="C13" s="404"/>
      <c r="D13" s="404"/>
      <c r="E13" s="404"/>
      <c r="F13" s="404"/>
      <c r="G13" s="177"/>
      <c r="H13" s="357"/>
    </row>
    <row r="14" spans="1:8" ht="13.9">
      <c r="A14" s="174">
        <v>2</v>
      </c>
      <c r="B14" s="404"/>
      <c r="C14" s="404"/>
      <c r="D14" s="404"/>
      <c r="E14" s="404"/>
      <c r="F14" s="404"/>
      <c r="G14" s="177"/>
      <c r="H14" s="357"/>
    </row>
    <row r="15" spans="1:8" ht="13.9">
      <c r="A15" s="174">
        <v>3</v>
      </c>
      <c r="B15" s="404"/>
      <c r="C15" s="404"/>
      <c r="D15" s="404"/>
      <c r="E15" s="404"/>
      <c r="F15" s="404"/>
      <c r="G15" s="177"/>
      <c r="H15" s="357"/>
    </row>
    <row r="16" spans="1:8" ht="13.9">
      <c r="A16" s="174">
        <v>4</v>
      </c>
      <c r="B16" s="404"/>
      <c r="C16" s="404"/>
      <c r="D16" s="404"/>
      <c r="E16" s="404"/>
      <c r="F16" s="404"/>
      <c r="G16" s="177"/>
      <c r="H16" s="357"/>
    </row>
    <row r="17" spans="1:8" ht="13.9">
      <c r="A17" s="174">
        <v>5</v>
      </c>
      <c r="B17" s="404"/>
      <c r="C17" s="404"/>
      <c r="D17" s="404"/>
      <c r="E17" s="404"/>
      <c r="F17" s="404"/>
      <c r="G17" s="177"/>
      <c r="H17" s="357"/>
    </row>
    <row r="18" spans="1:8" ht="13.9">
      <c r="A18" s="174">
        <v>6</v>
      </c>
      <c r="B18" s="404"/>
      <c r="C18" s="404"/>
      <c r="D18" s="404"/>
      <c r="E18" s="404"/>
      <c r="F18" s="404"/>
      <c r="G18" s="177"/>
      <c r="H18" s="357"/>
    </row>
    <row r="19" spans="1:8" ht="13.9">
      <c r="A19" s="174">
        <v>7</v>
      </c>
      <c r="B19" s="404"/>
      <c r="C19" s="404"/>
      <c r="D19" s="404"/>
      <c r="E19" s="404"/>
      <c r="F19" s="404"/>
      <c r="G19" s="177"/>
      <c r="H19" s="357"/>
    </row>
    <row r="20" spans="1:8" ht="13.9">
      <c r="A20" s="174">
        <v>8</v>
      </c>
      <c r="B20" s="404"/>
      <c r="C20" s="404"/>
      <c r="D20" s="404"/>
      <c r="E20" s="404"/>
      <c r="F20" s="404"/>
      <c r="G20" s="177"/>
      <c r="H20" s="357"/>
    </row>
    <row r="21" spans="1:8" ht="13.9">
      <c r="A21" s="174">
        <v>9</v>
      </c>
      <c r="B21" s="404"/>
      <c r="C21" s="404"/>
      <c r="D21" s="404"/>
      <c r="E21" s="404"/>
      <c r="F21" s="404"/>
      <c r="G21" s="177"/>
      <c r="H21" s="357"/>
    </row>
    <row r="22" spans="1:8" ht="13.9">
      <c r="A22" s="174">
        <v>10</v>
      </c>
      <c r="B22" s="404"/>
      <c r="C22" s="404"/>
      <c r="D22" s="404"/>
      <c r="E22" s="404"/>
      <c r="F22" s="404"/>
      <c r="G22" s="177"/>
      <c r="H22" s="358"/>
    </row>
    <row r="23" spans="1:8" ht="13.9">
      <c r="A23" s="174">
        <v>11</v>
      </c>
      <c r="B23" s="404"/>
      <c r="C23" s="404"/>
      <c r="D23" s="404"/>
      <c r="E23" s="404"/>
      <c r="F23" s="404"/>
      <c r="G23" s="177"/>
      <c r="H23" s="358"/>
    </row>
    <row r="24" spans="1:8" ht="13.9">
      <c r="A24" s="174">
        <v>12</v>
      </c>
      <c r="B24" s="404"/>
      <c r="C24" s="404"/>
      <c r="D24" s="404"/>
      <c r="E24" s="404"/>
      <c r="F24" s="404"/>
      <c r="G24" s="177"/>
      <c r="H24" s="358"/>
    </row>
    <row r="25" spans="1:8" ht="13.9">
      <c r="A25" s="174">
        <v>13</v>
      </c>
      <c r="B25" s="404"/>
      <c r="C25" s="404"/>
      <c r="D25" s="404"/>
      <c r="E25" s="404"/>
      <c r="F25" s="404"/>
      <c r="G25" s="177"/>
      <c r="H25" s="358"/>
    </row>
    <row r="26" spans="1:8" ht="13.9">
      <c r="A26" s="174">
        <v>14</v>
      </c>
      <c r="B26" s="404"/>
      <c r="C26" s="404"/>
      <c r="D26" s="404"/>
      <c r="E26" s="404"/>
      <c r="F26" s="404"/>
      <c r="G26" s="177"/>
      <c r="H26" s="358"/>
    </row>
    <row r="27" spans="1:8" ht="13.9">
      <c r="A27" s="174">
        <v>15</v>
      </c>
      <c r="B27" s="404"/>
      <c r="C27" s="404"/>
      <c r="D27" s="404"/>
      <c r="E27" s="404"/>
      <c r="F27" s="404"/>
      <c r="G27" s="177"/>
      <c r="H27" s="358"/>
    </row>
    <row r="28" spans="1:8" ht="9" customHeight="1">
      <c r="A28" s="178"/>
      <c r="B28" s="179"/>
      <c r="C28" s="179"/>
      <c r="D28" s="179"/>
      <c r="E28" s="179"/>
      <c r="F28" s="179"/>
      <c r="G28" s="180"/>
      <c r="H28" s="358"/>
    </row>
    <row r="29" spans="1:8" ht="14.25" thickBot="1">
      <c r="F29" s="121" t="s">
        <v>85</v>
      </c>
      <c r="G29" s="186">
        <f>SUM(G13:G27)</f>
        <v>0</v>
      </c>
      <c r="H29" s="358"/>
    </row>
    <row r="30" spans="1:8" ht="9" customHeight="1" thickTop="1">
      <c r="H30" s="358"/>
    </row>
    <row r="31" spans="1:8" ht="13.9">
      <c r="A31" s="170" t="s">
        <v>86</v>
      </c>
      <c r="H31" s="358"/>
    </row>
    <row r="32" spans="1:8" ht="9" customHeight="1">
      <c r="H32" s="358"/>
    </row>
    <row r="33" spans="1:11" ht="13.9">
      <c r="A33" s="172" t="s">
        <v>87</v>
      </c>
      <c r="B33" s="173"/>
      <c r="C33" s="173"/>
      <c r="D33" s="173"/>
      <c r="E33" s="173"/>
      <c r="F33" s="173"/>
      <c r="G33" s="173"/>
      <c r="H33" s="358"/>
    </row>
    <row r="34" spans="1:11" ht="9" customHeight="1">
      <c r="H34" s="358"/>
    </row>
    <row r="35" spans="1:11" ht="13.9">
      <c r="G35" s="174" t="s">
        <v>8</v>
      </c>
      <c r="H35" s="358"/>
    </row>
    <row r="36" spans="1:11" ht="13.9">
      <c r="B36" s="175" t="s">
        <v>84</v>
      </c>
      <c r="G36" s="176" t="s">
        <v>1</v>
      </c>
      <c r="H36" s="358"/>
    </row>
    <row r="37" spans="1:11" ht="13.9">
      <c r="A37" s="174">
        <v>1</v>
      </c>
      <c r="B37" s="404"/>
      <c r="C37" s="404"/>
      <c r="D37" s="404"/>
      <c r="E37" s="404"/>
      <c r="F37" s="404"/>
      <c r="G37" s="177"/>
      <c r="H37" s="358"/>
    </row>
    <row r="38" spans="1:11" ht="13.9">
      <c r="A38" s="174">
        <v>2</v>
      </c>
      <c r="B38" s="401"/>
      <c r="C38" s="402"/>
      <c r="D38" s="402"/>
      <c r="E38" s="402"/>
      <c r="F38" s="403"/>
      <c r="G38" s="177"/>
      <c r="H38" s="357"/>
    </row>
    <row r="39" spans="1:11" ht="13.9">
      <c r="A39" s="174">
        <v>3</v>
      </c>
      <c r="B39" s="404"/>
      <c r="C39" s="404"/>
      <c r="D39" s="404"/>
      <c r="E39" s="404"/>
      <c r="F39" s="404"/>
      <c r="G39" s="177"/>
      <c r="H39" s="357"/>
    </row>
    <row r="40" spans="1:11" ht="13.9">
      <c r="A40" s="174">
        <v>4</v>
      </c>
      <c r="B40" s="404"/>
      <c r="C40" s="404"/>
      <c r="D40" s="404"/>
      <c r="E40" s="404"/>
      <c r="F40" s="404"/>
      <c r="G40" s="177"/>
      <c r="H40" s="357"/>
    </row>
    <row r="41" spans="1:11" ht="13.9">
      <c r="A41" s="174">
        <v>5</v>
      </c>
      <c r="B41" s="404"/>
      <c r="C41" s="404"/>
      <c r="D41" s="404"/>
      <c r="E41" s="404"/>
      <c r="F41" s="404"/>
      <c r="G41" s="177"/>
      <c r="H41" s="357"/>
    </row>
    <row r="42" spans="1:11" ht="13.9">
      <c r="A42" s="174">
        <v>6</v>
      </c>
      <c r="B42" s="404"/>
      <c r="C42" s="404"/>
      <c r="D42" s="404"/>
      <c r="E42" s="404"/>
      <c r="F42" s="404"/>
      <c r="G42" s="177"/>
      <c r="H42" s="357"/>
      <c r="K42" s="181"/>
    </row>
    <row r="43" spans="1:11" ht="13.9">
      <c r="A43" s="174">
        <v>7</v>
      </c>
      <c r="B43" s="404"/>
      <c r="C43" s="404"/>
      <c r="D43" s="404"/>
      <c r="E43" s="404"/>
      <c r="F43" s="404"/>
      <c r="G43" s="177"/>
      <c r="H43" s="357"/>
      <c r="K43" s="181"/>
    </row>
    <row r="44" spans="1:11" ht="13.9">
      <c r="A44" s="174">
        <v>8</v>
      </c>
      <c r="B44" s="404"/>
      <c r="C44" s="404"/>
      <c r="D44" s="404"/>
      <c r="E44" s="404"/>
      <c r="F44" s="404"/>
      <c r="G44" s="177"/>
      <c r="H44" s="357"/>
      <c r="K44" s="181"/>
    </row>
    <row r="45" spans="1:11" ht="13.9">
      <c r="A45" s="174">
        <v>9</v>
      </c>
      <c r="B45" s="404"/>
      <c r="C45" s="404"/>
      <c r="D45" s="404"/>
      <c r="E45" s="404"/>
      <c r="F45" s="404"/>
      <c r="G45" s="177"/>
      <c r="H45" s="357"/>
      <c r="K45" s="181"/>
    </row>
    <row r="46" spans="1:11" ht="13.9">
      <c r="A46" s="174">
        <v>10</v>
      </c>
      <c r="B46" s="404"/>
      <c r="C46" s="404"/>
      <c r="D46" s="404"/>
      <c r="E46" s="404"/>
      <c r="F46" s="404"/>
      <c r="G46" s="177"/>
      <c r="H46" s="357"/>
      <c r="K46" s="181"/>
    </row>
    <row r="47" spans="1:11" ht="13.9">
      <c r="A47" s="174">
        <v>11</v>
      </c>
      <c r="B47" s="182"/>
      <c r="C47" s="183"/>
      <c r="D47" s="183"/>
      <c r="E47" s="183"/>
      <c r="F47" s="184"/>
      <c r="G47" s="177"/>
      <c r="H47" s="357"/>
    </row>
    <row r="48" spans="1:11" ht="13.9">
      <c r="A48" s="174">
        <v>12</v>
      </c>
      <c r="B48" s="404"/>
      <c r="C48" s="404"/>
      <c r="D48" s="404"/>
      <c r="E48" s="404"/>
      <c r="F48" s="404"/>
      <c r="G48" s="177"/>
      <c r="H48" s="357"/>
    </row>
    <row r="49" spans="1:8" ht="13.9">
      <c r="A49" s="174">
        <v>13</v>
      </c>
      <c r="B49" s="404"/>
      <c r="C49" s="404"/>
      <c r="D49" s="404"/>
      <c r="E49" s="404"/>
      <c r="F49" s="404"/>
      <c r="G49" s="177"/>
      <c r="H49" s="357"/>
    </row>
    <row r="50" spans="1:8" ht="13.9">
      <c r="A50" s="174">
        <v>14</v>
      </c>
      <c r="B50" s="404"/>
      <c r="C50" s="404"/>
      <c r="D50" s="404"/>
      <c r="E50" s="404"/>
      <c r="F50" s="404"/>
      <c r="G50" s="177"/>
      <c r="H50" s="357"/>
    </row>
    <row r="51" spans="1:8" ht="13.9">
      <c r="A51" s="174">
        <v>15</v>
      </c>
      <c r="B51" s="401"/>
      <c r="C51" s="402"/>
      <c r="D51" s="402"/>
      <c r="E51" s="402"/>
      <c r="F51" s="403"/>
      <c r="G51" s="185"/>
      <c r="H51" s="357"/>
    </row>
    <row r="52" spans="1:8" ht="9" customHeight="1">
      <c r="H52" s="358"/>
    </row>
    <row r="53" spans="1:8" ht="14.25" thickBot="1">
      <c r="F53" s="121" t="s">
        <v>85</v>
      </c>
      <c r="G53" s="186">
        <f>SUM(G37:G51)</f>
        <v>0</v>
      </c>
      <c r="H53" s="368" t="s">
        <v>588</v>
      </c>
    </row>
    <row r="54" spans="1:8" ht="14.25" thickTop="1"/>
    <row r="55" spans="1:8" ht="15" customHeight="1"/>
    <row r="57" spans="1:8" ht="15" hidden="1" customHeight="1">
      <c r="F57" s="169">
        <f>IF(SER&lt;F68*SERLIMIT,SER,F68*SERLIMIT)</f>
        <v>0</v>
      </c>
    </row>
    <row r="59" spans="1:8" ht="15" hidden="1" customHeight="1">
      <c r="F59" s="169">
        <f>It</f>
        <v>0.5</v>
      </c>
    </row>
    <row r="60" spans="1:8" ht="15" hidden="1" customHeight="1">
      <c r="H60" s="169">
        <f>SUM(F57:F58)*(1+F59/100)*(1+G59/100)</f>
        <v>0</v>
      </c>
    </row>
    <row r="73" spans="6:6" ht="15" hidden="1" customHeight="1">
      <c r="F73" s="169">
        <f>F92</f>
        <v>0</v>
      </c>
    </row>
    <row r="77" spans="6:6" ht="15" hidden="1" customHeight="1">
      <c r="F77" s="169">
        <f>F75*F76</f>
        <v>0</v>
      </c>
    </row>
    <row r="78" spans="6:6" ht="15" hidden="1" customHeight="1">
      <c r="F78" s="169">
        <f>0.01*(F71+F74+F77)*(F66+F67)</f>
        <v>0</v>
      </c>
    </row>
  </sheetData>
  <mergeCells count="29">
    <mergeCell ref="B27:F27"/>
    <mergeCell ref="B13:F13"/>
    <mergeCell ref="B14:F14"/>
    <mergeCell ref="B15:F15"/>
    <mergeCell ref="B19:F19"/>
    <mergeCell ref="B20:F20"/>
    <mergeCell ref="B21:F21"/>
    <mergeCell ref="B22:F22"/>
    <mergeCell ref="B23:F23"/>
    <mergeCell ref="B24:F24"/>
    <mergeCell ref="B25:F25"/>
    <mergeCell ref="B26:F26"/>
    <mergeCell ref="B16:F16"/>
    <mergeCell ref="B17:F17"/>
    <mergeCell ref="B18:F18"/>
    <mergeCell ref="B51:F51"/>
    <mergeCell ref="B37:F37"/>
    <mergeCell ref="B38:F38"/>
    <mergeCell ref="B39:F39"/>
    <mergeCell ref="B40:F40"/>
    <mergeCell ref="B41:F41"/>
    <mergeCell ref="B42:F42"/>
    <mergeCell ref="B43:F43"/>
    <mergeCell ref="B44:F44"/>
    <mergeCell ref="B48:F48"/>
    <mergeCell ref="B49:F49"/>
    <mergeCell ref="B50:F50"/>
    <mergeCell ref="B45:F45"/>
    <mergeCell ref="B46:F46"/>
  </mergeCells>
  <pageMargins left="0.15748031496062992" right="0.15748031496062992" top="0.39370078740157483" bottom="0.59055118110236227" header="0.11811023622047245" footer="0.118110236220472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CC"/>
    <pageSetUpPr fitToPage="1"/>
  </sheetPr>
  <dimension ref="A1:K78"/>
  <sheetViews>
    <sheetView showGridLines="0" view="pageBreakPreview" zoomScale="85" zoomScaleNormal="60" zoomScaleSheetLayoutView="85" workbookViewId="0"/>
  </sheetViews>
  <sheetFormatPr defaultColWidth="0" defaultRowHeight="0" customHeight="1" zeroHeight="1"/>
  <cols>
    <col min="1" max="1" width="2.3515625" style="169" customWidth="1"/>
    <col min="2" max="2" width="8" style="169" customWidth="1"/>
    <col min="3" max="3" width="13.3515625" style="169" customWidth="1"/>
    <col min="4" max="5" width="8" style="169" customWidth="1"/>
    <col min="6" max="6" width="11.703125" style="169" customWidth="1"/>
    <col min="7" max="7" width="20.3515625" style="169" customWidth="1"/>
    <col min="8" max="8" width="2.3515625" style="169" customWidth="1"/>
    <col min="9" max="9" width="8.64453125" style="169" bestFit="1" customWidth="1"/>
    <col min="10" max="10" width="2.3515625" style="169" customWidth="1"/>
    <col min="11" max="11" width="11.1171875" style="345" bestFit="1" customWidth="1"/>
    <col min="12" max="12" width="2.3515625" style="169" customWidth="1"/>
    <col min="13" max="16384" width="0" style="169" hidden="1"/>
  </cols>
  <sheetData>
    <row r="1" spans="1:11" s="121" customFormat="1" ht="14.65">
      <c r="A1" s="126" t="s">
        <v>606</v>
      </c>
      <c r="E1" s="127"/>
      <c r="K1" s="346"/>
    </row>
    <row r="2" spans="1:11" s="121" customFormat="1" ht="14.65">
      <c r="A2" s="126" t="str">
        <f>CompName</f>
        <v>Scottish Hydro Electric Transmission Plc</v>
      </c>
      <c r="E2" s="127"/>
      <c r="K2" s="346"/>
    </row>
    <row r="3" spans="1:11" s="121" customFormat="1" ht="12.4">
      <c r="A3" s="128"/>
      <c r="C3" s="121" t="s">
        <v>249</v>
      </c>
      <c r="E3" s="127"/>
      <c r="K3" s="346"/>
    </row>
    <row r="4" spans="1:11" s="121" customFormat="1" ht="14.65">
      <c r="A4" s="126"/>
      <c r="E4" s="127"/>
      <c r="K4" s="346"/>
    </row>
    <row r="5" spans="1:11" ht="5.2" customHeight="1">
      <c r="K5" s="358"/>
    </row>
    <row r="6" spans="1:11" ht="13.9">
      <c r="C6" s="175" t="s">
        <v>248</v>
      </c>
      <c r="D6" s="175" t="str">
        <f>RegYr</f>
        <v>Regulatory Year ending 31 March 2019</v>
      </c>
      <c r="K6" s="358"/>
    </row>
    <row r="7" spans="1:11" ht="5.2" customHeight="1">
      <c r="K7" s="358"/>
    </row>
    <row r="8" spans="1:11" ht="13.9" hidden="1">
      <c r="A8" s="187"/>
      <c r="B8" s="187"/>
      <c r="C8" s="187"/>
      <c r="D8" s="187"/>
      <c r="E8" s="187"/>
      <c r="F8" s="188"/>
      <c r="G8" s="187"/>
      <c r="H8" s="187"/>
      <c r="I8" s="187"/>
      <c r="J8" s="187"/>
      <c r="K8" s="187"/>
    </row>
    <row r="9" spans="1:11" ht="13.9">
      <c r="A9" s="3"/>
      <c r="B9" s="3"/>
      <c r="C9" s="3"/>
      <c r="D9" s="3"/>
      <c r="E9" s="3"/>
      <c r="F9" s="189"/>
      <c r="G9" s="3"/>
      <c r="H9" s="3"/>
      <c r="I9" s="190" t="s">
        <v>1</v>
      </c>
      <c r="J9" s="3"/>
      <c r="K9" s="369" t="s">
        <v>1</v>
      </c>
    </row>
    <row r="10" spans="1:11" ht="13.9">
      <c r="A10" s="3"/>
      <c r="B10" s="191" t="s">
        <v>81</v>
      </c>
      <c r="C10" s="3"/>
      <c r="D10" s="3"/>
      <c r="E10" s="3"/>
      <c r="F10" s="189"/>
      <c r="G10" s="3"/>
      <c r="H10" s="3"/>
      <c r="I10" s="190"/>
      <c r="J10" s="3"/>
      <c r="K10" s="369"/>
    </row>
    <row r="11" spans="1:11" s="194" customFormat="1" ht="13.9">
      <c r="A11" s="3"/>
      <c r="B11" s="169" t="s">
        <v>80</v>
      </c>
      <c r="C11" s="3"/>
      <c r="D11" s="3"/>
      <c r="E11" s="3"/>
      <c r="F11" s="189"/>
      <c r="G11" s="3"/>
      <c r="H11" s="3"/>
      <c r="I11" s="133">
        <f>'R10 Correction'!J10</f>
        <v>0</v>
      </c>
      <c r="J11" s="193"/>
      <c r="K11" s="195"/>
    </row>
    <row r="12" spans="1:11" s="194" customFormat="1" ht="13.9">
      <c r="A12" s="3"/>
      <c r="B12" s="3"/>
      <c r="C12" s="196"/>
      <c r="D12" s="3"/>
      <c r="E12" s="3"/>
      <c r="F12" s="189"/>
      <c r="G12" s="189"/>
      <c r="H12" s="3"/>
      <c r="I12" s="195"/>
      <c r="J12" s="195"/>
      <c r="K12" s="370">
        <f>SUM(I11:I11)</f>
        <v>0</v>
      </c>
    </row>
    <row r="13" spans="1:11" s="194" customFormat="1" ht="5.2" customHeight="1">
      <c r="A13" s="197"/>
      <c r="B13" s="3"/>
      <c r="C13" s="3"/>
      <c r="D13" s="3"/>
      <c r="E13" s="3"/>
      <c r="F13" s="189"/>
      <c r="G13" s="189"/>
      <c r="H13" s="3"/>
      <c r="I13" s="195"/>
      <c r="J13" s="195"/>
      <c r="K13" s="195"/>
    </row>
    <row r="14" spans="1:11" s="194" customFormat="1" ht="13.9" hidden="1">
      <c r="A14" s="3"/>
      <c r="B14" s="3"/>
      <c r="C14" s="3"/>
      <c r="D14" s="3"/>
      <c r="E14" s="3"/>
      <c r="F14" s="189"/>
      <c r="G14" s="3"/>
      <c r="H14" s="3"/>
      <c r="I14" s="195"/>
      <c r="J14" s="195"/>
      <c r="K14" s="195"/>
    </row>
    <row r="15" spans="1:11" s="194" customFormat="1" ht="13.9" hidden="1">
      <c r="A15" s="3"/>
      <c r="B15" s="3"/>
      <c r="C15" s="3"/>
      <c r="D15" s="3"/>
      <c r="E15" s="3"/>
      <c r="F15" s="189"/>
      <c r="G15" s="3"/>
      <c r="H15" s="3"/>
      <c r="I15" s="195"/>
      <c r="J15" s="195"/>
      <c r="K15" s="195"/>
    </row>
    <row r="16" spans="1:11" s="194" customFormat="1" ht="13.9">
      <c r="A16" s="3"/>
      <c r="B16" s="3" t="s">
        <v>79</v>
      </c>
      <c r="C16" s="3"/>
      <c r="D16" s="3"/>
      <c r="E16" s="3"/>
      <c r="F16" s="189"/>
      <c r="G16" s="3"/>
      <c r="H16" s="3"/>
      <c r="I16" s="195"/>
      <c r="J16" s="195"/>
      <c r="K16" s="195"/>
    </row>
    <row r="17" spans="1:11" s="194" customFormat="1" ht="13.9">
      <c r="A17" s="3"/>
      <c r="B17" s="3"/>
      <c r="C17" s="3" t="s">
        <v>534</v>
      </c>
      <c r="D17" s="3"/>
      <c r="E17" s="3"/>
      <c r="F17" s="189"/>
      <c r="G17" s="3"/>
      <c r="H17" s="3"/>
      <c r="I17" s="317">
        <f>'R13 Excluded Revenue'!G29</f>
        <v>0</v>
      </c>
      <c r="J17" s="195"/>
      <c r="K17" s="195"/>
    </row>
    <row r="18" spans="1:11" s="194" customFormat="1" ht="13.9">
      <c r="A18" s="3"/>
      <c r="B18" s="3"/>
      <c r="C18" s="3" t="s">
        <v>78</v>
      </c>
      <c r="D18" s="3"/>
      <c r="E18" s="3"/>
      <c r="F18" s="189"/>
      <c r="G18" s="3"/>
      <c r="H18" s="3"/>
      <c r="I18" s="192"/>
      <c r="J18" s="195"/>
      <c r="K18" s="195"/>
    </row>
    <row r="19" spans="1:11" s="194" customFormat="1" ht="13.9">
      <c r="A19" s="3"/>
      <c r="B19" s="3"/>
      <c r="C19" s="3" t="s">
        <v>77</v>
      </c>
      <c r="D19" s="3"/>
      <c r="E19" s="3"/>
      <c r="F19" s="189"/>
      <c r="G19" s="3"/>
      <c r="H19" s="3"/>
      <c r="I19" s="133">
        <f>'R13 Excluded Revenue'!G53</f>
        <v>0</v>
      </c>
      <c r="J19" s="195"/>
      <c r="K19" s="195"/>
    </row>
    <row r="20" spans="1:11" s="194" customFormat="1" ht="13.9">
      <c r="A20" s="3"/>
      <c r="B20" s="3"/>
      <c r="C20" s="3"/>
      <c r="D20" s="3"/>
      <c r="E20" s="3"/>
      <c r="F20" s="189"/>
      <c r="G20" s="3"/>
      <c r="H20" s="3"/>
      <c r="I20" s="195"/>
      <c r="J20" s="195"/>
      <c r="K20" s="370">
        <f>SUM(I17:I19)</f>
        <v>0</v>
      </c>
    </row>
    <row r="21" spans="1:11" s="194" customFormat="1" ht="9" customHeight="1">
      <c r="A21" s="3"/>
      <c r="B21" s="3"/>
      <c r="C21" s="3"/>
      <c r="D21" s="3"/>
      <c r="E21" s="3"/>
      <c r="F21" s="189"/>
      <c r="G21" s="3"/>
      <c r="H21" s="3"/>
      <c r="I21" s="195"/>
      <c r="J21" s="195"/>
      <c r="K21" s="195"/>
    </row>
    <row r="22" spans="1:11" s="194" customFormat="1" ht="13.9">
      <c r="A22" s="3"/>
      <c r="B22" s="3" t="s">
        <v>76</v>
      </c>
      <c r="C22" s="3"/>
      <c r="D22" s="3"/>
      <c r="E22" s="3"/>
      <c r="F22" s="189"/>
      <c r="G22" s="3"/>
      <c r="H22" s="3"/>
      <c r="I22" s="195"/>
      <c r="J22" s="195"/>
      <c r="K22" s="195"/>
    </row>
    <row r="23" spans="1:11" s="194" customFormat="1" ht="13.9">
      <c r="A23" s="3"/>
      <c r="B23" s="3" t="s">
        <v>75</v>
      </c>
      <c r="C23" s="3"/>
      <c r="D23" s="3"/>
      <c r="E23" s="3"/>
      <c r="F23" s="189"/>
      <c r="G23" s="3"/>
      <c r="H23" s="3"/>
      <c r="I23" s="195"/>
      <c r="J23" s="195"/>
      <c r="K23" s="195"/>
    </row>
    <row r="24" spans="1:11" s="194" customFormat="1" ht="5.2" customHeight="1">
      <c r="A24" s="3"/>
      <c r="B24" s="3"/>
      <c r="C24" s="3"/>
      <c r="D24" s="3"/>
      <c r="E24" s="3"/>
      <c r="F24" s="189"/>
      <c r="G24" s="3"/>
      <c r="H24" s="3"/>
      <c r="I24" s="195"/>
      <c r="J24" s="195"/>
      <c r="K24" s="195"/>
    </row>
    <row r="25" spans="1:11" s="194" customFormat="1" ht="15" customHeight="1">
      <c r="A25" s="3"/>
      <c r="B25" s="405"/>
      <c r="C25" s="406"/>
      <c r="D25" s="406"/>
      <c r="E25" s="406"/>
      <c r="F25" s="406"/>
      <c r="G25" s="406"/>
      <c r="H25" s="3"/>
      <c r="I25" s="198"/>
      <c r="J25" s="195"/>
      <c r="K25" s="195"/>
    </row>
    <row r="26" spans="1:11" s="194" customFormat="1" ht="15" customHeight="1">
      <c r="A26" s="3"/>
      <c r="B26" s="405"/>
      <c r="C26" s="406"/>
      <c r="D26" s="406"/>
      <c r="E26" s="406"/>
      <c r="F26" s="406"/>
      <c r="G26" s="406"/>
      <c r="H26" s="3"/>
      <c r="I26" s="63"/>
      <c r="J26" s="195"/>
      <c r="K26" s="195"/>
    </row>
    <row r="27" spans="1:11" s="194" customFormat="1" ht="15" customHeight="1">
      <c r="A27" s="3"/>
      <c r="B27" s="405"/>
      <c r="C27" s="406"/>
      <c r="D27" s="406"/>
      <c r="E27" s="406"/>
      <c r="F27" s="406"/>
      <c r="G27" s="406"/>
      <c r="H27" s="199"/>
      <c r="I27" s="63"/>
      <c r="J27" s="195"/>
      <c r="K27" s="195"/>
    </row>
    <row r="28" spans="1:11" s="194" customFormat="1" ht="15" customHeight="1">
      <c r="A28" s="3"/>
      <c r="B28" s="405"/>
      <c r="C28" s="410"/>
      <c r="D28" s="410"/>
      <c r="E28" s="410"/>
      <c r="F28" s="410"/>
      <c r="G28" s="410"/>
      <c r="H28" s="199"/>
      <c r="I28" s="63"/>
      <c r="J28" s="195"/>
      <c r="K28" s="195"/>
    </row>
    <row r="29" spans="1:11" s="194" customFormat="1" ht="15" customHeight="1">
      <c r="A29" s="3"/>
      <c r="B29" s="407"/>
      <c r="C29" s="408"/>
      <c r="D29" s="408"/>
      <c r="E29" s="408"/>
      <c r="F29" s="408"/>
      <c r="G29" s="409"/>
      <c r="H29" s="3"/>
      <c r="I29" s="63"/>
      <c r="J29" s="195"/>
      <c r="K29" s="195"/>
    </row>
    <row r="30" spans="1:11" s="194" customFormat="1" ht="15" customHeight="1">
      <c r="A30" s="3"/>
      <c r="B30" s="407"/>
      <c r="C30" s="408"/>
      <c r="D30" s="408"/>
      <c r="E30" s="408"/>
      <c r="F30" s="408"/>
      <c r="G30" s="409"/>
      <c r="H30" s="199"/>
      <c r="I30" s="63"/>
      <c r="J30" s="195"/>
      <c r="K30" s="195"/>
    </row>
    <row r="31" spans="1:11" s="194" customFormat="1" ht="15" customHeight="1">
      <c r="A31" s="3"/>
      <c r="B31" s="407"/>
      <c r="C31" s="408"/>
      <c r="D31" s="408"/>
      <c r="E31" s="408"/>
      <c r="F31" s="408"/>
      <c r="G31" s="409"/>
      <c r="H31" s="3"/>
      <c r="I31" s="63"/>
      <c r="J31" s="195"/>
      <c r="K31" s="195"/>
    </row>
    <row r="32" spans="1:11" s="194" customFormat="1" ht="13.9">
      <c r="A32" s="3"/>
      <c r="B32" s="407"/>
      <c r="C32" s="408"/>
      <c r="D32" s="408"/>
      <c r="E32" s="408"/>
      <c r="F32" s="408"/>
      <c r="G32" s="409"/>
      <c r="H32" s="199"/>
      <c r="I32" s="63"/>
      <c r="J32" s="195"/>
      <c r="K32" s="195"/>
    </row>
    <row r="33" spans="1:11" s="194" customFormat="1" ht="13.9">
      <c r="A33" s="3"/>
      <c r="B33" s="407"/>
      <c r="C33" s="408"/>
      <c r="D33" s="408"/>
      <c r="E33" s="408"/>
      <c r="F33" s="408"/>
      <c r="G33" s="409"/>
      <c r="H33" s="199"/>
      <c r="I33" s="63"/>
      <c r="J33" s="195"/>
      <c r="K33" s="195"/>
    </row>
    <row r="34" spans="1:11" s="194" customFormat="1" ht="15" customHeight="1">
      <c r="A34" s="3"/>
      <c r="B34" s="407"/>
      <c r="C34" s="408"/>
      <c r="D34" s="408"/>
      <c r="E34" s="408"/>
      <c r="F34" s="408"/>
      <c r="G34" s="409"/>
      <c r="H34" s="3"/>
      <c r="I34" s="63"/>
      <c r="J34" s="195"/>
      <c r="K34" s="195"/>
    </row>
    <row r="35" spans="1:11" s="194" customFormat="1" ht="13.9">
      <c r="A35" s="3"/>
      <c r="B35" s="3"/>
      <c r="C35" s="3"/>
      <c r="D35" s="3"/>
      <c r="E35" s="3"/>
      <c r="F35" s="189"/>
      <c r="G35" s="3"/>
      <c r="H35" s="3"/>
      <c r="I35" s="195"/>
      <c r="J35" s="195"/>
      <c r="K35" s="370">
        <f>SUM(I25:I34)</f>
        <v>0</v>
      </c>
    </row>
    <row r="36" spans="1:11" s="194" customFormat="1" ht="13.9">
      <c r="A36" s="3"/>
      <c r="B36" s="3"/>
      <c r="C36" s="3"/>
      <c r="D36" s="3"/>
      <c r="E36" s="3"/>
      <c r="F36" s="3"/>
      <c r="G36" s="3"/>
      <c r="H36" s="3"/>
      <c r="I36" s="193"/>
      <c r="J36" s="195"/>
      <c r="K36" s="195"/>
    </row>
    <row r="37" spans="1:11" s="194" customFormat="1" ht="14.25" thickBot="1">
      <c r="A37" s="3"/>
      <c r="B37" s="3"/>
      <c r="C37" s="191"/>
      <c r="D37" s="191"/>
      <c r="E37" s="3"/>
      <c r="F37" s="189"/>
      <c r="G37" s="203" t="s">
        <v>381</v>
      </c>
      <c r="H37" s="3"/>
      <c r="I37" s="195"/>
      <c r="J37" s="195"/>
      <c r="K37" s="371">
        <f>K12+K20+K35</f>
        <v>0</v>
      </c>
    </row>
    <row r="38" spans="1:11" s="194" customFormat="1" ht="14.25" thickTop="1">
      <c r="A38" s="3"/>
      <c r="B38" s="3"/>
      <c r="C38" s="3"/>
      <c r="D38" s="3"/>
      <c r="E38" s="3"/>
      <c r="F38" s="189"/>
      <c r="G38" s="3"/>
      <c r="H38" s="3"/>
      <c r="I38" s="200"/>
      <c r="J38" s="200"/>
      <c r="K38" s="359"/>
    </row>
    <row r="39" spans="1:11" s="194" customFormat="1" ht="13.9">
      <c r="A39" s="3"/>
      <c r="B39" s="3"/>
      <c r="C39" s="3"/>
      <c r="D39" s="3"/>
      <c r="E39" s="3"/>
      <c r="F39" s="189"/>
      <c r="G39" s="3"/>
      <c r="H39" s="3"/>
      <c r="I39" s="201"/>
      <c r="J39" s="201"/>
      <c r="K39" s="360"/>
    </row>
    <row r="40" spans="1:11" s="194" customFormat="1" ht="13.9">
      <c r="A40" s="3"/>
      <c r="B40" s="3"/>
      <c r="C40" s="3"/>
      <c r="D40" s="3"/>
      <c r="E40" s="3"/>
      <c r="F40" s="189"/>
      <c r="G40" s="3"/>
      <c r="H40" s="3"/>
      <c r="I40" s="201"/>
      <c r="J40" s="201"/>
      <c r="K40" s="360"/>
    </row>
    <row r="41" spans="1:11" s="194" customFormat="1" ht="13.9">
      <c r="A41" s="202" t="s">
        <v>74</v>
      </c>
      <c r="B41" s="3"/>
      <c r="C41" s="3"/>
      <c r="D41" s="3"/>
      <c r="E41" s="3"/>
      <c r="F41" s="189"/>
      <c r="G41" s="3"/>
      <c r="H41" s="3"/>
      <c r="I41" s="201"/>
      <c r="J41" s="201"/>
      <c r="K41" s="360"/>
    </row>
    <row r="42" spans="1:11" ht="13.9">
      <c r="A42" s="3"/>
      <c r="B42" s="3"/>
      <c r="C42" s="3"/>
      <c r="D42" s="3"/>
      <c r="E42" s="3"/>
      <c r="F42" s="189"/>
      <c r="G42" s="3"/>
      <c r="H42" s="3"/>
      <c r="I42" s="3"/>
      <c r="J42" s="3"/>
      <c r="K42" s="187"/>
    </row>
    <row r="43" spans="1:11" ht="13.9">
      <c r="A43" s="414"/>
      <c r="B43" s="414"/>
      <c r="C43" s="414"/>
      <c r="D43" s="414"/>
      <c r="E43" s="414"/>
      <c r="F43" s="414"/>
      <c r="G43" s="415"/>
      <c r="H43" s="415"/>
      <c r="I43" s="415"/>
      <c r="J43" s="415"/>
      <c r="K43" s="416"/>
    </row>
    <row r="44" spans="1:11" ht="13.9">
      <c r="A44" s="414"/>
      <c r="B44" s="414"/>
      <c r="C44" s="414"/>
      <c r="D44" s="414"/>
      <c r="E44" s="414"/>
      <c r="F44" s="414"/>
      <c r="G44" s="415"/>
      <c r="H44" s="415"/>
      <c r="I44" s="415"/>
      <c r="J44" s="415"/>
      <c r="K44" s="416"/>
    </row>
    <row r="45" spans="1:11" ht="13.9">
      <c r="A45" s="411"/>
      <c r="B45" s="411"/>
      <c r="C45" s="411"/>
      <c r="D45" s="411"/>
      <c r="E45" s="411"/>
      <c r="F45" s="411"/>
      <c r="G45" s="412"/>
      <c r="H45" s="412"/>
      <c r="I45" s="412"/>
      <c r="J45" s="412"/>
      <c r="K45" s="413"/>
    </row>
    <row r="46" spans="1:11" ht="13.9">
      <c r="A46" s="411"/>
      <c r="B46" s="411"/>
      <c r="C46" s="411"/>
      <c r="D46" s="411"/>
      <c r="E46" s="411"/>
      <c r="F46" s="411"/>
      <c r="G46" s="412"/>
      <c r="H46" s="412"/>
      <c r="I46" s="412"/>
      <c r="J46" s="412"/>
      <c r="K46" s="413"/>
    </row>
    <row r="47" spans="1:11" ht="13.9">
      <c r="A47" s="411"/>
      <c r="B47" s="411"/>
      <c r="C47" s="411"/>
      <c r="D47" s="411"/>
      <c r="E47" s="411"/>
      <c r="F47" s="411"/>
      <c r="G47" s="412"/>
      <c r="H47" s="412"/>
      <c r="I47" s="412"/>
      <c r="J47" s="412"/>
      <c r="K47" s="413"/>
    </row>
    <row r="48" spans="1:11" ht="13.9">
      <c r="A48" s="411"/>
      <c r="B48" s="411"/>
      <c r="C48" s="411"/>
      <c r="D48" s="411"/>
      <c r="E48" s="411"/>
      <c r="F48" s="411"/>
      <c r="G48" s="412"/>
      <c r="H48" s="412"/>
      <c r="I48" s="412"/>
      <c r="J48" s="412"/>
      <c r="K48" s="413"/>
    </row>
    <row r="49" spans="1:11" ht="13.9">
      <c r="A49" s="411"/>
      <c r="B49" s="411"/>
      <c r="C49" s="411"/>
      <c r="D49" s="411"/>
      <c r="E49" s="411"/>
      <c r="F49" s="411"/>
      <c r="G49" s="412"/>
      <c r="H49" s="412"/>
      <c r="I49" s="412"/>
      <c r="J49" s="412"/>
      <c r="K49" s="413"/>
    </row>
    <row r="50" spans="1:11" ht="13.9">
      <c r="K50" s="358"/>
    </row>
    <row r="51" spans="1:11" ht="13.9">
      <c r="K51" s="358"/>
    </row>
    <row r="52" spans="1:11" ht="15" customHeight="1">
      <c r="K52" s="358"/>
    </row>
    <row r="53" spans="1:11" ht="15" customHeight="1">
      <c r="K53" s="358"/>
    </row>
    <row r="54" spans="1:11" ht="15" customHeight="1">
      <c r="K54" s="358"/>
    </row>
    <row r="55" spans="1:11" ht="15" customHeight="1">
      <c r="K55" s="358"/>
    </row>
    <row r="56" spans="1:11" ht="15" customHeight="1">
      <c r="K56" s="358"/>
    </row>
    <row r="57" spans="1:11" ht="15" customHeight="1">
      <c r="K57" s="358"/>
    </row>
    <row r="59" spans="1:11" ht="0" hidden="1" customHeight="1">
      <c r="F59" s="169">
        <f>It</f>
        <v>0.5</v>
      </c>
    </row>
    <row r="60" spans="1:11" ht="0" hidden="1" customHeight="1">
      <c r="H60" s="169">
        <f>SUM(F57:F58)*(1+F59/100)*(1+G59/100)</f>
        <v>0</v>
      </c>
    </row>
    <row r="73" spans="6:6" ht="0" hidden="1" customHeight="1">
      <c r="F73" s="169">
        <f>F92</f>
        <v>0</v>
      </c>
    </row>
    <row r="77" spans="6:6" ht="0" hidden="1" customHeight="1">
      <c r="F77" s="169">
        <f>F75*F76</f>
        <v>0</v>
      </c>
    </row>
    <row r="78" spans="6:6" ht="0" hidden="1" customHeight="1">
      <c r="F78" s="169">
        <f>0.01*(F71+F74+F77)*(F66+F67)</f>
        <v>0</v>
      </c>
    </row>
  </sheetData>
  <mergeCells count="17">
    <mergeCell ref="A48:K48"/>
    <mergeCell ref="A43:K43"/>
    <mergeCell ref="A49:K49"/>
    <mergeCell ref="A44:K44"/>
    <mergeCell ref="A45:K45"/>
    <mergeCell ref="A46:K46"/>
    <mergeCell ref="A47:K47"/>
    <mergeCell ref="B25:G25"/>
    <mergeCell ref="B26:G26"/>
    <mergeCell ref="B31:G31"/>
    <mergeCell ref="B34:G34"/>
    <mergeCell ref="B30:G30"/>
    <mergeCell ref="B27:G27"/>
    <mergeCell ref="B28:G28"/>
    <mergeCell ref="B29:G29"/>
    <mergeCell ref="B32:G32"/>
    <mergeCell ref="B33:G33"/>
  </mergeCells>
  <pageMargins left="0.15748031496062992" right="0.15748031496062992" top="0.59055118110236227" bottom="0.59055118110236227" header="0.11811023622047245" footer="0.11811023622047245"/>
  <pageSetup paperSize="9" scale="93" orientation="portrait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N81"/>
  <sheetViews>
    <sheetView workbookViewId="0"/>
  </sheetViews>
  <sheetFormatPr defaultColWidth="0" defaultRowHeight="12.75" customHeight="1" zeroHeight="1"/>
  <cols>
    <col min="1" max="1" width="20.3515625" style="27" customWidth="1"/>
    <col min="2" max="4" width="9" style="27" customWidth="1"/>
    <col min="5" max="5" width="9" style="28" customWidth="1"/>
    <col min="6" max="14" width="9" style="27" customWidth="1"/>
    <col min="15" max="16384" width="9" style="27" hidden="1"/>
  </cols>
  <sheetData>
    <row r="1" spans="1:14" s="22" customFormat="1" ht="17.649999999999999">
      <c r="A1" s="21" t="s">
        <v>96</v>
      </c>
      <c r="C1" s="23"/>
      <c r="E1" s="24"/>
    </row>
    <row r="2" spans="1:14" s="22" customFormat="1" ht="17.649999999999999">
      <c r="A2" s="21" t="str">
        <f>CompName</f>
        <v>Scottish Hydro Electric Transmission Plc</v>
      </c>
      <c r="C2" s="23"/>
      <c r="E2" s="24"/>
    </row>
    <row r="3" spans="1:14" s="22" customFormat="1" ht="12.4">
      <c r="A3" s="8" t="str">
        <f>'R5 Input page'!F7</f>
        <v>Regulatory Year ending 31 March 2019</v>
      </c>
      <c r="E3" s="24"/>
    </row>
    <row r="4" spans="1:14" ht="12.4">
      <c r="A4" s="25"/>
      <c r="B4" s="25"/>
      <c r="C4" s="25"/>
      <c r="D4" s="25"/>
      <c r="E4" s="26"/>
      <c r="F4" s="25"/>
      <c r="G4" s="25"/>
      <c r="H4" s="25"/>
      <c r="I4" s="25"/>
      <c r="J4" s="25"/>
      <c r="K4" s="25"/>
      <c r="L4" s="25"/>
      <c r="M4" s="25"/>
      <c r="N4" s="25"/>
    </row>
    <row r="5" spans="1:14" ht="12.4">
      <c r="A5" s="25"/>
      <c r="B5" s="25"/>
      <c r="C5" s="25"/>
      <c r="D5" s="25"/>
      <c r="E5" s="26"/>
      <c r="F5" s="25"/>
      <c r="G5" s="25"/>
      <c r="H5" s="25"/>
      <c r="I5" s="25"/>
      <c r="J5" s="25"/>
      <c r="K5" s="25"/>
      <c r="L5" s="25"/>
      <c r="M5" s="25"/>
      <c r="N5" s="25"/>
    </row>
    <row r="6" spans="1:14" ht="12.4">
      <c r="A6" s="25"/>
      <c r="B6" s="25"/>
      <c r="C6" s="25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</row>
    <row r="7" spans="1:14" ht="12.4">
      <c r="A7" s="25"/>
      <c r="B7" s="25"/>
      <c r="C7" s="25"/>
      <c r="D7" s="25"/>
      <c r="E7" s="26"/>
      <c r="F7" s="25"/>
      <c r="G7" s="25"/>
      <c r="H7" s="25"/>
      <c r="I7" s="25"/>
      <c r="J7" s="25"/>
      <c r="K7" s="25"/>
      <c r="L7" s="25"/>
      <c r="M7" s="25"/>
      <c r="N7" s="25"/>
    </row>
    <row r="8" spans="1:14" ht="12.4">
      <c r="A8" s="25"/>
      <c r="B8" s="25"/>
      <c r="C8" s="25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</row>
    <row r="9" spans="1:14" ht="12.4">
      <c r="A9" s="25"/>
      <c r="B9" s="25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</row>
    <row r="10" spans="1:14" ht="12.4">
      <c r="A10" s="25"/>
      <c r="B10" s="25"/>
      <c r="C10" s="25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4">
      <c r="A11" s="25"/>
      <c r="B11" s="25"/>
      <c r="C11" s="25"/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4">
      <c r="A12" s="25"/>
      <c r="B12" s="25"/>
      <c r="C12" s="25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2.4">
      <c r="A13" s="25"/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4">
      <c r="A14" s="25"/>
      <c r="B14" s="25"/>
      <c r="C14" s="25"/>
      <c r="D14" s="25"/>
      <c r="E14" s="26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12.4">
      <c r="A15" s="25"/>
      <c r="B15" s="25"/>
      <c r="C15" s="25"/>
      <c r="D15" s="25"/>
      <c r="E15" s="26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12.4">
      <c r="A16" s="25"/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2.9">
      <c r="A17" s="25"/>
      <c r="B17" s="25"/>
      <c r="C17" s="25"/>
      <c r="D17" s="25"/>
      <c r="E17" s="26"/>
      <c r="F17" s="25"/>
      <c r="G17" s="25"/>
      <c r="H17" s="25"/>
      <c r="I17" s="25"/>
      <c r="J17" s="25"/>
      <c r="K17" s="52"/>
      <c r="L17" s="25"/>
      <c r="M17" s="25"/>
      <c r="N17" s="25"/>
    </row>
    <row r="18" spans="1:14" ht="12.4">
      <c r="A18" s="25"/>
      <c r="B18" s="25"/>
      <c r="C18" s="25"/>
      <c r="D18" s="25"/>
      <c r="E18" s="26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2.4">
      <c r="A19" s="25"/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2.4">
      <c r="A20" s="25"/>
      <c r="B20" s="25"/>
      <c r="C20" s="25"/>
      <c r="D20" s="25"/>
      <c r="E20" s="26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2.4">
      <c r="A21" s="25"/>
      <c r="B21" s="25"/>
      <c r="C21" s="25"/>
      <c r="D21" s="25"/>
      <c r="E21" s="26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2.4">
      <c r="A22" s="25"/>
      <c r="B22" s="25"/>
      <c r="C22" s="25"/>
      <c r="D22" s="25"/>
      <c r="E22" s="26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2.4">
      <c r="A23" s="25"/>
      <c r="B23" s="25"/>
      <c r="C23" s="25"/>
      <c r="D23" s="25"/>
      <c r="E23" s="26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12.4">
      <c r="A24" s="25"/>
      <c r="B24" s="25"/>
      <c r="C24" s="25"/>
      <c r="D24" s="25"/>
      <c r="E24" s="26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2.4">
      <c r="A25" s="25"/>
      <c r="B25" s="25"/>
      <c r="C25" s="25"/>
      <c r="D25" s="25"/>
      <c r="E25" s="26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4">
      <c r="A26" s="25"/>
      <c r="B26" s="25"/>
      <c r="C26" s="25"/>
      <c r="D26" s="25"/>
      <c r="E26" s="26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12.4">
      <c r="A27" s="25"/>
      <c r="B27" s="25"/>
      <c r="C27" s="25"/>
      <c r="D27" s="25"/>
      <c r="E27" s="26"/>
      <c r="F27" s="25"/>
      <c r="G27" s="25"/>
      <c r="H27" s="25"/>
      <c r="I27" s="25"/>
      <c r="J27" s="25"/>
      <c r="K27" s="25"/>
      <c r="L27" s="25"/>
      <c r="M27" s="25"/>
      <c r="N27" s="25"/>
    </row>
    <row r="28" spans="1:14" ht="12.4">
      <c r="A28" s="25"/>
      <c r="B28" s="25"/>
      <c r="C28" s="25"/>
      <c r="D28" s="25"/>
      <c r="E28" s="26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2.4">
      <c r="A29" s="25"/>
      <c r="B29" s="25"/>
      <c r="C29" s="25"/>
      <c r="D29" s="25"/>
      <c r="E29" s="26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2.4" hidden="1">
      <c r="A30" s="25"/>
      <c r="B30" s="25"/>
      <c r="C30" s="25"/>
      <c r="D30" s="25"/>
      <c r="E30" s="26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2.4" hidden="1">
      <c r="A31" s="25"/>
      <c r="B31" s="25"/>
      <c r="C31" s="25"/>
      <c r="D31" s="25"/>
      <c r="E31" s="26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4" hidden="1">
      <c r="A32" s="25"/>
      <c r="B32" s="25"/>
      <c r="C32" s="25"/>
      <c r="D32" s="25"/>
      <c r="E32" s="26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4" hidden="1">
      <c r="A33" s="25"/>
      <c r="B33" s="25"/>
      <c r="C33" s="25"/>
      <c r="D33" s="25"/>
      <c r="E33" s="26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4" hidden="1">
      <c r="A34" s="25"/>
      <c r="B34" s="25"/>
      <c r="C34" s="25"/>
      <c r="D34" s="25"/>
      <c r="E34" s="26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2.4" hidden="1">
      <c r="A35" s="25"/>
      <c r="B35" s="25"/>
      <c r="C35" s="25"/>
      <c r="D35" s="25"/>
      <c r="E35" s="26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2.4" hidden="1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2.4" hidden="1">
      <c r="A37" s="25"/>
      <c r="B37" s="25"/>
      <c r="C37" s="25"/>
      <c r="D37" s="25"/>
      <c r="E37" s="26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2.4" hidden="1">
      <c r="A38" s="25"/>
      <c r="B38" s="25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12.4" hidden="1">
      <c r="A39" s="25"/>
      <c r="B39" s="25"/>
      <c r="C39" s="25"/>
      <c r="D39" s="25"/>
      <c r="E39" s="26"/>
      <c r="F39" s="25"/>
      <c r="G39" s="25"/>
      <c r="H39" s="25"/>
      <c r="I39" s="25"/>
      <c r="J39" s="25"/>
      <c r="K39" s="25"/>
      <c r="L39" s="25"/>
      <c r="M39" s="25"/>
      <c r="N39" s="25"/>
    </row>
    <row r="40" spans="1:14" ht="12.4" hidden="1">
      <c r="A40" s="25"/>
      <c r="B40" s="25"/>
      <c r="C40" s="25"/>
      <c r="D40" s="25"/>
      <c r="E40" s="26"/>
      <c r="F40" s="25"/>
      <c r="G40" s="25"/>
      <c r="H40" s="25"/>
      <c r="I40" s="25"/>
      <c r="J40" s="25"/>
      <c r="K40" s="25"/>
      <c r="L40" s="25"/>
      <c r="M40" s="25"/>
      <c r="N40" s="25"/>
    </row>
    <row r="41" spans="1:14" ht="12.4" hidden="1">
      <c r="A41" s="25"/>
      <c r="B41" s="25"/>
      <c r="C41" s="25"/>
      <c r="D41" s="25"/>
      <c r="E41" s="26"/>
      <c r="F41" s="25"/>
      <c r="G41" s="25"/>
      <c r="H41" s="25"/>
      <c r="I41" s="25"/>
      <c r="J41" s="25"/>
      <c r="K41" s="25"/>
      <c r="L41" s="25"/>
      <c r="M41" s="25"/>
      <c r="N41" s="25"/>
    </row>
    <row r="42" spans="1:14" ht="12.4" hidden="1">
      <c r="A42" s="25"/>
      <c r="B42" s="25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2.4" hidden="1">
      <c r="A43" s="25"/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2.4" hidden="1">
      <c r="A44" s="25"/>
      <c r="B44" s="25"/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2.4" hidden="1">
      <c r="A45" s="25"/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2.4" hidden="1">
      <c r="A46" s="25"/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2.4" hidden="1">
      <c r="A47" s="25"/>
      <c r="B47" s="25"/>
      <c r="C47" s="25"/>
      <c r="D47" s="25"/>
      <c r="E47" s="26"/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2.4" hidden="1">
      <c r="A48" s="25"/>
      <c r="B48" s="25"/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2.4" hidden="1">
      <c r="A49" s="25"/>
      <c r="B49" s="25"/>
      <c r="C49" s="25"/>
      <c r="D49" s="25"/>
      <c r="E49" s="26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2.4" hidden="1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5"/>
      <c r="N50" s="25"/>
    </row>
    <row r="51" spans="1:14" ht="12.4" hidden="1">
      <c r="A51" s="25"/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2.4" hidden="1">
      <c r="A52" s="25"/>
      <c r="B52" s="25"/>
      <c r="C52" s="25"/>
      <c r="D52" s="25"/>
      <c r="E52" s="26"/>
      <c r="F52" s="25"/>
      <c r="G52" s="25"/>
      <c r="H52" s="25"/>
      <c r="I52" s="25"/>
      <c r="J52" s="25"/>
      <c r="K52" s="25"/>
      <c r="L52" s="25"/>
      <c r="M52" s="25"/>
      <c r="N52" s="25"/>
    </row>
    <row r="53" spans="1:14" ht="12.4" hidden="1">
      <c r="A53" s="25"/>
      <c r="B53" s="25"/>
      <c r="C53" s="25"/>
      <c r="D53" s="25"/>
      <c r="E53" s="26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2.4" hidden="1">
      <c r="A54" s="25"/>
      <c r="B54" s="25"/>
      <c r="C54" s="25"/>
      <c r="D54" s="25"/>
      <c r="E54" s="26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2.4" hidden="1">
      <c r="A55" s="25"/>
      <c r="B55" s="25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2.4" hidden="1">
      <c r="A56" s="25"/>
      <c r="B56" s="25"/>
      <c r="C56" s="25"/>
      <c r="D56" s="25"/>
      <c r="E56" s="26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2.4" hidden="1">
      <c r="A57" s="25"/>
      <c r="B57" s="25"/>
      <c r="C57" s="25"/>
      <c r="D57" s="25"/>
      <c r="E57" s="26"/>
      <c r="F57" s="25">
        <f>IF(SER&lt;F68*SERLIMIT,SER,F68*SERLIMIT)</f>
        <v>0</v>
      </c>
      <c r="G57" s="25"/>
      <c r="H57" s="25"/>
      <c r="I57" s="25"/>
      <c r="J57" s="25"/>
      <c r="K57" s="25"/>
      <c r="L57" s="25"/>
      <c r="M57" s="25"/>
      <c r="N57" s="25"/>
    </row>
    <row r="58" spans="1:14" ht="12.4" hidden="1">
      <c r="A58" s="25"/>
      <c r="B58" s="25"/>
      <c r="C58" s="25"/>
      <c r="D58" s="25"/>
      <c r="E58" s="26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2.4" hidden="1">
      <c r="A59" s="25"/>
      <c r="B59" s="25"/>
      <c r="C59" s="25"/>
      <c r="D59" s="25"/>
      <c r="E59" s="26"/>
      <c r="F59" s="25">
        <f>It</f>
        <v>0.5</v>
      </c>
      <c r="G59" s="25"/>
      <c r="H59" s="25"/>
      <c r="I59" s="25"/>
      <c r="J59" s="25"/>
      <c r="K59" s="25"/>
      <c r="L59" s="25"/>
      <c r="M59" s="25"/>
      <c r="N59" s="25"/>
    </row>
    <row r="60" spans="1:14" ht="12.4" hidden="1">
      <c r="A60" s="25"/>
      <c r="B60" s="25"/>
      <c r="C60" s="25"/>
      <c r="D60" s="25"/>
      <c r="E60" s="26"/>
      <c r="F60" s="25"/>
      <c r="G60" s="25"/>
      <c r="H60" s="25">
        <f>SUM(F57:F58)*(1+F59/100)*(1+G59/100)</f>
        <v>0</v>
      </c>
      <c r="I60" s="25"/>
      <c r="J60" s="25"/>
      <c r="K60" s="25"/>
      <c r="L60" s="25"/>
      <c r="M60" s="25"/>
      <c r="N60" s="25"/>
    </row>
    <row r="61" spans="1:14" ht="12.4" hidden="1">
      <c r="A61" s="25"/>
      <c r="B61" s="25"/>
      <c r="C61" s="25"/>
      <c r="D61" s="25"/>
      <c r="E61" s="26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12.4" hidden="1">
      <c r="A62" s="25"/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5"/>
      <c r="N62" s="25"/>
    </row>
    <row r="63" spans="1:14" ht="12.4" hidden="1">
      <c r="A63" s="25"/>
      <c r="B63" s="25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4" hidden="1">
      <c r="A64" s="25"/>
      <c r="B64" s="25"/>
      <c r="C64" s="25"/>
      <c r="D64" s="25"/>
      <c r="E64" s="26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4" hidden="1">
      <c r="A65" s="25"/>
      <c r="B65" s="25"/>
      <c r="C65" s="25"/>
      <c r="D65" s="25"/>
      <c r="E65" s="26"/>
      <c r="F65" s="25"/>
      <c r="G65" s="25"/>
      <c r="H65" s="25"/>
      <c r="I65" s="25"/>
      <c r="J65" s="25"/>
      <c r="K65" s="25"/>
      <c r="L65" s="25"/>
      <c r="M65" s="25"/>
      <c r="N65" s="25"/>
    </row>
    <row r="66" spans="1:14" ht="12.4" hidden="1">
      <c r="A66" s="25"/>
      <c r="B66" s="25"/>
      <c r="C66" s="25"/>
      <c r="D66" s="25"/>
      <c r="E66" s="26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2.4" hidden="1">
      <c r="A67" s="25"/>
      <c r="B67" s="25"/>
      <c r="C67" s="25"/>
      <c r="D67" s="25"/>
      <c r="E67" s="26"/>
      <c r="F67" s="25"/>
      <c r="G67" s="25"/>
      <c r="H67" s="25"/>
      <c r="I67" s="25"/>
      <c r="J67" s="25"/>
      <c r="K67" s="25"/>
      <c r="L67" s="25"/>
      <c r="M67" s="25"/>
      <c r="N67" s="25"/>
    </row>
    <row r="68" spans="1:14" ht="12.4" hidden="1">
      <c r="A68" s="25"/>
      <c r="B68" s="25"/>
      <c r="C68" s="25"/>
      <c r="D68" s="25"/>
      <c r="E68" s="26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2.4" hidden="1">
      <c r="A69" s="25"/>
      <c r="B69" s="25"/>
      <c r="C69" s="25"/>
      <c r="D69" s="25"/>
      <c r="E69" s="26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4" hidden="1">
      <c r="A70" s="25"/>
      <c r="B70" s="25"/>
      <c r="C70" s="25"/>
      <c r="D70" s="25"/>
      <c r="E70" s="26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4" hidden="1">
      <c r="A71" s="25"/>
      <c r="B71" s="25"/>
      <c r="C71" s="25"/>
      <c r="D71" s="25"/>
      <c r="E71" s="26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4" hidden="1">
      <c r="A72" s="25"/>
      <c r="B72" s="25"/>
      <c r="C72" s="25"/>
      <c r="D72" s="25"/>
      <c r="E72" s="26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12.4" hidden="1">
      <c r="A73" s="25"/>
      <c r="B73" s="25"/>
      <c r="C73" s="25"/>
      <c r="D73" s="25"/>
      <c r="E73" s="26"/>
      <c r="F73" s="25">
        <f>F92</f>
        <v>0</v>
      </c>
      <c r="G73" s="25"/>
      <c r="H73" s="25"/>
      <c r="I73" s="25"/>
      <c r="J73" s="25"/>
      <c r="K73" s="25"/>
      <c r="L73" s="25"/>
      <c r="M73" s="25"/>
      <c r="N73" s="25"/>
    </row>
    <row r="74" spans="1:14" ht="12.4" hidden="1">
      <c r="A74" s="25"/>
      <c r="B74" s="25"/>
      <c r="C74" s="25"/>
      <c r="D74" s="25"/>
      <c r="E74" s="26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4" hidden="1">
      <c r="A75" s="25"/>
      <c r="B75" s="25"/>
      <c r="C75" s="25"/>
      <c r="D75" s="25"/>
      <c r="E75" s="26"/>
      <c r="F75" s="25"/>
      <c r="G75" s="25"/>
      <c r="H75" s="25"/>
      <c r="I75" s="25"/>
      <c r="J75" s="25"/>
      <c r="K75" s="25"/>
      <c r="L75" s="25"/>
      <c r="M75" s="25"/>
      <c r="N75" s="25"/>
    </row>
    <row r="76" spans="1:14" ht="12.4" hidden="1">
      <c r="A76" s="25"/>
      <c r="B76" s="25"/>
      <c r="C76" s="25"/>
      <c r="D76" s="25"/>
      <c r="E76" s="26"/>
      <c r="F76" s="25"/>
      <c r="G76" s="25"/>
      <c r="H76" s="25"/>
      <c r="I76" s="25"/>
      <c r="J76" s="25"/>
      <c r="K76" s="25"/>
      <c r="L76" s="25"/>
      <c r="M76" s="25"/>
      <c r="N76" s="25"/>
    </row>
    <row r="77" spans="1:14" ht="12.4" hidden="1">
      <c r="A77" s="25"/>
      <c r="B77" s="25"/>
      <c r="C77" s="25"/>
      <c r="D77" s="25"/>
      <c r="E77" s="26"/>
      <c r="F77" s="25">
        <f>F75*F76</f>
        <v>0</v>
      </c>
      <c r="G77" s="25"/>
      <c r="H77" s="25"/>
      <c r="I77" s="25"/>
      <c r="J77" s="25"/>
      <c r="K77" s="25"/>
      <c r="L77" s="25"/>
      <c r="M77" s="25"/>
      <c r="N77" s="25"/>
    </row>
    <row r="78" spans="1:14" ht="12.4" hidden="1">
      <c r="A78" s="25"/>
      <c r="B78" s="25"/>
      <c r="C78" s="25"/>
      <c r="D78" s="25"/>
      <c r="E78" s="26"/>
      <c r="F78" s="25">
        <f>0.01*(F71+F74+F77)*(F66+F67)</f>
        <v>0</v>
      </c>
      <c r="G78" s="25"/>
      <c r="H78" s="25"/>
      <c r="I78" s="25"/>
      <c r="J78" s="25"/>
      <c r="K78" s="25"/>
      <c r="L78" s="25"/>
      <c r="M78" s="25"/>
      <c r="N78" s="25"/>
    </row>
    <row r="79" spans="1:14" ht="12.4" hidden="1">
      <c r="A79" s="25"/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  <c r="M79" s="25"/>
      <c r="N79" s="25"/>
    </row>
    <row r="80" spans="1:14" ht="12.4" hidden="1">
      <c r="A80" s="25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  <c r="M80" s="25"/>
      <c r="N80" s="25"/>
    </row>
    <row r="81" spans="1:14" ht="12.4" hidden="1">
      <c r="A81" s="25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  <c r="M81" s="25"/>
      <c r="N81" s="25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 &amp;T&amp;C&amp;Z&amp;R&amp;F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H78"/>
  <sheetViews>
    <sheetView topLeftCell="A11" zoomScaleNormal="100" workbookViewId="0">
      <selection activeCell="A15" sqref="A15"/>
    </sheetView>
  </sheetViews>
  <sheetFormatPr defaultColWidth="0" defaultRowHeight="12.75" customHeight="1" zeroHeight="1"/>
  <cols>
    <col min="1" max="1" width="10.3515625" style="27" bestFit="1" customWidth="1"/>
    <col min="2" max="2" width="9.3515625" style="27" bestFit="1" customWidth="1"/>
    <col min="3" max="3" width="80.64453125" style="27" customWidth="1"/>
    <col min="4" max="4" width="2.64453125" style="25" customWidth="1"/>
    <col min="5" max="5" width="9" style="28" hidden="1" customWidth="1"/>
    <col min="6" max="16384" width="9" style="27" hidden="1"/>
  </cols>
  <sheetData>
    <row r="1" spans="1:8" s="21" customFormat="1" ht="14.65">
      <c r="A1" s="21" t="s">
        <v>97</v>
      </c>
      <c r="E1" s="29"/>
    </row>
    <row r="2" spans="1:8" s="21" customFormat="1" ht="14.65">
      <c r="A2" s="21" t="str">
        <f>CompName</f>
        <v>Scottish Hydro Electric Transmission Plc</v>
      </c>
      <c r="E2" s="29"/>
    </row>
    <row r="3" spans="1:8" s="21" customFormat="1" ht="14.65">
      <c r="A3" s="8" t="str">
        <f>'R5 Input page'!F7</f>
        <v>Regulatory Year ending 31 March 2019</v>
      </c>
      <c r="B3" s="30"/>
      <c r="C3" s="30"/>
      <c r="D3" s="30"/>
      <c r="E3" s="29"/>
    </row>
    <row r="4" spans="1:8" s="21" customFormat="1" ht="14.65">
      <c r="A4" s="30"/>
      <c r="B4" s="30"/>
      <c r="C4" s="30"/>
      <c r="D4" s="30"/>
      <c r="E4" s="29"/>
    </row>
    <row r="5" spans="1:8" s="21" customFormat="1" ht="14.65">
      <c r="A5" s="30"/>
      <c r="B5" s="30"/>
      <c r="C5" s="30"/>
      <c r="D5" s="30"/>
      <c r="E5" s="29"/>
    </row>
    <row r="6" spans="1:8" s="21" customFormat="1" ht="14.65">
      <c r="A6" s="21" t="s">
        <v>98</v>
      </c>
      <c r="B6" s="21" t="s">
        <v>99</v>
      </c>
      <c r="C6" s="21" t="s">
        <v>100</v>
      </c>
      <c r="E6" s="29"/>
    </row>
    <row r="7" spans="1:8" ht="49.5">
      <c r="A7" s="81">
        <v>42788</v>
      </c>
      <c r="B7" s="19" t="s">
        <v>504</v>
      </c>
      <c r="C7" s="316" t="s">
        <v>573</v>
      </c>
    </row>
    <row r="8" spans="1:8" ht="61.9">
      <c r="A8" s="81">
        <v>42837</v>
      </c>
      <c r="B8" s="19" t="s">
        <v>574</v>
      </c>
      <c r="C8" s="316" t="s">
        <v>575</v>
      </c>
    </row>
    <row r="9" spans="1:8" ht="12.4">
      <c r="A9" s="81">
        <v>42859</v>
      </c>
      <c r="B9" s="19" t="s">
        <v>576</v>
      </c>
      <c r="C9" s="31" t="s">
        <v>577</v>
      </c>
      <c r="H9" s="27">
        <f>SSO</f>
        <v>0</v>
      </c>
    </row>
    <row r="10" spans="1:8" ht="334.15">
      <c r="A10" s="81">
        <v>43139</v>
      </c>
      <c r="B10" s="328" t="s">
        <v>598</v>
      </c>
      <c r="C10" s="316" t="s">
        <v>599</v>
      </c>
    </row>
    <row r="11" spans="1:8" ht="24.75">
      <c r="A11" s="81">
        <v>43173</v>
      </c>
      <c r="B11" s="328" t="s">
        <v>601</v>
      </c>
      <c r="C11" s="316" t="s">
        <v>602</v>
      </c>
    </row>
    <row r="12" spans="1:8" ht="99">
      <c r="A12" s="81">
        <v>43508</v>
      </c>
      <c r="B12" s="328" t="s">
        <v>603</v>
      </c>
      <c r="C12" s="316" t="s">
        <v>604</v>
      </c>
    </row>
    <row r="13" spans="1:8" ht="12.4">
      <c r="A13" s="386">
        <v>43518</v>
      </c>
      <c r="B13" s="328" t="s">
        <v>603</v>
      </c>
      <c r="C13" s="387" t="s">
        <v>608</v>
      </c>
    </row>
    <row r="14" spans="1:8" ht="12.4">
      <c r="A14" s="386">
        <v>43572</v>
      </c>
      <c r="B14" s="328" t="s">
        <v>609</v>
      </c>
      <c r="C14" s="31" t="s">
        <v>610</v>
      </c>
    </row>
    <row r="15" spans="1:8" ht="12.4">
      <c r="A15" s="81"/>
      <c r="B15" s="19"/>
      <c r="C15" s="31"/>
    </row>
    <row r="16" spans="1:8" ht="12.4">
      <c r="A16" s="81"/>
      <c r="B16" s="19"/>
      <c r="C16" s="31"/>
    </row>
    <row r="17" spans="1:8" ht="12.4">
      <c r="A17" s="81"/>
      <c r="B17" s="19"/>
      <c r="C17" s="31"/>
    </row>
    <row r="18" spans="1:8" s="25" customFormat="1" ht="12.4">
      <c r="E18" s="26"/>
    </row>
    <row r="21" spans="1:8" ht="12.4" hidden="1">
      <c r="A21" s="25"/>
    </row>
    <row r="27" spans="1:8" ht="12.75" hidden="1" customHeight="1">
      <c r="H27" s="27">
        <f>H22*MIN( H23+H24,H25*H26)</f>
        <v>0</v>
      </c>
    </row>
    <row r="57" spans="6:8" ht="12.75" hidden="1" customHeight="1">
      <c r="F57" s="27">
        <f>IF(SER&lt;F68*SERLIMIT,SER,F68*SERLIMIT)</f>
        <v>0</v>
      </c>
    </row>
    <row r="59" spans="6:8" ht="12.75" hidden="1" customHeight="1">
      <c r="F59" s="27">
        <f>It</f>
        <v>0.5</v>
      </c>
    </row>
    <row r="60" spans="6:8" ht="12.75" hidden="1" customHeight="1">
      <c r="H60" s="27">
        <f>SUM(F57:F58)*(1+F59/100)*(1+G59/100)</f>
        <v>0</v>
      </c>
    </row>
    <row r="73" spans="6:6" ht="12.75" hidden="1" customHeight="1">
      <c r="F73" s="27">
        <f>F92</f>
        <v>0</v>
      </c>
    </row>
    <row r="77" spans="6:6" ht="12.75" hidden="1" customHeight="1">
      <c r="F77" s="27">
        <f>F75*F76</f>
        <v>0</v>
      </c>
    </row>
    <row r="78" spans="6:6" ht="12.75" hidden="1" customHeight="1">
      <c r="F78" s="27">
        <f>0.01*(F71+F74+F77)*(F66+F67)</f>
        <v>0</v>
      </c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&amp;C&amp;A</oddHeader>
    <oddFooter>&amp;L&amp;D&amp;T&amp;C&amp;Z&amp;R&amp;F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:AB277"/>
  <sheetViews>
    <sheetView showGridLines="0" zoomScale="85" zoomScaleNormal="85" zoomScaleSheetLayoutView="100" workbookViewId="0"/>
  </sheetViews>
  <sheetFormatPr defaultColWidth="0" defaultRowHeight="12.75" customHeight="1" zeroHeight="1"/>
  <cols>
    <col min="1" max="1" width="50.3515625" style="37" customWidth="1"/>
    <col min="2" max="2" width="11.1171875" style="37" customWidth="1"/>
    <col min="3" max="3" width="7.87890625" style="43" customWidth="1"/>
    <col min="4" max="4" width="7" style="43" customWidth="1"/>
    <col min="5" max="5" width="8.1171875" style="43" customWidth="1"/>
    <col min="6" max="6" width="9.703125" style="37" customWidth="1"/>
    <col min="7" max="7" width="11.1171875" style="37" bestFit="1" customWidth="1"/>
    <col min="8" max="13" width="8.17578125" style="37" customWidth="1"/>
    <col min="14" max="14" width="13.3515625" style="37" bestFit="1" customWidth="1"/>
    <col min="15" max="15" width="9" style="37" hidden="1" customWidth="1"/>
    <col min="16" max="28" width="0" style="37" hidden="1" customWidth="1"/>
    <col min="29" max="16384" width="9" style="37" hidden="1"/>
  </cols>
  <sheetData>
    <row r="1" spans="1:17" s="33" customFormat="1" ht="14.65">
      <c r="A1" s="32" t="s">
        <v>101</v>
      </c>
      <c r="C1" s="34"/>
      <c r="D1" s="34"/>
      <c r="E1" s="34"/>
      <c r="N1" s="361"/>
    </row>
    <row r="2" spans="1:17" s="33" customFormat="1" ht="14.65">
      <c r="A2" s="32" t="str">
        <f>CompName</f>
        <v>Scottish Hydro Electric Transmission Plc</v>
      </c>
      <c r="B2" s="214"/>
      <c r="C2" s="34"/>
      <c r="D2" s="34"/>
      <c r="E2" s="34"/>
      <c r="N2" s="361"/>
    </row>
    <row r="3" spans="1:17" s="33" customFormat="1" ht="12.4">
      <c r="A3" s="35" t="str">
        <f>'R5 Input page'!F7</f>
        <v>Regulatory Year ending 31 March 2019</v>
      </c>
      <c r="C3" s="34"/>
      <c r="D3" s="34"/>
      <c r="E3" s="34"/>
      <c r="N3" s="361"/>
    </row>
    <row r="4" spans="1:17" ht="14.65">
      <c r="A4" s="32"/>
      <c r="B4" s="33"/>
      <c r="C4" s="36"/>
      <c r="D4" s="36"/>
      <c r="E4" s="36"/>
      <c r="F4" s="36"/>
      <c r="G4" s="36"/>
      <c r="H4" s="36"/>
      <c r="I4" s="388" t="s">
        <v>102</v>
      </c>
      <c r="J4" s="388"/>
      <c r="K4" s="389"/>
      <c r="L4" s="36"/>
      <c r="M4" s="36"/>
      <c r="N4" s="349"/>
    </row>
    <row r="5" spans="1:17" ht="14.65">
      <c r="A5" s="32" t="s">
        <v>103</v>
      </c>
      <c r="B5" s="211"/>
      <c r="C5" s="212" t="s">
        <v>0</v>
      </c>
      <c r="D5" s="48">
        <v>2012</v>
      </c>
      <c r="E5" s="48">
        <v>2013</v>
      </c>
      <c r="F5" s="48">
        <v>2014</v>
      </c>
      <c r="G5" s="48">
        <v>2015</v>
      </c>
      <c r="H5" s="48">
        <v>2016</v>
      </c>
      <c r="I5" s="48">
        <v>2017</v>
      </c>
      <c r="J5" s="48">
        <v>2018</v>
      </c>
      <c r="K5" s="48">
        <v>2019</v>
      </c>
      <c r="L5" s="48">
        <v>2020</v>
      </c>
      <c r="M5" s="48">
        <v>2021</v>
      </c>
      <c r="N5" s="349" t="s">
        <v>104</v>
      </c>
    </row>
    <row r="6" spans="1:17" s="40" customFormat="1" ht="12.4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62"/>
      <c r="O6" s="38"/>
      <c r="P6" s="39"/>
      <c r="Q6" s="38"/>
    </row>
    <row r="7" spans="1:17" ht="13.5">
      <c r="B7" s="41"/>
      <c r="C7" s="42"/>
      <c r="D7" s="42"/>
      <c r="E7" s="42"/>
      <c r="F7" s="41"/>
      <c r="G7" s="41"/>
      <c r="I7" s="36"/>
      <c r="J7" s="36"/>
      <c r="K7" s="36"/>
      <c r="L7" s="36"/>
      <c r="M7" s="36"/>
      <c r="N7" s="349"/>
    </row>
    <row r="8" spans="1:17" ht="14.65">
      <c r="A8" s="32" t="s">
        <v>106</v>
      </c>
      <c r="B8" s="41"/>
      <c r="C8" s="42"/>
      <c r="D8" s="42"/>
      <c r="E8" s="42"/>
      <c r="F8" s="41"/>
      <c r="G8" s="41"/>
      <c r="I8" s="36"/>
      <c r="J8" s="36"/>
      <c r="K8" s="36"/>
      <c r="L8" s="36"/>
      <c r="M8" s="36"/>
      <c r="N8" s="349"/>
    </row>
    <row r="9" spans="1:17" ht="12.4">
      <c r="A9" s="33" t="s">
        <v>484</v>
      </c>
      <c r="B9" s="33" t="s">
        <v>107</v>
      </c>
      <c r="C9" s="34" t="s">
        <v>1</v>
      </c>
      <c r="D9" s="34"/>
      <c r="E9" s="34"/>
      <c r="F9" s="69">
        <v>104.539</v>
      </c>
      <c r="G9" s="69">
        <v>111.515</v>
      </c>
      <c r="H9" s="69">
        <v>124.139</v>
      </c>
      <c r="I9" s="69">
        <v>123.63500000000001</v>
      </c>
      <c r="J9" s="69">
        <v>119.59699999999999</v>
      </c>
      <c r="K9" s="69">
        <v>120</v>
      </c>
      <c r="L9" s="69">
        <v>122.09699999999999</v>
      </c>
      <c r="M9" s="69">
        <v>122.52500000000001</v>
      </c>
      <c r="N9" s="349" t="s">
        <v>107</v>
      </c>
      <c r="O9" s="35"/>
      <c r="P9" s="35"/>
      <c r="Q9" s="35"/>
    </row>
    <row r="10" spans="1:17" ht="12.4">
      <c r="A10" s="33"/>
      <c r="B10" s="33"/>
      <c r="C10" s="34"/>
      <c r="F10" s="43"/>
      <c r="G10" s="43"/>
      <c r="H10" s="43"/>
      <c r="I10" s="43"/>
      <c r="J10" s="43"/>
      <c r="K10" s="43"/>
      <c r="L10" s="43"/>
      <c r="M10" s="43"/>
      <c r="N10" s="350"/>
    </row>
    <row r="11" spans="1:17" ht="14.65">
      <c r="A11" s="32" t="s">
        <v>108</v>
      </c>
      <c r="B11" s="33"/>
      <c r="C11" s="34"/>
      <c r="D11" s="34"/>
      <c r="E11" s="34"/>
      <c r="F11" s="33"/>
      <c r="G11" s="33"/>
      <c r="H11" s="33"/>
      <c r="I11" s="33"/>
      <c r="J11" s="33"/>
      <c r="K11" s="33"/>
      <c r="L11" s="33"/>
      <c r="M11" s="33"/>
      <c r="N11" s="349"/>
    </row>
    <row r="12" spans="1:17" ht="12.4">
      <c r="A12" s="33" t="s">
        <v>483</v>
      </c>
      <c r="B12" s="33" t="s">
        <v>120</v>
      </c>
      <c r="C12" s="44" t="s">
        <v>1</v>
      </c>
      <c r="D12" s="34"/>
      <c r="E12" s="34"/>
      <c r="F12" s="69">
        <v>9.4</v>
      </c>
      <c r="G12" s="69">
        <v>9.4</v>
      </c>
      <c r="H12" s="69">
        <v>12.7</v>
      </c>
      <c r="I12" s="69">
        <v>12.7</v>
      </c>
      <c r="J12" s="69">
        <v>12.7</v>
      </c>
      <c r="K12" s="69">
        <v>12.7</v>
      </c>
      <c r="L12" s="69">
        <v>12.7</v>
      </c>
      <c r="M12" s="69">
        <v>12.7</v>
      </c>
      <c r="N12" s="349" t="s">
        <v>120</v>
      </c>
    </row>
    <row r="13" spans="1:17" ht="12.4">
      <c r="A13" s="33"/>
      <c r="B13" s="33"/>
      <c r="C13" s="4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9"/>
    </row>
    <row r="14" spans="1:17" ht="12.4" hidden="1">
      <c r="A14" s="33"/>
      <c r="B14" s="33"/>
      <c r="C14" s="4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9"/>
    </row>
    <row r="15" spans="1:17" ht="12.4" hidden="1">
      <c r="A15" s="38"/>
      <c r="B15" s="33"/>
      <c r="C15" s="4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9"/>
    </row>
    <row r="16" spans="1:17" ht="12.4" hidden="1">
      <c r="A16" s="33"/>
      <c r="B16" s="33"/>
      <c r="D16" s="34"/>
      <c r="E16" s="34"/>
      <c r="F16" s="33"/>
      <c r="G16" s="33"/>
      <c r="H16" s="33"/>
      <c r="I16" s="33"/>
      <c r="J16" s="33"/>
      <c r="K16" s="33"/>
      <c r="L16" s="33"/>
      <c r="M16" s="33"/>
      <c r="N16" s="349"/>
    </row>
    <row r="17" spans="1:17" ht="12.4" hidden="1">
      <c r="A17" s="33"/>
      <c r="B17" s="46"/>
      <c r="F17" s="33"/>
      <c r="G17" s="33"/>
      <c r="H17" s="33"/>
      <c r="I17" s="33"/>
      <c r="J17" s="33"/>
      <c r="K17" s="33"/>
      <c r="L17" s="33"/>
      <c r="M17" s="33"/>
      <c r="N17" s="349"/>
    </row>
    <row r="18" spans="1:17" ht="12.75" customHeight="1">
      <c r="N18" s="335"/>
    </row>
    <row r="19" spans="1:17" ht="12.75" customHeight="1">
      <c r="A19" s="56" t="s">
        <v>196</v>
      </c>
      <c r="N19" s="335"/>
    </row>
    <row r="20" spans="1:17" ht="12.75" customHeight="1">
      <c r="N20" s="335"/>
    </row>
    <row r="21" spans="1:17" ht="12.75" customHeight="1">
      <c r="A21" s="55" t="s">
        <v>485</v>
      </c>
      <c r="N21" s="335"/>
    </row>
    <row r="22" spans="1:17" ht="12.75" customHeight="1">
      <c r="A22" s="57" t="s">
        <v>198</v>
      </c>
      <c r="B22" s="57" t="s">
        <v>197</v>
      </c>
      <c r="C22" s="59" t="s">
        <v>1</v>
      </c>
      <c r="F22" s="70">
        <v>1.6E-2</v>
      </c>
      <c r="G22" s="70">
        <v>1.6E-2</v>
      </c>
      <c r="H22" s="70">
        <v>1.6E-2</v>
      </c>
      <c r="I22" s="70">
        <v>1.6E-2</v>
      </c>
      <c r="J22" s="70">
        <v>1.6E-2</v>
      </c>
      <c r="K22" s="70">
        <v>1.6E-2</v>
      </c>
      <c r="L22" s="70">
        <v>1.6E-2</v>
      </c>
      <c r="M22" s="70">
        <v>1.6E-2</v>
      </c>
      <c r="N22" s="352" t="s">
        <v>197</v>
      </c>
    </row>
    <row r="23" spans="1:17" s="50" customFormat="1" ht="12.4">
      <c r="A23" t="s">
        <v>65</v>
      </c>
      <c r="B23" t="s">
        <v>200</v>
      </c>
      <c r="C23" s="51" t="s">
        <v>199</v>
      </c>
      <c r="D23" s="43"/>
      <c r="E23" s="43"/>
      <c r="F23" s="71">
        <v>120</v>
      </c>
      <c r="G23" s="71">
        <v>120</v>
      </c>
      <c r="H23" s="71">
        <v>120</v>
      </c>
      <c r="I23" s="71">
        <v>120</v>
      </c>
      <c r="J23" s="71">
        <v>120</v>
      </c>
      <c r="K23" s="71">
        <v>120</v>
      </c>
      <c r="L23" s="71">
        <v>120</v>
      </c>
      <c r="M23" s="71">
        <v>120</v>
      </c>
      <c r="N23" s="351" t="s">
        <v>200</v>
      </c>
      <c r="O23" s="47"/>
      <c r="P23" s="47"/>
      <c r="Q23" s="47"/>
    </row>
    <row r="24" spans="1:17" s="50" customFormat="1" ht="12.4">
      <c r="A24" t="s">
        <v>64</v>
      </c>
      <c r="B24" t="s">
        <v>201</v>
      </c>
      <c r="C24" s="51" t="s">
        <v>105</v>
      </c>
      <c r="D24" s="51"/>
      <c r="E24" s="43"/>
      <c r="F24" s="72">
        <v>0.03</v>
      </c>
      <c r="G24" s="72">
        <v>0.03</v>
      </c>
      <c r="H24" s="72">
        <v>0.03</v>
      </c>
      <c r="I24" s="72">
        <v>0.03</v>
      </c>
      <c r="J24" s="72">
        <v>0.03</v>
      </c>
      <c r="K24" s="72">
        <v>0.03</v>
      </c>
      <c r="L24" s="72">
        <v>0.03</v>
      </c>
      <c r="M24" s="72">
        <v>0.03</v>
      </c>
      <c r="N24" s="351" t="s">
        <v>201</v>
      </c>
      <c r="O24" s="47"/>
      <c r="P24" s="47"/>
      <c r="Q24" s="47"/>
    </row>
    <row r="25" spans="1:17" ht="12.75" customHeight="1">
      <c r="N25" s="335"/>
    </row>
    <row r="26" spans="1:17" s="1" customFormat="1" ht="13.9">
      <c r="A26" s="82" t="s">
        <v>389</v>
      </c>
      <c r="E26" s="78"/>
      <c r="F26" s="78"/>
      <c r="G26" s="78"/>
      <c r="N26" s="363"/>
      <c r="P26" s="83"/>
    </row>
    <row r="27" spans="1:17" s="1" customFormat="1" ht="13.5">
      <c r="E27" s="78"/>
      <c r="F27" s="78"/>
      <c r="G27" s="78"/>
      <c r="H27" s="78"/>
      <c r="I27" s="78"/>
      <c r="J27" s="78"/>
      <c r="K27" s="78"/>
      <c r="N27" s="363"/>
      <c r="P27" s="83"/>
    </row>
    <row r="28" spans="1:17" s="1" customFormat="1" ht="13.5">
      <c r="A28" s="54" t="s">
        <v>390</v>
      </c>
      <c r="B28" s="84" t="s">
        <v>391</v>
      </c>
      <c r="C28" s="80" t="s">
        <v>415</v>
      </c>
      <c r="D28" s="54"/>
      <c r="E28" s="54"/>
      <c r="F28" s="85">
        <v>10</v>
      </c>
      <c r="G28" s="78"/>
      <c r="H28" s="78"/>
      <c r="I28" s="78"/>
      <c r="J28" s="78"/>
      <c r="K28" s="78"/>
      <c r="N28" s="363"/>
      <c r="P28" s="83" t="s">
        <v>391</v>
      </c>
    </row>
    <row r="29" spans="1:17" s="1" customFormat="1" ht="13.5">
      <c r="A29" s="54" t="s">
        <v>392</v>
      </c>
      <c r="B29" s="84" t="s">
        <v>393</v>
      </c>
      <c r="C29" s="80" t="s">
        <v>415</v>
      </c>
      <c r="D29" s="54"/>
      <c r="E29" s="54"/>
      <c r="F29" s="85">
        <v>12</v>
      </c>
      <c r="G29" s="78"/>
      <c r="H29" s="78"/>
      <c r="I29" s="78"/>
      <c r="J29" s="78"/>
      <c r="K29" s="78"/>
      <c r="N29" s="363"/>
      <c r="P29" s="83" t="s">
        <v>393</v>
      </c>
    </row>
    <row r="30" spans="1:17" s="1" customFormat="1" ht="13.9">
      <c r="A30" s="86"/>
      <c r="B30" s="87"/>
      <c r="C30" s="80"/>
      <c r="D30" s="54"/>
      <c r="E30" s="54"/>
      <c r="F30" s="54"/>
      <c r="G30" s="78"/>
      <c r="H30" s="78"/>
      <c r="I30" s="78"/>
      <c r="J30" s="78"/>
      <c r="K30" s="78"/>
      <c r="N30" s="363"/>
      <c r="P30" s="83"/>
    </row>
    <row r="31" spans="1:17" s="1" customFormat="1" ht="13.5">
      <c r="A31" s="54" t="s">
        <v>394</v>
      </c>
      <c r="B31" s="84" t="s">
        <v>395</v>
      </c>
      <c r="C31" s="80" t="s">
        <v>105</v>
      </c>
      <c r="D31" s="54"/>
      <c r="E31" s="54"/>
      <c r="F31" s="373">
        <f>0.5/100</f>
        <v>5.0000000000000001E-3</v>
      </c>
      <c r="G31" s="78"/>
      <c r="H31" s="78"/>
      <c r="I31" s="78"/>
      <c r="J31" s="78"/>
      <c r="K31" s="78"/>
      <c r="N31" s="363"/>
      <c r="P31" s="83" t="s">
        <v>395</v>
      </c>
    </row>
    <row r="32" spans="1:17" s="1" customFormat="1" ht="13.5">
      <c r="A32" s="54" t="s">
        <v>396</v>
      </c>
      <c r="B32" s="84" t="s">
        <v>201</v>
      </c>
      <c r="C32" s="80" t="s">
        <v>105</v>
      </c>
      <c r="D32" s="54"/>
      <c r="E32" s="54"/>
      <c r="F32" s="373">
        <f>-0.75/100</f>
        <v>-7.4999999999999997E-3</v>
      </c>
      <c r="G32" s="78"/>
      <c r="H32" s="78"/>
      <c r="I32" s="78"/>
      <c r="J32" s="78"/>
      <c r="K32" s="78"/>
      <c r="N32" s="363"/>
      <c r="P32" s="83" t="s">
        <v>201</v>
      </c>
    </row>
    <row r="33" spans="1:16" s="1" customFormat="1" ht="13.5">
      <c r="A33" s="54"/>
      <c r="B33" s="87"/>
      <c r="C33" s="80"/>
      <c r="D33" s="54"/>
      <c r="E33" s="54"/>
      <c r="F33" s="54"/>
      <c r="G33" s="78"/>
      <c r="H33" s="78"/>
      <c r="I33" s="78"/>
      <c r="J33" s="78"/>
      <c r="K33" s="78"/>
      <c r="N33" s="363"/>
      <c r="P33" s="83"/>
    </row>
    <row r="34" spans="1:16" s="1" customFormat="1" ht="13.5">
      <c r="A34" s="54" t="s">
        <v>397</v>
      </c>
      <c r="B34" s="84" t="s">
        <v>398</v>
      </c>
      <c r="C34" s="80" t="s">
        <v>415</v>
      </c>
      <c r="D34" s="54"/>
      <c r="E34" s="54"/>
      <c r="F34" s="85">
        <v>27</v>
      </c>
      <c r="G34" s="78"/>
      <c r="H34" s="78"/>
      <c r="I34" s="78"/>
      <c r="J34" s="78"/>
      <c r="K34" s="78"/>
      <c r="N34" s="363"/>
      <c r="P34" s="83" t="s">
        <v>398</v>
      </c>
    </row>
    <row r="35" spans="1:16" s="33" customFormat="1" ht="12.75" customHeight="1">
      <c r="C35" s="34"/>
      <c r="D35" s="34"/>
      <c r="E35" s="34"/>
      <c r="N35" s="361"/>
    </row>
    <row r="36" spans="1:16" ht="12.75" customHeight="1">
      <c r="N36" s="335"/>
    </row>
    <row r="37" spans="1:16" ht="12.75" customHeight="1">
      <c r="A37" s="57" t="s">
        <v>486</v>
      </c>
      <c r="B37" s="57" t="s">
        <v>212</v>
      </c>
      <c r="C37" s="80" t="s">
        <v>105</v>
      </c>
      <c r="F37" s="72">
        <v>0.5</v>
      </c>
      <c r="G37" s="72">
        <v>0.5</v>
      </c>
      <c r="H37" s="72">
        <v>0.5</v>
      </c>
      <c r="I37" s="72">
        <v>0.5</v>
      </c>
      <c r="J37" s="72">
        <v>0.5</v>
      </c>
      <c r="K37" s="72">
        <v>0.5</v>
      </c>
      <c r="L37" s="72">
        <v>0.5</v>
      </c>
      <c r="M37" s="72">
        <v>0.5</v>
      </c>
      <c r="N37" s="352" t="s">
        <v>212</v>
      </c>
    </row>
    <row r="38" spans="1:16" ht="12.75" customHeight="1">
      <c r="A38" s="57"/>
      <c r="N38" s="335"/>
    </row>
    <row r="39" spans="1:16" ht="12.75" customHeight="1">
      <c r="A39" s="57"/>
      <c r="N39" s="335"/>
    </row>
    <row r="40" spans="1:16" ht="12.75" customHeight="1">
      <c r="A40" t="s">
        <v>60</v>
      </c>
      <c r="B40" t="s">
        <v>57</v>
      </c>
      <c r="C40" s="80" t="s">
        <v>105</v>
      </c>
      <c r="D40"/>
      <c r="E40"/>
      <c r="F40" s="72">
        <v>7.0000000000000001E-3</v>
      </c>
      <c r="G40" s="72">
        <v>7.0000000000000001E-3</v>
      </c>
      <c r="H40" s="72">
        <v>7.0000000000000001E-3</v>
      </c>
      <c r="I40" s="72">
        <v>7.0000000000000001E-3</v>
      </c>
      <c r="J40" s="72">
        <v>7.0000000000000001E-3</v>
      </c>
      <c r="K40" s="72">
        <v>7.0000000000000001E-3</v>
      </c>
      <c r="L40" s="72">
        <v>7.0000000000000001E-3</v>
      </c>
      <c r="M40" s="72">
        <v>7.0000000000000001E-3</v>
      </c>
      <c r="N40" s="352" t="s">
        <v>57</v>
      </c>
    </row>
    <row r="41" spans="1:16" ht="12.75" customHeight="1">
      <c r="A41" s="333"/>
      <c r="B41"/>
      <c r="C41"/>
      <c r="D41"/>
      <c r="E41"/>
      <c r="F41" s="64"/>
      <c r="G41" s="64"/>
      <c r="H41" s="64"/>
      <c r="I41" s="64"/>
      <c r="J41" s="64"/>
      <c r="K41" s="64"/>
      <c r="L41" s="64"/>
      <c r="M41" s="64"/>
      <c r="N41" s="352"/>
    </row>
    <row r="42" spans="1:16" ht="12.75" customHeight="1">
      <c r="A42" s="334" t="s">
        <v>373</v>
      </c>
      <c r="B42"/>
      <c r="C42"/>
      <c r="D42"/>
      <c r="E42"/>
      <c r="F42" s="64"/>
      <c r="G42" s="64"/>
      <c r="H42" s="64"/>
      <c r="I42" s="64"/>
      <c r="J42" s="64"/>
      <c r="K42" s="64"/>
      <c r="L42" s="64"/>
      <c r="M42" s="64"/>
      <c r="N42" s="352"/>
    </row>
    <row r="43" spans="1:16" ht="12.75" customHeight="1">
      <c r="A43" s="335" t="s">
        <v>535</v>
      </c>
      <c r="B43" s="57" t="s">
        <v>536</v>
      </c>
      <c r="C43" s="34" t="s">
        <v>537</v>
      </c>
      <c r="E43"/>
      <c r="F43" s="69">
        <v>0</v>
      </c>
      <c r="G43" s="69">
        <v>0</v>
      </c>
      <c r="H43" s="69">
        <v>0</v>
      </c>
      <c r="I43" s="69">
        <v>7.4</v>
      </c>
      <c r="J43" s="69">
        <v>7.4</v>
      </c>
      <c r="K43" s="69">
        <v>7.4</v>
      </c>
      <c r="L43" s="69">
        <v>7.4</v>
      </c>
      <c r="M43" s="69">
        <v>7.4</v>
      </c>
      <c r="N43" s="352" t="s">
        <v>536</v>
      </c>
    </row>
    <row r="44" spans="1:16" ht="12.75" customHeight="1">
      <c r="A44" s="335" t="s">
        <v>538</v>
      </c>
      <c r="B44" s="57" t="s">
        <v>539</v>
      </c>
      <c r="C44" s="34" t="s">
        <v>537</v>
      </c>
      <c r="E44"/>
      <c r="F44" s="69">
        <v>0</v>
      </c>
      <c r="G44" s="69">
        <v>0</v>
      </c>
      <c r="H44" s="69">
        <v>0</v>
      </c>
      <c r="I44" s="69">
        <v>9</v>
      </c>
      <c r="J44" s="69">
        <v>9</v>
      </c>
      <c r="K44" s="69">
        <v>9</v>
      </c>
      <c r="L44" s="69">
        <v>9</v>
      </c>
      <c r="M44" s="69">
        <v>9</v>
      </c>
      <c r="N44" s="352" t="s">
        <v>539</v>
      </c>
    </row>
    <row r="45" spans="1:16" ht="12.75" customHeight="1">
      <c r="A45" s="335" t="s">
        <v>540</v>
      </c>
      <c r="B45" s="57" t="s">
        <v>541</v>
      </c>
      <c r="C45" s="34" t="s">
        <v>537</v>
      </c>
      <c r="E45"/>
      <c r="F45" s="69">
        <v>0</v>
      </c>
      <c r="G45" s="69">
        <v>0</v>
      </c>
      <c r="H45" s="69">
        <v>0</v>
      </c>
      <c r="I45" s="69">
        <v>5.8</v>
      </c>
      <c r="J45" s="69">
        <v>5.8</v>
      </c>
      <c r="K45" s="69">
        <v>5.8</v>
      </c>
      <c r="L45" s="69">
        <v>5.8</v>
      </c>
      <c r="M45" s="69">
        <v>5.8</v>
      </c>
      <c r="N45" s="352" t="s">
        <v>541</v>
      </c>
    </row>
    <row r="46" spans="1:16" ht="12.75" customHeight="1">
      <c r="A46" s="335" t="s">
        <v>542</v>
      </c>
      <c r="B46" s="57" t="s">
        <v>543</v>
      </c>
      <c r="C46" s="34" t="s">
        <v>572</v>
      </c>
      <c r="E46"/>
      <c r="F46" s="329">
        <v>1</v>
      </c>
      <c r="G46" s="329">
        <v>1</v>
      </c>
      <c r="H46" s="329">
        <v>1</v>
      </c>
      <c r="I46" s="329">
        <v>1</v>
      </c>
      <c r="J46" s="329">
        <v>1</v>
      </c>
      <c r="K46" s="329">
        <v>1</v>
      </c>
      <c r="L46" s="329">
        <v>1</v>
      </c>
      <c r="M46" s="329">
        <v>1</v>
      </c>
      <c r="N46" s="352" t="s">
        <v>543</v>
      </c>
    </row>
    <row r="47" spans="1:16" ht="12.75" customHeight="1">
      <c r="A47" s="335" t="s">
        <v>544</v>
      </c>
      <c r="B47" s="57" t="s">
        <v>545</v>
      </c>
      <c r="C47" s="34" t="s">
        <v>572</v>
      </c>
      <c r="E47"/>
      <c r="F47" s="329">
        <v>-1</v>
      </c>
      <c r="G47" s="329">
        <v>-1</v>
      </c>
      <c r="H47" s="329">
        <v>-1</v>
      </c>
      <c r="I47" s="329">
        <v>-1</v>
      </c>
      <c r="J47" s="329">
        <v>-1</v>
      </c>
      <c r="K47" s="329">
        <v>-1</v>
      </c>
      <c r="L47" s="329">
        <v>-1</v>
      </c>
      <c r="M47" s="329">
        <v>-1</v>
      </c>
      <c r="N47" s="352" t="s">
        <v>545</v>
      </c>
    </row>
    <row r="48" spans="1:16" s="33" customFormat="1" ht="12.75" customHeight="1">
      <c r="A48" s="336" t="s">
        <v>487</v>
      </c>
      <c r="B48" s="318" t="s">
        <v>549</v>
      </c>
      <c r="C48" s="34" t="s">
        <v>117</v>
      </c>
      <c r="D48" s="34"/>
      <c r="E48" s="34"/>
      <c r="F48" s="88">
        <v>5.0000000000000001E-3</v>
      </c>
      <c r="G48" s="88">
        <v>5.0000000000000001E-3</v>
      </c>
      <c r="H48" s="88">
        <v>5.0000000000000001E-3</v>
      </c>
      <c r="I48" s="88">
        <v>5.0000000000000001E-3</v>
      </c>
      <c r="J48" s="88">
        <v>5.0000000000000001E-3</v>
      </c>
      <c r="K48" s="88">
        <v>5.0000000000000001E-3</v>
      </c>
      <c r="L48" s="88">
        <v>5.0000000000000001E-3</v>
      </c>
      <c r="M48" s="88">
        <v>5.0000000000000001E-3</v>
      </c>
      <c r="N48" s="352" t="s">
        <v>548</v>
      </c>
    </row>
    <row r="49" spans="1:14" ht="12.75" customHeight="1">
      <c r="A49" s="336" t="s">
        <v>546</v>
      </c>
      <c r="B49" s="33" t="s">
        <v>547</v>
      </c>
      <c r="C49" s="34" t="s">
        <v>105</v>
      </c>
      <c r="F49" s="72">
        <v>0</v>
      </c>
      <c r="G49" s="72">
        <v>0</v>
      </c>
      <c r="H49" s="72">
        <v>0</v>
      </c>
      <c r="I49" s="72">
        <v>0.6</v>
      </c>
      <c r="J49" s="72">
        <v>0.6</v>
      </c>
      <c r="K49" s="72">
        <v>0.6</v>
      </c>
      <c r="L49" s="72">
        <v>0.6</v>
      </c>
      <c r="M49" s="72">
        <v>0.6</v>
      </c>
      <c r="N49" s="352" t="s">
        <v>547</v>
      </c>
    </row>
    <row r="50" spans="1:14" s="33" customFormat="1" ht="12.75" customHeight="1">
      <c r="A50" s="336"/>
      <c r="B50" s="53"/>
      <c r="C50" s="53"/>
      <c r="D50" s="53"/>
      <c r="E50" s="53"/>
      <c r="F50" s="64"/>
      <c r="G50" s="64"/>
      <c r="H50" s="64"/>
      <c r="I50" s="64"/>
      <c r="J50" s="64"/>
      <c r="K50" s="64"/>
      <c r="L50" s="64"/>
      <c r="M50" s="64"/>
      <c r="N50" s="361"/>
    </row>
    <row r="51" spans="1:14" s="33" customFormat="1" ht="12.75" customHeight="1">
      <c r="A51" s="331" t="s">
        <v>550</v>
      </c>
      <c r="B51" s="121" t="s">
        <v>551</v>
      </c>
      <c r="C51" s="34" t="s">
        <v>537</v>
      </c>
      <c r="D51" s="43"/>
      <c r="E51" s="43"/>
      <c r="F51" s="69">
        <v>0</v>
      </c>
      <c r="G51" s="69">
        <v>0</v>
      </c>
      <c r="H51" s="69">
        <v>0</v>
      </c>
      <c r="I51" s="69">
        <v>89</v>
      </c>
      <c r="J51" s="69">
        <v>89</v>
      </c>
      <c r="K51" s="69">
        <v>89</v>
      </c>
      <c r="L51" s="69">
        <v>89</v>
      </c>
      <c r="M51" s="69">
        <v>89</v>
      </c>
      <c r="N51" s="378" t="s">
        <v>551</v>
      </c>
    </row>
    <row r="52" spans="1:14" s="33" customFormat="1" ht="12.75" customHeight="1">
      <c r="A52" s="331" t="s">
        <v>552</v>
      </c>
      <c r="B52" s="121" t="s">
        <v>553</v>
      </c>
      <c r="C52" s="34" t="s">
        <v>537</v>
      </c>
      <c r="D52" s="43"/>
      <c r="E52" s="43"/>
      <c r="F52" s="69">
        <v>0</v>
      </c>
      <c r="G52" s="69">
        <v>0</v>
      </c>
      <c r="H52" s="69">
        <v>0</v>
      </c>
      <c r="I52" s="69">
        <v>100</v>
      </c>
      <c r="J52" s="69">
        <v>100</v>
      </c>
      <c r="K52" s="69">
        <v>100</v>
      </c>
      <c r="L52" s="69">
        <v>100</v>
      </c>
      <c r="M52" s="69">
        <v>100</v>
      </c>
      <c r="N52" s="378" t="s">
        <v>553</v>
      </c>
    </row>
    <row r="53" spans="1:14" s="33" customFormat="1" ht="12.75" customHeight="1">
      <c r="A53" s="331" t="s">
        <v>554</v>
      </c>
      <c r="B53" s="131" t="s">
        <v>555</v>
      </c>
      <c r="C53" s="34" t="s">
        <v>572</v>
      </c>
      <c r="D53" s="43"/>
      <c r="E53" s="43"/>
      <c r="F53" s="329">
        <v>1</v>
      </c>
      <c r="G53" s="329">
        <v>1</v>
      </c>
      <c r="H53" s="329">
        <v>1</v>
      </c>
      <c r="I53" s="329">
        <v>1</v>
      </c>
      <c r="J53" s="329">
        <v>1</v>
      </c>
      <c r="K53" s="329">
        <v>1</v>
      </c>
      <c r="L53" s="329">
        <v>1</v>
      </c>
      <c r="M53" s="329">
        <v>1</v>
      </c>
      <c r="N53" s="343" t="s">
        <v>555</v>
      </c>
    </row>
    <row r="54" spans="1:14" s="33" customFormat="1" ht="12.75" customHeight="1">
      <c r="A54" s="331" t="s">
        <v>556</v>
      </c>
      <c r="B54" s="121" t="s">
        <v>557</v>
      </c>
      <c r="C54" s="34" t="s">
        <v>537</v>
      </c>
      <c r="D54" s="43"/>
      <c r="E54" s="43"/>
      <c r="F54" s="69">
        <v>0</v>
      </c>
      <c r="G54" s="69">
        <v>0</v>
      </c>
      <c r="H54" s="69">
        <v>0</v>
      </c>
      <c r="I54" s="69">
        <v>78</v>
      </c>
      <c r="J54" s="69">
        <v>78</v>
      </c>
      <c r="K54" s="69">
        <v>78</v>
      </c>
      <c r="L54" s="69">
        <v>78</v>
      </c>
      <c r="M54" s="69">
        <v>78</v>
      </c>
      <c r="N54" s="378" t="s">
        <v>557</v>
      </c>
    </row>
    <row r="55" spans="1:14" s="33" customFormat="1" ht="12.75" customHeight="1">
      <c r="A55" s="331" t="s">
        <v>558</v>
      </c>
      <c r="B55" s="121" t="s">
        <v>559</v>
      </c>
      <c r="C55" s="34" t="s">
        <v>572</v>
      </c>
      <c r="D55" s="43"/>
      <c r="E55" s="43"/>
      <c r="F55" s="329">
        <v>-1</v>
      </c>
      <c r="G55" s="329">
        <v>-1</v>
      </c>
      <c r="H55" s="329">
        <v>-1</v>
      </c>
      <c r="I55" s="329">
        <v>-1</v>
      </c>
      <c r="J55" s="329">
        <v>-1</v>
      </c>
      <c r="K55" s="329">
        <v>-1</v>
      </c>
      <c r="L55" s="329">
        <v>-1</v>
      </c>
      <c r="M55" s="329">
        <v>-1</v>
      </c>
      <c r="N55" s="378" t="s">
        <v>559</v>
      </c>
    </row>
    <row r="56" spans="1:14" s="33" customFormat="1" ht="12.75" customHeight="1">
      <c r="A56" s="331" t="s">
        <v>560</v>
      </c>
      <c r="B56" s="121" t="s">
        <v>561</v>
      </c>
      <c r="C56" s="34" t="s">
        <v>105</v>
      </c>
      <c r="D56" s="43"/>
      <c r="E56" s="43"/>
      <c r="F56" s="72">
        <v>0</v>
      </c>
      <c r="G56" s="72">
        <v>0</v>
      </c>
      <c r="H56" s="72">
        <v>0</v>
      </c>
      <c r="I56" s="72">
        <v>0.3</v>
      </c>
      <c r="J56" s="72">
        <v>0.3</v>
      </c>
      <c r="K56" s="72">
        <v>0.3</v>
      </c>
      <c r="L56" s="72">
        <v>0.3</v>
      </c>
      <c r="M56" s="72">
        <v>0.3</v>
      </c>
      <c r="N56" s="378" t="s">
        <v>561</v>
      </c>
    </row>
    <row r="57" spans="1:14" s="33" customFormat="1" ht="12.75" customHeight="1">
      <c r="A57" s="336"/>
      <c r="C57" s="34"/>
      <c r="D57" s="43"/>
      <c r="E57" s="43"/>
      <c r="F57" s="92"/>
      <c r="G57" s="92"/>
      <c r="H57" s="92"/>
      <c r="I57" s="92"/>
      <c r="J57" s="92"/>
      <c r="K57" s="92"/>
      <c r="L57" s="92"/>
      <c r="M57" s="92"/>
      <c r="N57" s="335"/>
    </row>
    <row r="58" spans="1:14" s="33" customFormat="1" ht="12.75" customHeight="1">
      <c r="A58" s="336" t="s">
        <v>562</v>
      </c>
      <c r="B58" s="33" t="s">
        <v>563</v>
      </c>
      <c r="C58" s="34" t="s">
        <v>105</v>
      </c>
      <c r="D58" s="43"/>
      <c r="E58" s="43"/>
      <c r="F58" s="72">
        <v>0.1</v>
      </c>
      <c r="G58" s="72">
        <v>0.1</v>
      </c>
      <c r="H58" s="72">
        <v>0.1</v>
      </c>
      <c r="I58" s="72">
        <v>0.1</v>
      </c>
      <c r="J58" s="72">
        <v>0.1</v>
      </c>
      <c r="K58" s="72">
        <v>0.1</v>
      </c>
      <c r="L58" s="72">
        <v>0.1</v>
      </c>
      <c r="M58" s="72">
        <v>0.1</v>
      </c>
      <c r="N58" s="352" t="s">
        <v>563</v>
      </c>
    </row>
    <row r="59" spans="1:14" s="33" customFormat="1" ht="12.75" customHeight="1">
      <c r="A59" s="53"/>
      <c r="B59" s="53"/>
      <c r="C59" s="53"/>
      <c r="D59" s="53"/>
      <c r="E59" s="53"/>
      <c r="F59" s="64"/>
      <c r="G59" s="64"/>
      <c r="H59" s="64"/>
      <c r="I59" s="64"/>
      <c r="J59" s="64"/>
      <c r="K59" s="64"/>
      <c r="L59" s="64"/>
      <c r="M59" s="64"/>
      <c r="N59" s="361"/>
    </row>
    <row r="60" spans="1:14" s="33" customFormat="1" ht="12.75" customHeight="1">
      <c r="A60" s="60" t="s">
        <v>488</v>
      </c>
      <c r="B60" s="53"/>
      <c r="C60" s="53"/>
      <c r="D60" s="53"/>
      <c r="E60" s="53"/>
      <c r="F60" s="64"/>
      <c r="G60" s="64"/>
      <c r="H60" s="64"/>
      <c r="I60" s="64"/>
      <c r="J60" s="64"/>
      <c r="K60" s="64"/>
      <c r="L60" s="64"/>
      <c r="M60" s="64"/>
      <c r="N60" s="361"/>
    </row>
    <row r="61" spans="1:14" s="53" customFormat="1" ht="12.4">
      <c r="A61" s="53" t="s">
        <v>49</v>
      </c>
      <c r="B61" s="53" t="s">
        <v>46</v>
      </c>
      <c r="C61" s="53" t="s">
        <v>117</v>
      </c>
      <c r="F61" s="89">
        <v>23.9</v>
      </c>
      <c r="G61" s="89">
        <f t="shared" ref="G61:M61" si="0">F61</f>
        <v>23.9</v>
      </c>
      <c r="H61" s="89">
        <f t="shared" si="0"/>
        <v>23.9</v>
      </c>
      <c r="I61" s="89">
        <f t="shared" si="0"/>
        <v>23.9</v>
      </c>
      <c r="J61" s="89">
        <f t="shared" si="0"/>
        <v>23.9</v>
      </c>
      <c r="K61" s="89">
        <f t="shared" si="0"/>
        <v>23.9</v>
      </c>
      <c r="L61" s="89">
        <f t="shared" si="0"/>
        <v>23.9</v>
      </c>
      <c r="M61" s="89">
        <f t="shared" si="0"/>
        <v>23.9</v>
      </c>
      <c r="N61" s="351" t="s">
        <v>46</v>
      </c>
    </row>
    <row r="62" spans="1:14" s="33" customFormat="1" ht="12.75" customHeight="1">
      <c r="A62" s="33" t="s">
        <v>220</v>
      </c>
      <c r="B62" s="79" t="s">
        <v>219</v>
      </c>
      <c r="C62" s="51" t="s">
        <v>375</v>
      </c>
      <c r="D62" s="79"/>
      <c r="E62" s="79"/>
      <c r="F62" s="76">
        <v>50</v>
      </c>
      <c r="G62" s="76">
        <v>51</v>
      </c>
      <c r="H62" s="76">
        <v>52</v>
      </c>
      <c r="I62" s="76">
        <v>53</v>
      </c>
      <c r="J62" s="76">
        <v>54</v>
      </c>
      <c r="K62" s="76">
        <v>55</v>
      </c>
      <c r="L62" s="76">
        <v>56</v>
      </c>
      <c r="M62" s="76">
        <v>57</v>
      </c>
      <c r="N62" s="351" t="s">
        <v>219</v>
      </c>
    </row>
    <row r="63" spans="1:14" s="111" customFormat="1" ht="12.4">
      <c r="A63" s="121" t="s">
        <v>217</v>
      </c>
      <c r="B63" s="210" t="s">
        <v>51</v>
      </c>
      <c r="C63" s="257" t="s">
        <v>489</v>
      </c>
      <c r="D63" s="131"/>
      <c r="E63" s="131"/>
      <c r="F63" s="244">
        <v>150.69999999999999</v>
      </c>
      <c r="G63" s="244">
        <v>173.1</v>
      </c>
      <c r="H63" s="244">
        <v>210.7</v>
      </c>
      <c r="I63" s="244">
        <v>226.1</v>
      </c>
      <c r="J63" s="244">
        <v>245.3</v>
      </c>
      <c r="K63" s="244">
        <v>261.39999999999998</v>
      </c>
      <c r="L63" s="244">
        <v>270.89999999999998</v>
      </c>
      <c r="M63" s="244">
        <v>274.7</v>
      </c>
      <c r="N63" s="343" t="s">
        <v>51</v>
      </c>
    </row>
    <row r="64" spans="1:14" s="33" customFormat="1" ht="12.75" customHeight="1">
      <c r="B64" s="79"/>
      <c r="C64" s="51"/>
      <c r="D64" s="90"/>
      <c r="E64" s="90"/>
      <c r="F64" s="91"/>
      <c r="G64" s="91"/>
      <c r="H64" s="91"/>
      <c r="I64" s="91"/>
      <c r="J64" s="91"/>
      <c r="K64" s="91"/>
      <c r="L64" s="91"/>
      <c r="M64" s="91"/>
      <c r="N64" s="379"/>
    </row>
    <row r="65" spans="1:14" s="33" customFormat="1" ht="12.75" customHeight="1">
      <c r="A65" s="2" t="s">
        <v>374</v>
      </c>
      <c r="C65" s="34"/>
      <c r="D65" s="34"/>
      <c r="E65" s="34"/>
      <c r="F65" s="92"/>
      <c r="G65" s="92"/>
      <c r="H65" s="92"/>
      <c r="I65" s="92"/>
      <c r="J65" s="92"/>
      <c r="K65" s="92"/>
      <c r="L65" s="92"/>
      <c r="M65" s="92"/>
      <c r="N65" s="361"/>
    </row>
    <row r="66" spans="1:14" s="53" customFormat="1" ht="12.4">
      <c r="A66" s="336" t="s">
        <v>490</v>
      </c>
      <c r="B66" s="53" t="s">
        <v>55</v>
      </c>
      <c r="C66" s="53" t="s">
        <v>117</v>
      </c>
      <c r="F66" s="89">
        <v>0.9</v>
      </c>
      <c r="G66" s="89">
        <f t="shared" ref="G66:M66" si="1">F66</f>
        <v>0.9</v>
      </c>
      <c r="H66" s="89">
        <f t="shared" si="1"/>
        <v>0.9</v>
      </c>
      <c r="I66" s="89">
        <f t="shared" si="1"/>
        <v>0.9</v>
      </c>
      <c r="J66" s="89">
        <f t="shared" si="1"/>
        <v>0.9</v>
      </c>
      <c r="K66" s="89">
        <f t="shared" si="1"/>
        <v>0.9</v>
      </c>
      <c r="L66" s="89">
        <f t="shared" si="1"/>
        <v>0.9</v>
      </c>
      <c r="M66" s="89">
        <f t="shared" si="1"/>
        <v>0.9</v>
      </c>
      <c r="N66" s="343" t="s">
        <v>55</v>
      </c>
    </row>
    <row r="67" spans="1:14" s="65" customFormat="1" ht="12.4">
      <c r="A67" s="375"/>
      <c r="F67" s="66"/>
      <c r="G67" s="66"/>
      <c r="H67" s="66"/>
      <c r="I67" s="66"/>
      <c r="J67" s="66"/>
      <c r="K67" s="66"/>
      <c r="L67" s="66"/>
      <c r="M67" s="66"/>
      <c r="N67" s="375"/>
    </row>
    <row r="68" spans="1:14" ht="12.75" customHeight="1">
      <c r="A68" s="335"/>
      <c r="N68" s="335"/>
    </row>
    <row r="69" spans="1:14" ht="21" customHeight="1">
      <c r="A69" s="376" t="s">
        <v>491</v>
      </c>
      <c r="N69" s="335"/>
    </row>
    <row r="70" spans="1:14" ht="12.75" customHeight="1">
      <c r="A70" s="377" t="s">
        <v>365</v>
      </c>
      <c r="N70" s="335"/>
    </row>
    <row r="71" spans="1:14" s="33" customFormat="1" ht="12.75" customHeight="1">
      <c r="A71" s="361" t="s">
        <v>382</v>
      </c>
      <c r="B71" s="33" t="s">
        <v>149</v>
      </c>
      <c r="C71" s="257" t="s">
        <v>1</v>
      </c>
      <c r="D71" s="34"/>
      <c r="E71" s="69"/>
      <c r="F71" s="69"/>
      <c r="G71" s="69"/>
      <c r="H71" s="69"/>
      <c r="I71" s="69"/>
      <c r="J71" s="69"/>
      <c r="K71" s="69"/>
      <c r="L71" s="69"/>
      <c r="M71" s="69"/>
      <c r="N71" s="352" t="s">
        <v>142</v>
      </c>
    </row>
    <row r="72" spans="1:14" ht="12.75" customHeight="1">
      <c r="A72" s="355" t="s">
        <v>250</v>
      </c>
      <c r="B72" s="37" t="s">
        <v>137</v>
      </c>
      <c r="C72" s="257" t="s">
        <v>1</v>
      </c>
      <c r="E72" s="69">
        <v>213.8</v>
      </c>
      <c r="F72" s="69">
        <v>257.22300000000001</v>
      </c>
      <c r="G72" s="69">
        <v>249.18199999999999</v>
      </c>
      <c r="H72" s="69">
        <v>235.12299999999999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352" t="s">
        <v>137</v>
      </c>
    </row>
    <row r="73" spans="1:14" ht="12.75" customHeight="1">
      <c r="A73" s="355" t="s">
        <v>251</v>
      </c>
      <c r="B73" s="37" t="s">
        <v>138</v>
      </c>
      <c r="C73" s="257" t="s">
        <v>1</v>
      </c>
      <c r="E73" s="69">
        <v>8.6120000000000001</v>
      </c>
      <c r="F73" s="69">
        <v>13.486000000000001</v>
      </c>
      <c r="G73" s="69">
        <v>14.060000000000002</v>
      </c>
      <c r="H73" s="69">
        <v>14.06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352" t="s">
        <v>138</v>
      </c>
    </row>
    <row r="74" spans="1:14" ht="12.75" customHeight="1">
      <c r="A74" s="355" t="s">
        <v>252</v>
      </c>
      <c r="B74" s="37" t="s">
        <v>139</v>
      </c>
      <c r="C74" s="257" t="s">
        <v>1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454.19499999999999</v>
      </c>
      <c r="K74" s="69">
        <v>0</v>
      </c>
      <c r="L74" s="69">
        <v>0</v>
      </c>
      <c r="M74" s="69">
        <v>0</v>
      </c>
      <c r="N74" s="352" t="s">
        <v>139</v>
      </c>
    </row>
    <row r="75" spans="1:14" ht="12.75" customHeight="1">
      <c r="A75" s="355" t="s">
        <v>253</v>
      </c>
      <c r="B75" s="57" t="s">
        <v>140</v>
      </c>
      <c r="C75" s="257" t="s">
        <v>1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27.538</v>
      </c>
      <c r="K75" s="69">
        <v>27.538</v>
      </c>
      <c r="L75" s="69">
        <v>27.538</v>
      </c>
      <c r="M75" s="69">
        <v>27.538</v>
      </c>
      <c r="N75" s="352" t="s">
        <v>140</v>
      </c>
    </row>
    <row r="76" spans="1:14" ht="12.75" customHeight="1">
      <c r="A76" s="355" t="s">
        <v>254</v>
      </c>
      <c r="B76" s="57" t="s">
        <v>143</v>
      </c>
      <c r="C76" s="257" t="s">
        <v>1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440.42599999999999</v>
      </c>
      <c r="K76" s="69">
        <v>412.887</v>
      </c>
      <c r="L76" s="69">
        <v>385.34899999999999</v>
      </c>
      <c r="M76" s="69">
        <v>357.81099999999998</v>
      </c>
      <c r="N76" s="352" t="s">
        <v>143</v>
      </c>
    </row>
    <row r="77" spans="1:14" ht="12.75" customHeight="1">
      <c r="A77" s="335"/>
      <c r="G77" s="292"/>
      <c r="N77" s="335"/>
    </row>
    <row r="78" spans="1:14" ht="12.75" customHeight="1">
      <c r="A78" s="355" t="s">
        <v>492</v>
      </c>
      <c r="B78" s="57" t="s">
        <v>141</v>
      </c>
      <c r="C78" s="80" t="s">
        <v>105</v>
      </c>
      <c r="D78" s="72">
        <v>8.7999999999999995E-2</v>
      </c>
      <c r="E78" s="72">
        <v>8.7999999999999995E-2</v>
      </c>
      <c r="F78" s="72">
        <v>8.7999999999999995E-2</v>
      </c>
      <c r="G78" s="72">
        <v>8.7999999999999995E-2</v>
      </c>
      <c r="H78" s="72">
        <v>8.7999999999999995E-2</v>
      </c>
      <c r="I78" s="72">
        <v>8.7999999999999995E-2</v>
      </c>
      <c r="J78" s="72">
        <v>8.7999999999999995E-2</v>
      </c>
      <c r="K78" s="72">
        <v>8.7999999999999995E-2</v>
      </c>
      <c r="L78" s="72">
        <v>8.7999999999999995E-2</v>
      </c>
      <c r="M78" s="72">
        <v>8.7999999999999995E-2</v>
      </c>
      <c r="N78" s="352" t="s">
        <v>141</v>
      </c>
    </row>
    <row r="79" spans="1:14" ht="12.75" customHeight="1">
      <c r="A79" s="335"/>
      <c r="N79" s="335"/>
    </row>
    <row r="80" spans="1:14" ht="12.75" customHeight="1">
      <c r="A80" s="335"/>
      <c r="N80" s="335"/>
    </row>
    <row r="81" spans="1:14" ht="12.75" customHeight="1">
      <c r="A81" s="377" t="s">
        <v>366</v>
      </c>
      <c r="N81" s="335"/>
    </row>
    <row r="82" spans="1:14" s="33" customFormat="1" ht="12.75" customHeight="1">
      <c r="A82" s="361" t="s">
        <v>382</v>
      </c>
      <c r="B82" s="33" t="s">
        <v>149</v>
      </c>
      <c r="C82" s="257" t="s">
        <v>1</v>
      </c>
      <c r="D82" s="34"/>
      <c r="E82" s="69"/>
      <c r="F82" s="69"/>
      <c r="G82" s="69"/>
      <c r="H82" s="69"/>
      <c r="I82" s="69"/>
      <c r="J82" s="69"/>
      <c r="K82" s="69"/>
      <c r="L82" s="69"/>
      <c r="M82" s="69"/>
      <c r="N82" s="352" t="s">
        <v>142</v>
      </c>
    </row>
    <row r="83" spans="1:14" ht="12.75" customHeight="1">
      <c r="A83" s="355" t="s">
        <v>250</v>
      </c>
      <c r="B83" s="37" t="s">
        <v>137</v>
      </c>
      <c r="C83" s="257" t="s">
        <v>1</v>
      </c>
      <c r="E83" s="69"/>
      <c r="F83" s="69"/>
      <c r="G83" s="69"/>
      <c r="H83" s="69"/>
      <c r="I83" s="69"/>
      <c r="J83" s="69"/>
      <c r="K83" s="69"/>
      <c r="L83" s="69"/>
      <c r="M83" s="69"/>
      <c r="N83" s="352" t="s">
        <v>368</v>
      </c>
    </row>
    <row r="84" spans="1:14" ht="12.75" customHeight="1">
      <c r="A84" s="355" t="s">
        <v>251</v>
      </c>
      <c r="B84" s="37" t="s">
        <v>138</v>
      </c>
      <c r="C84" s="257" t="s">
        <v>1</v>
      </c>
      <c r="E84" s="69"/>
      <c r="F84" s="69"/>
      <c r="G84" s="69"/>
      <c r="H84" s="69"/>
      <c r="I84" s="69"/>
      <c r="J84" s="69"/>
      <c r="K84" s="69"/>
      <c r="L84" s="69"/>
      <c r="M84" s="69"/>
      <c r="N84" s="352" t="s">
        <v>369</v>
      </c>
    </row>
    <row r="85" spans="1:14" ht="12.75" customHeight="1">
      <c r="A85" s="355" t="s">
        <v>252</v>
      </c>
      <c r="B85" s="37" t="s">
        <v>139</v>
      </c>
      <c r="C85" s="257" t="s">
        <v>1</v>
      </c>
      <c r="E85" s="69"/>
      <c r="F85" s="69"/>
      <c r="G85" s="69"/>
      <c r="H85" s="69"/>
      <c r="I85" s="69"/>
      <c r="J85" s="69"/>
      <c r="K85" s="69"/>
      <c r="L85" s="69"/>
      <c r="M85" s="69"/>
      <c r="N85" s="352" t="s">
        <v>139</v>
      </c>
    </row>
    <row r="86" spans="1:14" ht="12.75" customHeight="1">
      <c r="A86" s="355" t="s">
        <v>253</v>
      </c>
      <c r="B86" s="57" t="s">
        <v>140</v>
      </c>
      <c r="C86" s="257" t="s">
        <v>1</v>
      </c>
      <c r="E86" s="73">
        <v>0.39300000000000002</v>
      </c>
      <c r="F86" s="73">
        <v>0.39300000000000002</v>
      </c>
      <c r="G86" s="73">
        <v>0.74299999999999999</v>
      </c>
      <c r="H86" s="69">
        <v>0.74299999999999999</v>
      </c>
      <c r="I86" s="69"/>
      <c r="J86" s="69"/>
      <c r="K86" s="69"/>
      <c r="L86" s="69"/>
      <c r="M86" s="69"/>
      <c r="N86" s="352" t="s">
        <v>584</v>
      </c>
    </row>
    <row r="87" spans="1:14" ht="12.75" customHeight="1">
      <c r="A87" s="355" t="s">
        <v>254</v>
      </c>
      <c r="B87" s="57" t="s">
        <v>143</v>
      </c>
      <c r="C87" s="257" t="s">
        <v>1</v>
      </c>
      <c r="E87" s="73">
        <v>6.8739999999999997</v>
      </c>
      <c r="F87" s="73">
        <v>6.48</v>
      </c>
      <c r="G87" s="73">
        <v>13</v>
      </c>
      <c r="H87" s="69">
        <v>12.257999999999999</v>
      </c>
      <c r="I87" s="69"/>
      <c r="J87" s="69"/>
      <c r="K87" s="69"/>
      <c r="L87" s="69"/>
      <c r="M87" s="69"/>
      <c r="N87" s="352" t="s">
        <v>367</v>
      </c>
    </row>
    <row r="88" spans="1:14" ht="12.75" customHeight="1">
      <c r="A88" s="335"/>
      <c r="N88" s="335"/>
    </row>
    <row r="89" spans="1:14" ht="12.75" customHeight="1">
      <c r="A89" s="355" t="s">
        <v>492</v>
      </c>
      <c r="B89" s="57" t="s">
        <v>141</v>
      </c>
      <c r="C89" s="80" t="s">
        <v>105</v>
      </c>
      <c r="D89" s="72">
        <v>8.7999999999999995E-2</v>
      </c>
      <c r="E89" s="72">
        <v>8.7999999999999995E-2</v>
      </c>
      <c r="F89" s="72">
        <v>8.7999999999999995E-2</v>
      </c>
      <c r="G89" s="72">
        <v>8.7999999999999995E-2</v>
      </c>
      <c r="H89" s="72">
        <v>8.7999999999999995E-2</v>
      </c>
      <c r="I89" s="72">
        <v>8.7999999999999995E-2</v>
      </c>
      <c r="J89" s="72">
        <v>8.7999999999999995E-2</v>
      </c>
      <c r="K89" s="72">
        <v>8.7999999999999995E-2</v>
      </c>
      <c r="L89" s="72">
        <v>8.7999999999999995E-2</v>
      </c>
      <c r="M89" s="72">
        <v>8.7999999999999995E-2</v>
      </c>
      <c r="N89" s="352" t="s">
        <v>141</v>
      </c>
    </row>
    <row r="90" spans="1:14" ht="12.75" customHeight="1">
      <c r="N90" s="335"/>
    </row>
    <row r="91" spans="1:14" ht="12.75" customHeight="1">
      <c r="N91" s="335"/>
    </row>
    <row r="92" spans="1:14" ht="12.75" customHeight="1">
      <c r="N92" s="335"/>
    </row>
    <row r="93" spans="1:14" ht="12.75" customHeight="1">
      <c r="N93" s="335"/>
    </row>
    <row r="94" spans="1:14" ht="12.75" customHeight="1">
      <c r="N94" s="335"/>
    </row>
    <row r="95" spans="1:14" ht="12.75" customHeight="1">
      <c r="N95" s="335"/>
    </row>
    <row r="96" spans="1:14" ht="12.75" customHeight="1">
      <c r="N96" s="335"/>
    </row>
    <row r="97" spans="14:14" ht="12.75" customHeight="1">
      <c r="N97" s="335"/>
    </row>
    <row r="98" spans="14:14" ht="12.75" customHeight="1"/>
    <row r="99" spans="14:14" ht="12.75" customHeight="1"/>
    <row r="100" spans="14:14" ht="12.75" customHeight="1"/>
    <row r="101" spans="14:14" ht="12.75" customHeight="1"/>
    <row r="102" spans="14:14" ht="12.75" customHeight="1"/>
    <row r="103" spans="14:14" ht="12.75" customHeight="1"/>
    <row r="104" spans="14:14" ht="12.75" customHeight="1"/>
    <row r="105" spans="14:14" ht="12.75" customHeight="1"/>
    <row r="106" spans="14:14" ht="12.75" customHeight="1"/>
    <row r="107" spans="14:14" ht="12.75" customHeight="1"/>
    <row r="108" spans="14:14" ht="12.75" customHeight="1"/>
    <row r="109" spans="14:14" ht="12.75" customHeight="1"/>
    <row r="110" spans="14:14" ht="12.75" customHeight="1"/>
    <row r="111" spans="14:14" ht="12.75" customHeight="1"/>
    <row r="112" spans="14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</sheetData>
  <sheetProtection formatCells="0" formatColumns="0" formatRows="0" insertHyperlinks="0" autoFilter="0" pivotTables="0"/>
  <mergeCells count="1">
    <mergeCell ref="I4:K4"/>
  </mergeCells>
  <pageMargins left="0.45" right="0.33" top="0.62" bottom="0.56999999999999995" header="0.31496062992125984" footer="0.31496062992125984"/>
  <pageSetup paperSize="8" orientation="landscape" r:id="rId1"/>
  <headerFooter>
    <oddHeader>&amp;C&amp;A</oddHeader>
    <oddFooter>&amp;L&amp;D &amp;T&amp;C&amp;Z&amp;R&amp;F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99"/>
    <pageSetUpPr fitToPage="1"/>
  </sheetPr>
  <dimension ref="A1:AB447"/>
  <sheetViews>
    <sheetView showGridLines="0" tabSelected="1" zoomScale="85" zoomScaleNormal="85" zoomScaleSheetLayoutView="90" workbookViewId="0">
      <pane xSplit="1" ySplit="4" topLeftCell="B5" activePane="bottomRight" state="frozen"/>
      <selection activeCell="H27" sqref="H27"/>
      <selection pane="topRight" activeCell="H27" sqref="H27"/>
      <selection pane="bottomLeft" activeCell="H27" sqref="H27"/>
      <selection pane="bottomRight" activeCell="L25" sqref="L25"/>
    </sheetView>
  </sheetViews>
  <sheetFormatPr defaultColWidth="0" defaultRowHeight="12.75" customHeight="1" zeroHeight="1"/>
  <cols>
    <col min="1" max="1" width="62.64453125" style="101" customWidth="1"/>
    <col min="2" max="2" width="13.703125" style="96" customWidth="1"/>
    <col min="3" max="5" width="9.1171875" style="114" customWidth="1"/>
    <col min="6" max="6" width="11.703125" style="101" bestFit="1" customWidth="1"/>
    <col min="7" max="13" width="9.3515625" style="101" customWidth="1"/>
    <col min="14" max="14" width="14.64453125" style="96" customWidth="1"/>
    <col min="15" max="15" width="11.46875" style="96" hidden="1" customWidth="1"/>
    <col min="16" max="16" width="6.64453125" style="96" hidden="1" customWidth="1"/>
    <col min="17" max="17" width="18.17578125" style="96" hidden="1" customWidth="1"/>
    <col min="18" max="18" width="18.17578125" style="101" hidden="1" customWidth="1"/>
    <col min="19" max="19" width="11.46875" style="101" hidden="1" customWidth="1"/>
    <col min="20" max="20" width="6.64453125" style="101" hidden="1" customWidth="1"/>
    <col min="21" max="28" width="18.17578125" style="101" hidden="1" customWidth="1"/>
    <col min="29" max="16384" width="9" style="101" hidden="1"/>
  </cols>
  <sheetData>
    <row r="1" spans="1:23" s="96" customFormat="1" ht="14.65">
      <c r="A1" s="93" t="s">
        <v>109</v>
      </c>
      <c r="B1" s="94"/>
      <c r="C1" s="95"/>
      <c r="D1" s="95"/>
      <c r="E1" s="95"/>
      <c r="N1" s="338"/>
    </row>
    <row r="2" spans="1:23" s="96" customFormat="1" ht="12.4">
      <c r="A2" s="97" t="str">
        <f>CompName</f>
        <v>Scottish Hydro Electric Transmission Plc</v>
      </c>
      <c r="C2" s="95"/>
      <c r="D2" s="95"/>
      <c r="E2" s="95"/>
      <c r="N2" s="338"/>
    </row>
    <row r="3" spans="1:23" ht="30" customHeight="1">
      <c r="A3" s="98" t="str">
        <f>'R5 Input page'!F7</f>
        <v>Regulatory Year ending 31 March 2019</v>
      </c>
      <c r="B3" s="99"/>
      <c r="C3" s="100"/>
      <c r="D3" s="100"/>
      <c r="E3" s="100"/>
      <c r="G3" s="390" t="s">
        <v>102</v>
      </c>
      <c r="H3" s="390"/>
      <c r="I3" s="102"/>
      <c r="J3" s="102"/>
      <c r="K3" s="102"/>
      <c r="L3" s="102"/>
      <c r="M3" s="102"/>
      <c r="N3" s="380"/>
      <c r="P3" s="99"/>
    </row>
    <row r="4" spans="1:23" s="96" customFormat="1" ht="12.4">
      <c r="B4" s="213"/>
      <c r="C4" s="213" t="s">
        <v>0</v>
      </c>
      <c r="D4" s="105">
        <v>2012</v>
      </c>
      <c r="E4" s="105">
        <v>2013</v>
      </c>
      <c r="F4" s="105">
        <v>2014</v>
      </c>
      <c r="G4" s="105">
        <v>2015</v>
      </c>
      <c r="H4" s="105">
        <v>2016</v>
      </c>
      <c r="I4" s="105">
        <v>2017</v>
      </c>
      <c r="J4" s="105">
        <v>2018</v>
      </c>
      <c r="K4" s="105">
        <v>2019</v>
      </c>
      <c r="L4" s="105">
        <v>2020</v>
      </c>
      <c r="M4" s="105">
        <v>2021</v>
      </c>
      <c r="N4" s="344" t="s">
        <v>104</v>
      </c>
      <c r="R4" s="101"/>
      <c r="S4" s="101"/>
      <c r="T4" s="101"/>
      <c r="U4" s="101"/>
      <c r="V4" s="101"/>
      <c r="W4" s="101"/>
    </row>
    <row r="5" spans="1:23" ht="14.65">
      <c r="A5" s="93" t="s">
        <v>110</v>
      </c>
      <c r="B5" s="106"/>
      <c r="C5" s="107"/>
      <c r="D5" s="107"/>
      <c r="E5" s="107"/>
      <c r="F5" s="108"/>
      <c r="G5" s="108"/>
      <c r="H5" s="108"/>
      <c r="I5" s="108"/>
      <c r="J5" s="108"/>
      <c r="K5" s="108"/>
      <c r="L5" s="108"/>
      <c r="M5" s="108"/>
      <c r="N5" s="344"/>
      <c r="P5" s="99"/>
    </row>
    <row r="6" spans="1:23" ht="14.65">
      <c r="A6" s="96" t="s">
        <v>260</v>
      </c>
      <c r="C6" s="95"/>
      <c r="D6" s="95"/>
      <c r="E6" s="394" t="s">
        <v>307</v>
      </c>
      <c r="F6" s="395"/>
      <c r="G6" s="395"/>
      <c r="H6" s="395"/>
      <c r="I6" s="395"/>
      <c r="J6" s="396"/>
      <c r="K6" s="109"/>
      <c r="L6" s="109"/>
      <c r="M6" s="109"/>
      <c r="N6" s="344" t="s">
        <v>111</v>
      </c>
    </row>
    <row r="7" spans="1:23" ht="14.65">
      <c r="A7" s="96" t="s">
        <v>112</v>
      </c>
      <c r="C7" s="95"/>
      <c r="D7" s="95"/>
      <c r="E7" s="95"/>
      <c r="F7" s="391" t="s">
        <v>605</v>
      </c>
      <c r="G7" s="392"/>
      <c r="H7" s="392"/>
      <c r="I7" s="393"/>
      <c r="J7" s="109"/>
      <c r="K7" s="109"/>
      <c r="L7" s="109"/>
      <c r="M7" s="109"/>
      <c r="N7" s="344" t="s">
        <v>135</v>
      </c>
    </row>
    <row r="8" spans="1:23" s="96" customFormat="1" ht="12.4">
      <c r="A8" s="97"/>
      <c r="C8" s="95"/>
      <c r="D8" s="95"/>
      <c r="E8" s="95"/>
      <c r="F8" s="103"/>
      <c r="N8" s="344"/>
      <c r="R8" s="101"/>
      <c r="S8" s="101"/>
      <c r="T8" s="101"/>
      <c r="U8" s="101"/>
      <c r="V8" s="101"/>
      <c r="W8" s="101"/>
    </row>
    <row r="9" spans="1:23" s="96" customFormat="1" ht="12.4">
      <c r="A9" s="97"/>
      <c r="N9" s="344"/>
      <c r="R9" s="101"/>
      <c r="S9" s="101"/>
      <c r="T9" s="101"/>
      <c r="U9" s="101"/>
      <c r="V9" s="101"/>
      <c r="W9" s="101"/>
    </row>
    <row r="10" spans="1:23" s="96" customFormat="1" ht="12.4">
      <c r="A10" s="97" t="s">
        <v>124</v>
      </c>
      <c r="C10" s="95" t="s">
        <v>117</v>
      </c>
      <c r="D10" s="125">
        <f t="shared" ref="D10:M10" si="0">D11/$B$11</f>
        <v>1.0999921211306642</v>
      </c>
      <c r="E10" s="125">
        <f t="shared" si="0"/>
        <v>1.1339778557425371</v>
      </c>
      <c r="F10" s="125">
        <f t="shared" si="0"/>
        <v>1.1666890673736021</v>
      </c>
      <c r="G10" s="125">
        <f t="shared" si="0"/>
        <v>1.1895563269638081</v>
      </c>
      <c r="H10" s="125">
        <f t="shared" si="0"/>
        <v>1.2023757108362261</v>
      </c>
      <c r="I10" s="125">
        <f t="shared" si="0"/>
        <v>1.2281396135646323</v>
      </c>
      <c r="J10" s="125">
        <f t="shared" si="0"/>
        <v>1.2740965949380583</v>
      </c>
      <c r="K10" s="125">
        <f t="shared" si="0"/>
        <v>1.309769334513619</v>
      </c>
      <c r="L10" s="125">
        <f t="shared" si="0"/>
        <v>1.3464431539577413</v>
      </c>
      <c r="M10" s="125">
        <f t="shared" si="0"/>
        <v>1.3841458610445527</v>
      </c>
      <c r="N10" s="344" t="s">
        <v>122</v>
      </c>
      <c r="R10" s="101"/>
      <c r="S10" s="101"/>
      <c r="T10" s="101"/>
      <c r="U10" s="101"/>
      <c r="V10" s="101"/>
      <c r="W10" s="101"/>
    </row>
    <row r="11" spans="1:23" s="96" customFormat="1" ht="24.75">
      <c r="A11" s="97" t="s">
        <v>125</v>
      </c>
      <c r="B11" s="75">
        <v>215.767</v>
      </c>
      <c r="C11" s="75">
        <v>226.47499999999999</v>
      </c>
      <c r="D11" s="75">
        <v>237.34200000000001</v>
      </c>
      <c r="E11" s="75">
        <v>244.67500000000001</v>
      </c>
      <c r="F11" s="75">
        <v>251.733</v>
      </c>
      <c r="G11" s="75">
        <v>256.66699999999997</v>
      </c>
      <c r="H11" s="75">
        <v>259.43299999999999</v>
      </c>
      <c r="I11" s="75">
        <v>264.99200000000002</v>
      </c>
      <c r="J11" s="75">
        <v>274.90800000000002</v>
      </c>
      <c r="K11" s="364">
        <f>ROUND(J11*1.028,3)</f>
        <v>282.60500000000002</v>
      </c>
      <c r="L11" s="364">
        <f t="shared" ref="L11:M11" si="1">ROUND(K11*1.028,3)</f>
        <v>290.51799999999997</v>
      </c>
      <c r="M11" s="364">
        <f t="shared" si="1"/>
        <v>298.65300000000002</v>
      </c>
      <c r="N11" s="344" t="s">
        <v>587</v>
      </c>
      <c r="R11" s="101"/>
      <c r="S11" s="101"/>
      <c r="T11" s="101"/>
      <c r="U11" s="101"/>
      <c r="V11" s="101"/>
      <c r="W11" s="101"/>
    </row>
    <row r="12" spans="1:23" s="96" customFormat="1" ht="12.4">
      <c r="A12" s="97"/>
      <c r="C12" s="95"/>
      <c r="D12" s="103"/>
      <c r="E12" s="103"/>
      <c r="F12" s="103"/>
      <c r="G12" s="280"/>
      <c r="H12" s="280"/>
      <c r="I12" s="279"/>
      <c r="J12" s="279"/>
      <c r="K12" s="279"/>
      <c r="L12" s="372"/>
      <c r="M12" s="372"/>
      <c r="N12" s="344"/>
      <c r="R12" s="101"/>
      <c r="S12" s="101"/>
      <c r="T12" s="101"/>
      <c r="U12" s="101"/>
      <c r="V12" s="101"/>
      <c r="W12" s="101"/>
    </row>
    <row r="13" spans="1:23" s="111" customFormat="1" ht="12.4">
      <c r="A13" s="110" t="s">
        <v>176</v>
      </c>
      <c r="L13" s="273"/>
      <c r="M13" s="273"/>
      <c r="N13" s="332"/>
    </row>
    <row r="14" spans="1:23" s="111" customFormat="1" ht="14.25">
      <c r="C14" s="110" t="s">
        <v>177</v>
      </c>
      <c r="D14" s="112">
        <v>2012</v>
      </c>
      <c r="E14" s="112">
        <v>2013</v>
      </c>
      <c r="F14" s="112">
        <v>2014</v>
      </c>
      <c r="G14" s="112">
        <v>2015</v>
      </c>
      <c r="H14" s="112">
        <v>2016</v>
      </c>
      <c r="I14" s="112">
        <v>2017</v>
      </c>
      <c r="J14" s="112">
        <v>2018</v>
      </c>
      <c r="K14" s="112">
        <v>2019</v>
      </c>
      <c r="L14" s="112">
        <v>2020</v>
      </c>
      <c r="M14" s="112">
        <v>2021</v>
      </c>
      <c r="N14" s="332"/>
    </row>
    <row r="15" spans="1:23" s="111" customFormat="1" ht="12.4">
      <c r="A15" s="111" t="s">
        <v>178</v>
      </c>
      <c r="B15" s="111" t="s">
        <v>179</v>
      </c>
      <c r="D15" s="74">
        <v>3.3000000000000002E-2</v>
      </c>
      <c r="E15" s="74">
        <v>2.5999999999999999E-2</v>
      </c>
      <c r="N15" s="332"/>
    </row>
    <row r="16" spans="1:23" s="111" customFormat="1" ht="12.4">
      <c r="A16" s="111" t="s">
        <v>178</v>
      </c>
      <c r="B16" s="111" t="s">
        <v>180</v>
      </c>
      <c r="D16" s="74">
        <v>3.1E-2</v>
      </c>
      <c r="E16" s="74">
        <v>2.7E-2</v>
      </c>
      <c r="F16" s="74">
        <v>2.5000000000000001E-2</v>
      </c>
      <c r="G16" s="273"/>
      <c r="H16" s="273"/>
      <c r="I16" s="273"/>
      <c r="J16" s="273"/>
      <c r="K16" s="273"/>
      <c r="L16" s="273"/>
      <c r="N16" s="332"/>
    </row>
    <row r="17" spans="1:23" s="111" customFormat="1" ht="12.4">
      <c r="A17" s="111" t="s">
        <v>178</v>
      </c>
      <c r="B17" s="111" t="s">
        <v>181</v>
      </c>
      <c r="D17" s="273"/>
      <c r="E17" s="74">
        <v>3.1E-2</v>
      </c>
      <c r="F17" s="74">
        <v>3.1E-2</v>
      </c>
      <c r="G17" s="74">
        <v>0.03</v>
      </c>
      <c r="H17" s="273"/>
      <c r="I17" s="273"/>
      <c r="J17" s="273"/>
      <c r="K17" s="273"/>
      <c r="L17" s="273"/>
      <c r="N17" s="332"/>
    </row>
    <row r="18" spans="1:23" s="111" customFormat="1" ht="12.4">
      <c r="A18" s="111" t="s">
        <v>178</v>
      </c>
      <c r="B18" s="111" t="s">
        <v>182</v>
      </c>
      <c r="D18" s="273"/>
      <c r="E18" s="273"/>
      <c r="F18" s="74">
        <v>2.5000000000000001E-2</v>
      </c>
      <c r="G18" s="74">
        <v>2.4E-2</v>
      </c>
      <c r="H18" s="74">
        <v>3.2000000000000001E-2</v>
      </c>
      <c r="I18" s="273"/>
      <c r="J18" s="273"/>
      <c r="K18" s="273"/>
      <c r="L18" s="273"/>
      <c r="N18" s="332"/>
    </row>
    <row r="19" spans="1:23" s="111" customFormat="1" ht="12.4">
      <c r="A19" s="111" t="s">
        <v>178</v>
      </c>
      <c r="B19" s="111" t="s">
        <v>183</v>
      </c>
      <c r="D19" s="273"/>
      <c r="E19" s="273"/>
      <c r="F19" s="273"/>
      <c r="G19" s="74">
        <v>0.01</v>
      </c>
      <c r="H19" s="74">
        <v>2.1000000000000001E-2</v>
      </c>
      <c r="I19" s="74">
        <v>0.03</v>
      </c>
      <c r="J19" s="273"/>
      <c r="K19" s="273"/>
      <c r="L19" s="273"/>
      <c r="N19" s="332"/>
    </row>
    <row r="20" spans="1:23" s="111" customFormat="1" ht="12.4">
      <c r="A20" s="111" t="s">
        <v>178</v>
      </c>
      <c r="B20" s="111" t="s">
        <v>184</v>
      </c>
      <c r="D20" s="273"/>
      <c r="E20" s="273"/>
      <c r="F20" s="273"/>
      <c r="G20" s="273"/>
      <c r="H20" s="74">
        <v>1.7999999999999999E-2</v>
      </c>
      <c r="I20" s="74">
        <v>3.5000000000000003E-2</v>
      </c>
      <c r="J20" s="74">
        <v>3.1E-2</v>
      </c>
      <c r="K20" s="273"/>
      <c r="L20" s="273"/>
      <c r="N20" s="332"/>
    </row>
    <row r="21" spans="1:23" s="111" customFormat="1" ht="12.4">
      <c r="A21" s="111" t="s">
        <v>178</v>
      </c>
      <c r="B21" s="111" t="s">
        <v>185</v>
      </c>
      <c r="D21" s="273"/>
      <c r="E21" s="273"/>
      <c r="F21" s="273"/>
      <c r="G21" s="273"/>
      <c r="H21" s="273"/>
      <c r="I21" s="74">
        <v>3.5999999999999997E-2</v>
      </c>
      <c r="J21" s="74">
        <v>3.4000000000000002E-2</v>
      </c>
      <c r="K21" s="74">
        <v>3.1E-2</v>
      </c>
      <c r="L21" s="273"/>
      <c r="N21" s="332"/>
    </row>
    <row r="22" spans="1:23" s="111" customFormat="1" ht="12.4">
      <c r="A22" s="111" t="s">
        <v>178</v>
      </c>
      <c r="B22" s="111" t="s">
        <v>186</v>
      </c>
      <c r="D22" s="273"/>
      <c r="E22" s="273"/>
      <c r="F22" s="273"/>
      <c r="G22" s="273"/>
      <c r="H22" s="273"/>
      <c r="I22" s="273"/>
      <c r="J22" s="74">
        <v>3.4000000000000002E-2</v>
      </c>
      <c r="K22" s="74">
        <v>3.2000000000000001E-2</v>
      </c>
      <c r="L22" s="74">
        <v>3.1E-2</v>
      </c>
      <c r="N22" s="332"/>
    </row>
    <row r="23" spans="1:23" s="111" customFormat="1" ht="12.4">
      <c r="A23" s="111" t="s">
        <v>178</v>
      </c>
      <c r="B23" s="111" t="s">
        <v>187</v>
      </c>
      <c r="K23" s="49"/>
      <c r="L23" s="49"/>
      <c r="M23" s="49"/>
      <c r="N23" s="332"/>
    </row>
    <row r="24" spans="1:23" s="111" customFormat="1" ht="12.4">
      <c r="N24" s="332"/>
    </row>
    <row r="25" spans="1:23" s="96" customFormat="1" ht="12.4">
      <c r="A25" s="97" t="s">
        <v>118</v>
      </c>
      <c r="B25" s="96" t="s">
        <v>285</v>
      </c>
      <c r="C25" s="95" t="s">
        <v>1</v>
      </c>
      <c r="D25" s="111"/>
      <c r="E25" s="111"/>
      <c r="F25" s="284">
        <v>0</v>
      </c>
      <c r="G25" s="284">
        <v>8.7129999999999992</v>
      </c>
      <c r="H25" s="284">
        <v>85.16</v>
      </c>
      <c r="I25" s="284">
        <v>87.611999999999995</v>
      </c>
      <c r="J25" s="284">
        <v>52.688000000000002</v>
      </c>
      <c r="K25" s="284">
        <v>76.257999999999996</v>
      </c>
      <c r="L25" s="284">
        <v>76.828000000000003</v>
      </c>
      <c r="M25" s="281"/>
      <c r="N25" s="344" t="s">
        <v>285</v>
      </c>
      <c r="R25" s="101"/>
      <c r="S25" s="101"/>
      <c r="T25" s="101"/>
      <c r="U25" s="101"/>
      <c r="V25" s="101"/>
      <c r="W25" s="101"/>
    </row>
    <row r="26" spans="1:23" s="96" customFormat="1" ht="12.4">
      <c r="A26" s="97"/>
      <c r="C26" s="95"/>
      <c r="D26" s="103"/>
      <c r="E26" s="103"/>
      <c r="F26" s="103"/>
      <c r="G26" s="103"/>
      <c r="H26" s="103"/>
      <c r="N26" s="344"/>
      <c r="R26" s="101"/>
      <c r="S26" s="101"/>
      <c r="T26" s="101"/>
      <c r="U26" s="101"/>
      <c r="V26" s="101"/>
      <c r="W26" s="101"/>
    </row>
    <row r="27" spans="1:23" s="96" customFormat="1" ht="12.4">
      <c r="K27" s="356"/>
      <c r="N27" s="338"/>
      <c r="R27" s="101"/>
      <c r="S27" s="101"/>
      <c r="T27" s="101"/>
      <c r="U27" s="101"/>
      <c r="V27" s="101"/>
      <c r="W27" s="101"/>
    </row>
    <row r="28" spans="1:23" s="96" customFormat="1" ht="12.4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381"/>
      <c r="R28" s="101"/>
      <c r="S28" s="101"/>
      <c r="T28" s="101"/>
      <c r="U28" s="101"/>
      <c r="V28" s="101"/>
      <c r="W28" s="101"/>
    </row>
    <row r="29" spans="1:23" s="96" customFormat="1" ht="12.4">
      <c r="A29" s="97" t="s">
        <v>10</v>
      </c>
      <c r="C29" s="95"/>
      <c r="D29" s="103"/>
      <c r="E29" s="103"/>
      <c r="F29" s="103"/>
      <c r="N29" s="344"/>
      <c r="R29" s="101"/>
      <c r="S29" s="101"/>
      <c r="T29" s="101"/>
      <c r="U29" s="101"/>
      <c r="V29" s="101"/>
      <c r="W29" s="101"/>
    </row>
    <row r="30" spans="1:23" s="96" customFormat="1" ht="12.4">
      <c r="A30" s="97"/>
      <c r="C30" s="95"/>
      <c r="D30" s="103"/>
      <c r="E30" s="103"/>
      <c r="F30" s="103"/>
      <c r="N30" s="344"/>
      <c r="R30" s="101"/>
      <c r="S30" s="101"/>
      <c r="T30" s="101"/>
      <c r="U30" s="101"/>
      <c r="V30" s="101"/>
      <c r="W30" s="101"/>
    </row>
    <row r="31" spans="1:23" s="96" customFormat="1" ht="24.75">
      <c r="A31" s="97" t="s">
        <v>513</v>
      </c>
      <c r="C31" s="95"/>
      <c r="D31" s="103"/>
      <c r="F31" s="103"/>
      <c r="N31" s="344"/>
      <c r="R31" s="101"/>
      <c r="S31" s="101"/>
      <c r="T31" s="101"/>
      <c r="U31" s="101"/>
      <c r="V31" s="101"/>
      <c r="W31" s="101"/>
    </row>
    <row r="32" spans="1:23" s="279" customFormat="1" ht="12.4">
      <c r="A32" s="134" t="s">
        <v>296</v>
      </c>
      <c r="B32" s="279" t="s">
        <v>431</v>
      </c>
      <c r="C32" s="95" t="s">
        <v>1</v>
      </c>
      <c r="D32" s="103"/>
      <c r="E32" s="284">
        <v>94.397999999999996</v>
      </c>
      <c r="F32" s="282"/>
      <c r="G32" s="283"/>
      <c r="H32" s="283"/>
      <c r="I32" s="283"/>
      <c r="J32" s="283"/>
      <c r="K32" s="283"/>
      <c r="L32" s="283"/>
      <c r="M32" s="283"/>
      <c r="N32" s="344"/>
      <c r="R32" s="101"/>
      <c r="S32" s="101"/>
      <c r="T32" s="101"/>
      <c r="U32" s="101"/>
      <c r="V32" s="101"/>
      <c r="W32" s="101"/>
    </row>
    <row r="33" spans="1:23" s="279" customFormat="1" ht="12.4">
      <c r="A33" s="206" t="s">
        <v>510</v>
      </c>
      <c r="B33" s="131" t="s">
        <v>430</v>
      </c>
      <c r="C33" s="95" t="s">
        <v>1</v>
      </c>
      <c r="D33" s="103"/>
      <c r="E33" s="284">
        <v>3.5510000000000002</v>
      </c>
      <c r="F33" s="282"/>
      <c r="G33" s="283"/>
      <c r="H33" s="283"/>
      <c r="I33" s="283"/>
      <c r="J33" s="283"/>
      <c r="K33" s="283"/>
      <c r="L33" s="283"/>
      <c r="M33" s="283"/>
      <c r="N33" s="344"/>
      <c r="R33" s="101"/>
      <c r="S33" s="101"/>
      <c r="T33" s="101"/>
      <c r="U33" s="101"/>
      <c r="V33" s="101"/>
      <c r="W33" s="101"/>
    </row>
    <row r="34" spans="1:23" s="279" customFormat="1" ht="12.4">
      <c r="A34" s="206" t="s">
        <v>506</v>
      </c>
      <c r="B34" s="131" t="s">
        <v>507</v>
      </c>
      <c r="C34" s="95" t="s">
        <v>1</v>
      </c>
      <c r="D34" s="103"/>
      <c r="E34" s="284">
        <v>0</v>
      </c>
      <c r="F34" s="282"/>
      <c r="G34" s="283"/>
      <c r="H34" s="283"/>
      <c r="I34" s="283"/>
      <c r="J34" s="283"/>
      <c r="K34" s="283"/>
      <c r="L34" s="283"/>
      <c r="M34" s="283"/>
      <c r="N34" s="344"/>
      <c r="R34" s="101"/>
      <c r="S34" s="101"/>
      <c r="T34" s="101"/>
      <c r="U34" s="101"/>
      <c r="V34" s="101"/>
      <c r="W34" s="101"/>
    </row>
    <row r="35" spans="1:23" s="279" customFormat="1" ht="12.4">
      <c r="A35" s="206" t="s">
        <v>508</v>
      </c>
      <c r="B35" s="131" t="s">
        <v>509</v>
      </c>
      <c r="C35" s="95" t="s">
        <v>1</v>
      </c>
      <c r="D35" s="103"/>
      <c r="E35" s="284">
        <v>32.988999999999997</v>
      </c>
      <c r="F35" s="282"/>
      <c r="G35" s="283"/>
      <c r="H35" s="283"/>
      <c r="I35" s="283"/>
      <c r="J35" s="283"/>
      <c r="K35" s="283"/>
      <c r="L35" s="283"/>
      <c r="M35" s="283"/>
      <c r="N35" s="344"/>
      <c r="R35" s="101"/>
      <c r="S35" s="101"/>
      <c r="T35" s="101"/>
      <c r="U35" s="101"/>
      <c r="V35" s="101"/>
      <c r="W35" s="101"/>
    </row>
    <row r="36" spans="1:23" s="279" customFormat="1" ht="12.4">
      <c r="A36" s="206" t="s">
        <v>511</v>
      </c>
      <c r="B36" s="131" t="s">
        <v>512</v>
      </c>
      <c r="C36" s="95" t="s">
        <v>1</v>
      </c>
      <c r="D36" s="103"/>
      <c r="E36" s="284">
        <v>1.867</v>
      </c>
      <c r="F36" s="282"/>
      <c r="G36" s="283"/>
      <c r="H36" s="283"/>
      <c r="I36" s="283"/>
      <c r="J36" s="283"/>
      <c r="K36" s="283"/>
      <c r="L36" s="283"/>
      <c r="M36" s="283"/>
      <c r="N36" s="344"/>
      <c r="R36" s="101"/>
      <c r="S36" s="101"/>
      <c r="T36" s="101"/>
      <c r="U36" s="101"/>
      <c r="V36" s="101"/>
      <c r="W36" s="101"/>
    </row>
    <row r="37" spans="1:23" s="279" customFormat="1" ht="12.4">
      <c r="A37" s="205" t="s">
        <v>514</v>
      </c>
      <c r="B37" s="131" t="s">
        <v>433</v>
      </c>
      <c r="C37" s="95" t="s">
        <v>1</v>
      </c>
      <c r="D37" s="103"/>
      <c r="E37" s="284">
        <v>-1.77</v>
      </c>
      <c r="F37" s="282"/>
      <c r="G37" s="283"/>
      <c r="H37" s="283"/>
      <c r="I37" s="283"/>
      <c r="J37" s="283"/>
      <c r="K37" s="283"/>
      <c r="L37" s="283"/>
      <c r="M37" s="283"/>
      <c r="N37" s="344"/>
      <c r="R37" s="101"/>
      <c r="S37" s="101"/>
      <c r="T37" s="101"/>
      <c r="U37" s="101"/>
      <c r="V37" s="101"/>
      <c r="W37" s="101"/>
    </row>
    <row r="38" spans="1:23" s="279" customFormat="1" ht="12.4">
      <c r="A38" s="273" t="s">
        <v>62</v>
      </c>
      <c r="B38" s="279" t="s">
        <v>434</v>
      </c>
      <c r="C38" s="95"/>
      <c r="D38" s="103"/>
      <c r="E38" s="284">
        <v>1.1339779999999999</v>
      </c>
      <c r="F38" s="282"/>
      <c r="G38" s="283"/>
      <c r="H38" s="283"/>
      <c r="I38" s="283"/>
      <c r="J38" s="283"/>
      <c r="K38" s="283"/>
      <c r="L38" s="283"/>
      <c r="M38" s="283"/>
      <c r="N38" s="344"/>
      <c r="R38" s="101"/>
      <c r="S38" s="101"/>
      <c r="T38" s="101"/>
      <c r="U38" s="101"/>
      <c r="V38" s="101"/>
      <c r="W38" s="101"/>
    </row>
    <row r="39" spans="1:23" s="279" customFormat="1" ht="12.4">
      <c r="A39" s="134" t="s">
        <v>426</v>
      </c>
      <c r="B39" s="279" t="s">
        <v>435</v>
      </c>
      <c r="C39" s="95" t="s">
        <v>1</v>
      </c>
      <c r="D39" s="103"/>
      <c r="E39" s="284">
        <v>8.6999999999999993</v>
      </c>
      <c r="G39" s="283"/>
      <c r="H39" s="283"/>
      <c r="I39" s="283"/>
      <c r="J39" s="283"/>
      <c r="K39" s="283"/>
      <c r="L39" s="283"/>
      <c r="M39" s="283"/>
      <c r="N39" s="344"/>
      <c r="R39" s="101"/>
      <c r="S39" s="101"/>
      <c r="T39" s="101"/>
      <c r="U39" s="101"/>
      <c r="V39" s="101"/>
      <c r="W39" s="101"/>
    </row>
    <row r="40" spans="1:23" s="279" customFormat="1" ht="12.4">
      <c r="A40" s="134"/>
      <c r="C40" s="95"/>
      <c r="D40" s="103"/>
      <c r="E40" s="287"/>
      <c r="F40" s="282"/>
      <c r="G40" s="283"/>
      <c r="H40" s="283"/>
      <c r="I40" s="283"/>
      <c r="J40" s="283"/>
      <c r="K40" s="283"/>
      <c r="L40" s="283"/>
      <c r="M40" s="283"/>
      <c r="N40" s="344"/>
      <c r="R40" s="101"/>
      <c r="S40" s="101"/>
      <c r="T40" s="101"/>
      <c r="U40" s="101"/>
      <c r="V40" s="101"/>
      <c r="W40" s="101"/>
    </row>
    <row r="41" spans="1:23" s="96" customFormat="1" ht="12.4">
      <c r="A41" s="96" t="s">
        <v>387</v>
      </c>
      <c r="B41" s="96" t="s">
        <v>267</v>
      </c>
      <c r="C41" s="95" t="s">
        <v>1</v>
      </c>
      <c r="D41" s="103"/>
      <c r="E41" s="286">
        <v>131.97999999999999</v>
      </c>
      <c r="F41" s="285"/>
      <c r="G41" s="285"/>
      <c r="H41" s="285"/>
      <c r="I41" s="285"/>
      <c r="J41" s="285"/>
      <c r="K41" s="285"/>
      <c r="L41" s="285"/>
      <c r="M41" s="285"/>
      <c r="N41" s="344" t="s">
        <v>267</v>
      </c>
      <c r="R41" s="101"/>
      <c r="S41" s="101"/>
      <c r="T41" s="101"/>
      <c r="U41" s="101"/>
      <c r="V41" s="101"/>
      <c r="W41" s="101"/>
    </row>
    <row r="42" spans="1:23" s="96" customFormat="1" ht="12.4">
      <c r="A42" s="96" t="s">
        <v>268</v>
      </c>
      <c r="B42" s="96" t="s">
        <v>12</v>
      </c>
      <c r="C42" s="95" t="s">
        <v>1</v>
      </c>
      <c r="D42" s="103"/>
      <c r="E42" s="286">
        <v>117.58</v>
      </c>
      <c r="F42" s="282"/>
      <c r="G42" s="283"/>
      <c r="H42" s="283"/>
      <c r="I42" s="283"/>
      <c r="J42" s="283"/>
      <c r="K42" s="283"/>
      <c r="L42" s="283"/>
      <c r="M42" s="283"/>
      <c r="N42" s="344"/>
      <c r="R42" s="101"/>
      <c r="S42" s="101"/>
      <c r="T42" s="101"/>
      <c r="U42" s="101"/>
      <c r="V42" s="101"/>
      <c r="W42" s="101"/>
    </row>
    <row r="43" spans="1:23" s="277" customFormat="1" ht="12.4">
      <c r="C43" s="95"/>
      <c r="D43" s="103"/>
      <c r="E43" s="103"/>
      <c r="F43" s="103"/>
      <c r="N43" s="344"/>
      <c r="R43" s="101"/>
      <c r="S43" s="101"/>
      <c r="T43" s="101"/>
      <c r="U43" s="101"/>
      <c r="V43" s="101"/>
      <c r="W43" s="101"/>
    </row>
    <row r="44" spans="1:23" s="96" customFormat="1" ht="12.4">
      <c r="A44" s="97"/>
      <c r="C44" s="95"/>
      <c r="D44" s="103"/>
      <c r="E44" s="103"/>
      <c r="F44" s="366"/>
      <c r="G44" s="366"/>
      <c r="H44" s="366"/>
      <c r="I44" s="366"/>
      <c r="J44" s="366"/>
      <c r="K44" s="366"/>
      <c r="L44" s="366"/>
      <c r="M44" s="366"/>
      <c r="N44" s="344"/>
      <c r="R44" s="101"/>
      <c r="S44" s="101"/>
      <c r="T44" s="101"/>
      <c r="U44" s="101"/>
      <c r="V44" s="101"/>
      <c r="W44" s="101"/>
    </row>
    <row r="45" spans="1:23" s="96" customFormat="1" ht="12.4">
      <c r="A45" s="97" t="s">
        <v>119</v>
      </c>
      <c r="C45" s="95"/>
      <c r="D45" s="103"/>
      <c r="E45" s="103"/>
      <c r="F45" s="365"/>
      <c r="G45" s="365"/>
      <c r="H45" s="365"/>
      <c r="I45" s="365"/>
      <c r="J45" s="365"/>
      <c r="K45" s="365"/>
      <c r="L45" s="365"/>
      <c r="M45" s="365"/>
      <c r="N45" s="344"/>
      <c r="R45" s="101"/>
      <c r="S45" s="101"/>
      <c r="T45" s="101"/>
      <c r="U45" s="101"/>
      <c r="V45" s="101"/>
      <c r="W45" s="101"/>
    </row>
    <row r="46" spans="1:23" s="96" customFormat="1" ht="12.4">
      <c r="A46" s="96" t="s">
        <v>258</v>
      </c>
      <c r="B46" s="96" t="s">
        <v>259</v>
      </c>
      <c r="C46" s="95" t="s">
        <v>105</v>
      </c>
      <c r="D46" s="95"/>
      <c r="E46" s="74">
        <v>4.7500000000000001E-2</v>
      </c>
      <c r="F46" s="74">
        <v>4.7600000000000003E-2</v>
      </c>
      <c r="G46" s="74">
        <v>4.53E-2</v>
      </c>
      <c r="H46" s="74">
        <v>4.3299999999999998E-2</v>
      </c>
      <c r="I46" s="74">
        <v>4.1300000000000003E-2</v>
      </c>
      <c r="J46" s="74">
        <v>3.9800000000000002E-2</v>
      </c>
      <c r="K46" s="74">
        <v>3.7900000000000003E-2</v>
      </c>
      <c r="L46" s="74">
        <v>3.6999999999999998E-2</v>
      </c>
      <c r="M46" s="74">
        <v>3.6999999999999998E-2</v>
      </c>
      <c r="N46" s="344" t="s">
        <v>259</v>
      </c>
      <c r="R46" s="101"/>
      <c r="S46" s="101"/>
      <c r="T46" s="101"/>
      <c r="U46" s="101"/>
      <c r="V46" s="101"/>
      <c r="W46" s="101"/>
    </row>
    <row r="47" spans="1:23" s="96" customFormat="1" ht="12.4">
      <c r="A47" s="96" t="s">
        <v>493</v>
      </c>
      <c r="B47" s="96" t="s">
        <v>126</v>
      </c>
      <c r="C47" s="259" t="s">
        <v>117</v>
      </c>
      <c r="D47" s="103"/>
      <c r="E47" s="269">
        <f>1+E46</f>
        <v>1.0475000000000001</v>
      </c>
      <c r="F47" s="269">
        <f t="shared" ref="F47:M47" si="2">1+F46</f>
        <v>1.0476000000000001</v>
      </c>
      <c r="G47" s="269">
        <f t="shared" si="2"/>
        <v>1.0452999999999999</v>
      </c>
      <c r="H47" s="269">
        <f t="shared" si="2"/>
        <v>1.0432999999999999</v>
      </c>
      <c r="I47" s="269">
        <f t="shared" si="2"/>
        <v>1.0413000000000001</v>
      </c>
      <c r="J47" s="269">
        <f t="shared" si="2"/>
        <v>1.0398000000000001</v>
      </c>
      <c r="K47" s="269">
        <f t="shared" si="2"/>
        <v>1.0379</v>
      </c>
      <c r="L47" s="269">
        <f t="shared" si="2"/>
        <v>1.0369999999999999</v>
      </c>
      <c r="M47" s="269">
        <f t="shared" si="2"/>
        <v>1.0369999999999999</v>
      </c>
      <c r="N47" s="344" t="s">
        <v>126</v>
      </c>
      <c r="R47" s="101"/>
      <c r="S47" s="101"/>
      <c r="T47" s="101"/>
      <c r="U47" s="101"/>
      <c r="V47" s="101"/>
      <c r="W47" s="101"/>
    </row>
    <row r="48" spans="1:23" s="96" customFormat="1" ht="12.4">
      <c r="A48" s="97"/>
      <c r="C48" s="95"/>
      <c r="D48" s="103"/>
      <c r="E48" s="103"/>
      <c r="F48" s="103"/>
      <c r="N48" s="344"/>
      <c r="R48" s="101"/>
      <c r="S48" s="101"/>
      <c r="T48" s="101"/>
      <c r="U48" s="101"/>
      <c r="V48" s="101"/>
      <c r="W48" s="101"/>
    </row>
    <row r="49" spans="1:23" s="96" customFormat="1" ht="12.4">
      <c r="C49" s="95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344"/>
      <c r="R49" s="101"/>
      <c r="S49" s="101"/>
      <c r="T49" s="101"/>
      <c r="U49" s="101"/>
      <c r="V49" s="101"/>
      <c r="W49" s="101"/>
    </row>
    <row r="50" spans="1:23" s="96" customFormat="1" ht="12.4">
      <c r="A50" s="97" t="s">
        <v>193</v>
      </c>
      <c r="B50" s="270" t="s">
        <v>32</v>
      </c>
      <c r="C50" s="95" t="s">
        <v>494</v>
      </c>
      <c r="D50" s="103"/>
      <c r="E50" s="76">
        <v>0.5</v>
      </c>
      <c r="F50" s="76">
        <v>0.5</v>
      </c>
      <c r="G50" s="76">
        <v>0.5</v>
      </c>
      <c r="H50" s="76">
        <v>0.5</v>
      </c>
      <c r="I50" s="76">
        <v>0.34</v>
      </c>
      <c r="J50" s="76">
        <v>0.35</v>
      </c>
      <c r="K50" s="76">
        <v>0.67</v>
      </c>
      <c r="L50" s="297"/>
      <c r="M50" s="297"/>
      <c r="N50" s="344" t="s">
        <v>32</v>
      </c>
      <c r="R50" s="101"/>
      <c r="S50" s="101"/>
      <c r="T50" s="101"/>
      <c r="U50" s="101"/>
      <c r="V50" s="101"/>
      <c r="W50" s="101"/>
    </row>
    <row r="51" spans="1:23" s="96" customFormat="1" ht="12.4">
      <c r="A51" s="97"/>
      <c r="C51" s="95"/>
      <c r="D51" s="103"/>
      <c r="E51" s="103"/>
      <c r="F51" s="103"/>
      <c r="N51" s="344"/>
      <c r="R51" s="101"/>
      <c r="S51" s="101"/>
      <c r="T51" s="101"/>
      <c r="U51" s="101"/>
      <c r="V51" s="101"/>
      <c r="W51" s="101"/>
    </row>
    <row r="52" spans="1:23" s="96" customFormat="1" ht="12.4">
      <c r="A52" s="97"/>
      <c r="C52" s="95"/>
      <c r="D52" s="103"/>
      <c r="E52" s="103"/>
      <c r="F52" s="103"/>
      <c r="N52" s="344"/>
      <c r="R52" s="101"/>
      <c r="S52" s="101"/>
      <c r="T52" s="101"/>
      <c r="U52" s="101"/>
      <c r="V52" s="101"/>
      <c r="W52" s="101"/>
    </row>
    <row r="53" spans="1:23" s="96" customFormat="1" ht="14.65">
      <c r="A53" s="93" t="s">
        <v>108</v>
      </c>
      <c r="C53" s="95"/>
      <c r="D53" s="95"/>
      <c r="E53" s="95"/>
      <c r="N53" s="344"/>
      <c r="R53" s="101"/>
      <c r="S53" s="101"/>
      <c r="T53" s="101"/>
      <c r="U53" s="101"/>
      <c r="V53" s="101"/>
      <c r="W53" s="101"/>
    </row>
    <row r="54" spans="1:23" s="96" customFormat="1" ht="12.4">
      <c r="A54" s="96" t="s">
        <v>524</v>
      </c>
      <c r="B54" s="271" t="s">
        <v>121</v>
      </c>
      <c r="C54" s="95" t="s">
        <v>1</v>
      </c>
      <c r="D54" s="95"/>
      <c r="E54" s="95"/>
      <c r="F54" s="49"/>
      <c r="G54" s="49"/>
      <c r="H54" s="49"/>
      <c r="I54" s="49"/>
      <c r="J54" s="49"/>
      <c r="K54" s="49"/>
      <c r="L54" s="49"/>
      <c r="M54" s="49"/>
      <c r="N54" s="344" t="s">
        <v>121</v>
      </c>
      <c r="R54" s="101"/>
      <c r="S54" s="101"/>
      <c r="T54" s="101"/>
      <c r="U54" s="101"/>
      <c r="V54" s="101"/>
      <c r="W54" s="101"/>
    </row>
    <row r="55" spans="1:23" s="96" customFormat="1" ht="12.4">
      <c r="C55" s="95"/>
      <c r="D55" s="95"/>
      <c r="E55" s="95"/>
      <c r="F55" s="288"/>
      <c r="G55" s="95"/>
      <c r="H55" s="95"/>
      <c r="I55" s="95"/>
      <c r="J55" s="95"/>
      <c r="K55" s="95"/>
      <c r="L55" s="95"/>
      <c r="M55" s="95"/>
      <c r="N55" s="344"/>
      <c r="R55" s="101"/>
      <c r="S55" s="101"/>
      <c r="T55" s="101"/>
      <c r="U55" s="101"/>
      <c r="V55" s="101"/>
      <c r="W55" s="101"/>
    </row>
    <row r="56" spans="1:23" s="96" customFormat="1" ht="12.4">
      <c r="A56" s="96" t="s">
        <v>525</v>
      </c>
      <c r="B56" s="208" t="s">
        <v>130</v>
      </c>
      <c r="C56" s="95" t="s">
        <v>1</v>
      </c>
      <c r="D56" s="95"/>
      <c r="E56" s="95"/>
      <c r="F56" s="49"/>
      <c r="G56" s="49"/>
      <c r="H56" s="49"/>
      <c r="I56" s="49"/>
      <c r="J56" s="49"/>
      <c r="K56" s="49"/>
      <c r="L56" s="49"/>
      <c r="M56" s="49"/>
      <c r="N56" s="344" t="s">
        <v>130</v>
      </c>
      <c r="R56" s="101"/>
      <c r="S56" s="101"/>
      <c r="T56" s="101"/>
      <c r="U56" s="101"/>
      <c r="V56" s="101"/>
      <c r="W56" s="101"/>
    </row>
    <row r="57" spans="1:23" s="96" customFormat="1" ht="12.4">
      <c r="C57" s="95"/>
      <c r="D57" s="95"/>
      <c r="E57" s="95"/>
      <c r="F57" s="288"/>
      <c r="G57" s="95"/>
      <c r="H57" s="95"/>
      <c r="I57" s="95"/>
      <c r="J57" s="95"/>
      <c r="K57" s="95"/>
      <c r="L57" s="95"/>
      <c r="M57" s="95"/>
      <c r="N57" s="382"/>
      <c r="R57" s="101"/>
      <c r="S57" s="101"/>
      <c r="T57" s="101"/>
      <c r="U57" s="101"/>
      <c r="V57" s="101"/>
      <c r="W57" s="101"/>
    </row>
    <row r="58" spans="1:23" s="96" customFormat="1" ht="12.4" hidden="1">
      <c r="C58" s="95" t="s">
        <v>1</v>
      </c>
      <c r="D58" s="95"/>
      <c r="E58" s="95"/>
      <c r="F58" s="288"/>
      <c r="G58" s="95"/>
      <c r="H58" s="95"/>
      <c r="I58" s="95"/>
      <c r="J58" s="95"/>
      <c r="K58" s="95"/>
      <c r="L58" s="95"/>
      <c r="M58" s="95"/>
      <c r="N58" s="382"/>
      <c r="R58" s="101"/>
      <c r="S58" s="101"/>
      <c r="T58" s="101"/>
      <c r="U58" s="101"/>
      <c r="V58" s="101"/>
      <c r="W58" s="101"/>
    </row>
    <row r="59" spans="1:23" s="96" customFormat="1" ht="12.4" hidden="1">
      <c r="C59" s="95" t="s">
        <v>1</v>
      </c>
      <c r="D59" s="95"/>
      <c r="E59" s="95"/>
      <c r="F59" s="288"/>
      <c r="G59" s="95"/>
      <c r="H59" s="95"/>
      <c r="I59" s="95"/>
      <c r="J59" s="95"/>
      <c r="K59" s="95"/>
      <c r="L59" s="95"/>
      <c r="M59" s="95"/>
      <c r="N59" s="382"/>
      <c r="R59" s="101"/>
      <c r="S59" s="101"/>
      <c r="T59" s="101"/>
      <c r="U59" s="101"/>
      <c r="V59" s="101"/>
      <c r="W59" s="101"/>
    </row>
    <row r="60" spans="1:23" s="96" customFormat="1" ht="12.4" hidden="1">
      <c r="C60" s="95" t="s">
        <v>1</v>
      </c>
      <c r="D60" s="95"/>
      <c r="E60" s="95"/>
      <c r="F60" s="288"/>
      <c r="G60" s="95"/>
      <c r="H60" s="95"/>
      <c r="I60" s="95"/>
      <c r="J60" s="95"/>
      <c r="K60" s="95"/>
      <c r="L60" s="95"/>
      <c r="M60" s="95"/>
      <c r="N60" s="382"/>
      <c r="R60" s="101"/>
      <c r="S60" s="101"/>
      <c r="T60" s="101"/>
      <c r="U60" s="101"/>
      <c r="V60" s="101"/>
      <c r="W60" s="101"/>
    </row>
    <row r="61" spans="1:23" s="96" customFormat="1" ht="12.4" hidden="1">
      <c r="C61" s="95" t="s">
        <v>1</v>
      </c>
      <c r="D61" s="95"/>
      <c r="E61" s="95"/>
      <c r="F61" s="288"/>
      <c r="G61" s="95"/>
      <c r="H61" s="95"/>
      <c r="I61" s="95"/>
      <c r="J61" s="95"/>
      <c r="K61" s="95"/>
      <c r="L61" s="95"/>
      <c r="M61" s="95"/>
      <c r="N61" s="382"/>
      <c r="R61" s="101"/>
      <c r="S61" s="101"/>
      <c r="T61" s="101"/>
      <c r="U61" s="101"/>
      <c r="V61" s="101"/>
      <c r="W61" s="101"/>
    </row>
    <row r="62" spans="1:23" s="96" customFormat="1" ht="12.4" hidden="1">
      <c r="C62" s="95" t="s">
        <v>1</v>
      </c>
      <c r="D62" s="95"/>
      <c r="E62" s="95"/>
      <c r="F62" s="288"/>
      <c r="G62" s="95"/>
      <c r="H62" s="95"/>
      <c r="I62" s="95"/>
      <c r="J62" s="95"/>
      <c r="K62" s="95"/>
      <c r="L62" s="95"/>
      <c r="M62" s="95"/>
      <c r="N62" s="382"/>
      <c r="R62" s="101"/>
      <c r="S62" s="101"/>
      <c r="T62" s="101"/>
      <c r="U62" s="101"/>
      <c r="V62" s="101"/>
      <c r="W62" s="101"/>
    </row>
    <row r="63" spans="1:23" s="96" customFormat="1" ht="12.4" hidden="1">
      <c r="C63" s="95"/>
      <c r="D63" s="95"/>
      <c r="E63" s="95"/>
      <c r="F63" s="289"/>
      <c r="G63" s="103"/>
      <c r="H63" s="103"/>
      <c r="I63" s="103"/>
      <c r="J63" s="103"/>
      <c r="K63" s="103"/>
      <c r="L63" s="103"/>
      <c r="M63" s="103"/>
      <c r="N63" s="344"/>
      <c r="R63" s="101"/>
      <c r="S63" s="101"/>
      <c r="T63" s="101"/>
      <c r="U63" s="101"/>
      <c r="V63" s="101"/>
      <c r="W63" s="101"/>
    </row>
    <row r="64" spans="1:23" ht="12.4" hidden="1">
      <c r="F64" s="290"/>
      <c r="N64" s="338"/>
    </row>
    <row r="65" spans="1:23" s="96" customFormat="1" ht="14.65">
      <c r="A65" s="93" t="s">
        <v>132</v>
      </c>
      <c r="C65" s="95"/>
      <c r="D65" s="95"/>
      <c r="E65" s="95"/>
      <c r="F65" s="289"/>
      <c r="N65" s="344"/>
      <c r="R65" s="101"/>
      <c r="S65" s="101"/>
      <c r="T65" s="101"/>
      <c r="U65" s="101"/>
      <c r="V65" s="101"/>
      <c r="W65" s="101"/>
    </row>
    <row r="66" spans="1:23" s="96" customFormat="1" ht="12.4">
      <c r="A66" s="97"/>
      <c r="C66" s="95"/>
      <c r="D66" s="95"/>
      <c r="F66" s="288"/>
      <c r="N66" s="344"/>
      <c r="R66" s="101"/>
      <c r="S66" s="101"/>
      <c r="T66" s="101"/>
      <c r="U66" s="101"/>
      <c r="V66" s="101"/>
      <c r="W66" s="101"/>
    </row>
    <row r="67" spans="1:23" s="96" customFormat="1" ht="12.4">
      <c r="A67" s="97" t="s">
        <v>194</v>
      </c>
      <c r="C67" s="95"/>
      <c r="D67" s="95"/>
      <c r="F67" s="288"/>
      <c r="N67" s="338"/>
      <c r="R67" s="101"/>
      <c r="S67" s="101"/>
      <c r="T67" s="101"/>
      <c r="U67" s="101"/>
      <c r="V67" s="101"/>
      <c r="W67" s="101"/>
    </row>
    <row r="68" spans="1:23" s="96" customFormat="1" ht="13.5">
      <c r="A68" s="115" t="s">
        <v>399</v>
      </c>
      <c r="B68" s="272" t="s">
        <v>400</v>
      </c>
      <c r="C68" s="263" t="s">
        <v>494</v>
      </c>
      <c r="D68" s="113"/>
      <c r="E68" s="95"/>
      <c r="F68" s="281"/>
      <c r="N68" s="338"/>
      <c r="R68" s="101"/>
      <c r="S68" s="101"/>
      <c r="T68" s="101"/>
      <c r="U68" s="101"/>
      <c r="V68" s="101"/>
      <c r="W68" s="101"/>
    </row>
    <row r="69" spans="1:23" s="96" customFormat="1" ht="12.4">
      <c r="A69" s="97"/>
      <c r="C69" s="95"/>
      <c r="D69" s="95"/>
      <c r="E69" s="95"/>
      <c r="F69" s="288"/>
      <c r="N69" s="353"/>
      <c r="R69" s="101"/>
      <c r="S69" s="101"/>
      <c r="T69" s="101"/>
      <c r="U69" s="101"/>
      <c r="V69" s="101"/>
      <c r="W69" s="101"/>
    </row>
    <row r="70" spans="1:23" ht="12.4">
      <c r="F70" s="291"/>
      <c r="G70" s="114"/>
      <c r="H70" s="114"/>
      <c r="I70" s="114"/>
      <c r="J70" s="114"/>
      <c r="K70" s="114"/>
      <c r="L70" s="114"/>
      <c r="M70" s="114"/>
      <c r="N70" s="338"/>
    </row>
    <row r="71" spans="1:23" ht="13.5">
      <c r="A71" s="116" t="s">
        <v>497</v>
      </c>
      <c r="F71" s="291"/>
      <c r="G71" s="114"/>
      <c r="H71" s="105"/>
      <c r="I71" s="105"/>
      <c r="J71" s="105"/>
      <c r="K71" s="105"/>
      <c r="L71" s="105"/>
      <c r="M71" s="105"/>
      <c r="N71" s="338"/>
    </row>
    <row r="72" spans="1:23" ht="12.4">
      <c r="A72" s="111" t="s">
        <v>66</v>
      </c>
      <c r="B72" s="210" t="s">
        <v>202</v>
      </c>
      <c r="C72" s="114" t="s">
        <v>495</v>
      </c>
      <c r="F72" s="49"/>
      <c r="G72" s="49"/>
      <c r="H72" s="49"/>
      <c r="I72" s="49"/>
      <c r="J72" s="49"/>
      <c r="K72" s="49"/>
      <c r="L72" s="49"/>
      <c r="M72" s="49"/>
      <c r="N72" s="353" t="s">
        <v>202</v>
      </c>
    </row>
    <row r="73" spans="1:23" ht="12.75" customHeight="1">
      <c r="F73" s="290"/>
      <c r="N73" s="338"/>
    </row>
    <row r="74" spans="1:23" ht="12.4">
      <c r="A74" s="337" t="s">
        <v>498</v>
      </c>
      <c r="F74" s="290"/>
      <c r="N74" s="338"/>
    </row>
    <row r="75" spans="1:23" ht="12.4">
      <c r="A75" s="332" t="s">
        <v>516</v>
      </c>
      <c r="B75" s="96" t="s">
        <v>350</v>
      </c>
      <c r="C75" s="114" t="s">
        <v>496</v>
      </c>
      <c r="F75" s="49"/>
      <c r="G75" s="49"/>
      <c r="H75" s="49"/>
      <c r="I75" s="49"/>
      <c r="J75" s="49"/>
      <c r="K75" s="49"/>
      <c r="L75" s="49"/>
      <c r="M75" s="49"/>
      <c r="N75" s="353" t="s">
        <v>350</v>
      </c>
    </row>
    <row r="76" spans="1:23" ht="12.4">
      <c r="A76" s="338" t="s">
        <v>517</v>
      </c>
      <c r="B76" s="96" t="s">
        <v>208</v>
      </c>
      <c r="C76" s="114" t="s">
        <v>1</v>
      </c>
      <c r="F76" s="49"/>
      <c r="G76" s="49"/>
      <c r="H76" s="49"/>
      <c r="I76" s="49"/>
      <c r="J76" s="49"/>
      <c r="K76" s="49"/>
      <c r="L76" s="49"/>
      <c r="M76" s="49"/>
      <c r="N76" s="353" t="s">
        <v>208</v>
      </c>
    </row>
    <row r="77" spans="1:23" ht="12.4">
      <c r="A77" s="332" t="s">
        <v>351</v>
      </c>
      <c r="B77" s="273" t="s">
        <v>565</v>
      </c>
      <c r="C77" s="274" t="s">
        <v>467</v>
      </c>
      <c r="F77" s="49"/>
      <c r="G77" s="49"/>
      <c r="H77" s="49"/>
      <c r="I77" s="49"/>
      <c r="J77" s="49"/>
      <c r="K77" s="49"/>
      <c r="L77" s="49"/>
      <c r="M77" s="49"/>
      <c r="N77" s="343" t="s">
        <v>565</v>
      </c>
    </row>
    <row r="78" spans="1:23" ht="12.4">
      <c r="A78" s="332" t="s">
        <v>564</v>
      </c>
      <c r="B78" s="273" t="s">
        <v>305</v>
      </c>
      <c r="C78" s="274" t="s">
        <v>117</v>
      </c>
      <c r="F78" s="49"/>
      <c r="G78" s="49"/>
      <c r="H78" s="49"/>
      <c r="I78" s="49"/>
      <c r="J78" s="49"/>
      <c r="K78" s="49"/>
      <c r="L78" s="49"/>
      <c r="M78" s="49"/>
      <c r="N78" s="343" t="s">
        <v>305</v>
      </c>
    </row>
    <row r="79" spans="1:23" ht="12.4">
      <c r="N79" s="338"/>
    </row>
    <row r="80" spans="1:23" ht="12.4">
      <c r="A80" s="310" t="s">
        <v>215</v>
      </c>
      <c r="B80" s="310" t="s">
        <v>214</v>
      </c>
      <c r="C80" s="114" t="s">
        <v>105</v>
      </c>
      <c r="F80" s="385">
        <v>0.23</v>
      </c>
      <c r="G80" s="385">
        <v>0.21</v>
      </c>
      <c r="H80" s="385">
        <v>0.2</v>
      </c>
      <c r="I80" s="385">
        <v>0.2</v>
      </c>
      <c r="J80" s="385">
        <v>0.19</v>
      </c>
      <c r="K80" s="385">
        <v>0.19</v>
      </c>
      <c r="L80" s="385">
        <v>0.19</v>
      </c>
      <c r="M80" s="385">
        <v>0.17</v>
      </c>
      <c r="N80" s="353" t="s">
        <v>214</v>
      </c>
    </row>
    <row r="81" spans="1:23" ht="12.4">
      <c r="A81" s="117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353"/>
    </row>
    <row r="82" spans="1:23" ht="13.5">
      <c r="A82" s="267" t="s">
        <v>488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353"/>
    </row>
    <row r="83" spans="1:23" ht="12.4">
      <c r="A83" s="117" t="s">
        <v>388</v>
      </c>
      <c r="B83" s="210" t="s">
        <v>51</v>
      </c>
      <c r="C83" s="114" t="s">
        <v>447</v>
      </c>
      <c r="D83" s="61"/>
      <c r="E83" s="61"/>
      <c r="F83" s="244">
        <v>150.69999999999999</v>
      </c>
      <c r="G83" s="244">
        <v>173.1</v>
      </c>
      <c r="H83" s="244">
        <v>210.7</v>
      </c>
      <c r="I83" s="244">
        <v>226.1</v>
      </c>
      <c r="J83" s="244">
        <v>245.3</v>
      </c>
      <c r="K83" s="244">
        <v>261.39999999999998</v>
      </c>
      <c r="L83" s="244">
        <v>270.89999999999998</v>
      </c>
      <c r="M83" s="244">
        <v>274.7</v>
      </c>
      <c r="N83" s="353"/>
    </row>
    <row r="84" spans="1:23" ht="12.4">
      <c r="A84" s="117" t="s">
        <v>518</v>
      </c>
      <c r="B84" s="210" t="s">
        <v>218</v>
      </c>
      <c r="C84" s="114" t="s">
        <v>447</v>
      </c>
      <c r="D84" s="120"/>
      <c r="E84" s="120"/>
      <c r="F84" s="49"/>
      <c r="G84" s="49"/>
      <c r="H84" s="49"/>
      <c r="I84" s="49"/>
      <c r="J84" s="49"/>
      <c r="K84" s="49"/>
      <c r="L84" s="49"/>
      <c r="M84" s="49"/>
      <c r="N84" s="353" t="s">
        <v>218</v>
      </c>
    </row>
    <row r="85" spans="1:23" s="122" customFormat="1" ht="12.4">
      <c r="A85" s="121" t="s">
        <v>220</v>
      </c>
      <c r="B85" s="101" t="s">
        <v>219</v>
      </c>
      <c r="C85" s="114" t="s">
        <v>375</v>
      </c>
      <c r="D85" s="96"/>
      <c r="E85" s="96"/>
      <c r="F85" s="76">
        <f>'R4 Licence Condition Values'!F62</f>
        <v>50</v>
      </c>
      <c r="G85" s="76">
        <f>'R4 Licence Condition Values'!G62</f>
        <v>51</v>
      </c>
      <c r="H85" s="76">
        <f>'R4 Licence Condition Values'!H62</f>
        <v>52</v>
      </c>
      <c r="I85" s="76">
        <f>'R4 Licence Condition Values'!I62</f>
        <v>53</v>
      </c>
      <c r="J85" s="76">
        <f>'R4 Licence Condition Values'!J62</f>
        <v>54</v>
      </c>
      <c r="K85" s="76">
        <f>'R4 Licence Condition Values'!K62</f>
        <v>55</v>
      </c>
      <c r="L85" s="76">
        <f>'R4 Licence Condition Values'!L62</f>
        <v>56</v>
      </c>
      <c r="M85" s="76">
        <f>'R4 Licence Condition Values'!M62</f>
        <v>57</v>
      </c>
      <c r="N85" s="353" t="s">
        <v>219</v>
      </c>
      <c r="O85" s="120"/>
      <c r="P85" s="120"/>
      <c r="Q85" s="120"/>
    </row>
    <row r="86" spans="1:23" s="122" customFormat="1" ht="12.4">
      <c r="A86" s="111" t="s">
        <v>445</v>
      </c>
      <c r="B86" s="111" t="s">
        <v>445</v>
      </c>
      <c r="C86" s="114" t="s">
        <v>447</v>
      </c>
      <c r="D86" s="210"/>
      <c r="E86" s="210"/>
      <c r="F86" s="49"/>
      <c r="G86" s="49"/>
      <c r="H86" s="49"/>
      <c r="I86" s="49"/>
      <c r="J86" s="49"/>
      <c r="K86" s="49"/>
      <c r="L86" s="49"/>
      <c r="M86" s="49"/>
      <c r="N86" s="343" t="s">
        <v>445</v>
      </c>
      <c r="O86" s="120"/>
      <c r="P86" s="120"/>
      <c r="Q86" s="120"/>
    </row>
    <row r="87" spans="1:23" s="122" customFormat="1" ht="12.4">
      <c r="A87" s="111" t="s">
        <v>448</v>
      </c>
      <c r="B87" s="111" t="s">
        <v>446</v>
      </c>
      <c r="C87" s="114" t="s">
        <v>117</v>
      </c>
      <c r="D87" s="210"/>
      <c r="E87" s="210"/>
      <c r="F87" s="49"/>
      <c r="G87" s="49"/>
      <c r="H87" s="49"/>
      <c r="I87" s="49"/>
      <c r="J87" s="49"/>
      <c r="K87" s="49"/>
      <c r="L87" s="49"/>
      <c r="M87" s="49"/>
      <c r="N87" s="343" t="s">
        <v>446</v>
      </c>
      <c r="O87" s="120"/>
      <c r="P87" s="120"/>
      <c r="Q87" s="120"/>
    </row>
    <row r="88" spans="1:23" s="122" customFormat="1" ht="12.4">
      <c r="A88" s="111" t="s">
        <v>449</v>
      </c>
      <c r="B88" s="111" t="s">
        <v>449</v>
      </c>
      <c r="C88" s="114" t="s">
        <v>447</v>
      </c>
      <c r="D88" s="210"/>
      <c r="E88" s="210"/>
      <c r="F88" s="49"/>
      <c r="G88" s="49"/>
      <c r="H88" s="49"/>
      <c r="I88" s="49"/>
      <c r="J88" s="49"/>
      <c r="K88" s="49"/>
      <c r="L88" s="49"/>
      <c r="M88" s="49"/>
      <c r="N88" s="343" t="s">
        <v>449</v>
      </c>
      <c r="O88" s="120"/>
      <c r="P88" s="120"/>
      <c r="Q88" s="120"/>
    </row>
    <row r="89" spans="1:23" s="122" customFormat="1" ht="12.4">
      <c r="A89" s="121"/>
      <c r="C89" s="114"/>
      <c r="D89" s="210"/>
      <c r="E89" s="210"/>
      <c r="F89" s="91"/>
      <c r="G89" s="91"/>
      <c r="H89" s="91"/>
      <c r="I89" s="91"/>
      <c r="J89" s="91"/>
      <c r="K89" s="91"/>
      <c r="L89" s="91"/>
      <c r="M89" s="91"/>
      <c r="N89" s="353"/>
      <c r="O89" s="120"/>
      <c r="P89" s="120"/>
      <c r="Q89" s="120"/>
    </row>
    <row r="90" spans="1:23" ht="12.4">
      <c r="A90" s="117"/>
      <c r="C90" s="96"/>
      <c r="D90" s="96"/>
      <c r="E90" s="96"/>
      <c r="F90" s="247"/>
      <c r="G90" s="247"/>
      <c r="H90" s="247"/>
      <c r="I90" s="247"/>
      <c r="J90" s="247"/>
      <c r="K90" s="247"/>
      <c r="L90" s="247"/>
      <c r="M90" s="247"/>
      <c r="N90" s="353"/>
    </row>
    <row r="91" spans="1:23" s="96" customFormat="1" ht="12.4">
      <c r="A91" s="96" t="s">
        <v>519</v>
      </c>
      <c r="B91" s="210" t="s">
        <v>226</v>
      </c>
      <c r="C91" s="95" t="s">
        <v>1</v>
      </c>
      <c r="D91" s="95"/>
      <c r="E91" s="95"/>
      <c r="F91" s="49"/>
      <c r="G91" s="49"/>
      <c r="H91" s="49"/>
      <c r="I91" s="49"/>
      <c r="J91" s="49"/>
      <c r="K91" s="49"/>
      <c r="L91" s="49"/>
      <c r="M91" s="49"/>
      <c r="N91" s="344" t="s">
        <v>226</v>
      </c>
      <c r="R91" s="101"/>
      <c r="S91" s="101"/>
      <c r="T91" s="101"/>
      <c r="U91" s="101"/>
      <c r="V91" s="101"/>
      <c r="W91" s="101"/>
    </row>
    <row r="92" spans="1:23" ht="12.4">
      <c r="A92" s="117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353"/>
    </row>
    <row r="93" spans="1:23" ht="12.4">
      <c r="A93" s="110" t="s">
        <v>499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353"/>
    </row>
    <row r="94" spans="1:23" ht="12.4">
      <c r="A94" s="111" t="s">
        <v>294</v>
      </c>
      <c r="B94" s="210" t="s">
        <v>450</v>
      </c>
      <c r="C94" s="95" t="s">
        <v>1</v>
      </c>
      <c r="D94" s="96"/>
      <c r="E94" s="96"/>
      <c r="F94" s="49"/>
      <c r="G94" s="49"/>
      <c r="H94" s="49"/>
      <c r="I94" s="49"/>
      <c r="J94" s="49"/>
      <c r="K94" s="49"/>
      <c r="L94" s="49"/>
      <c r="M94" s="49"/>
      <c r="N94" s="353" t="s">
        <v>299</v>
      </c>
    </row>
    <row r="95" spans="1:23" ht="12.4">
      <c r="A95" s="111" t="s">
        <v>295</v>
      </c>
      <c r="B95" s="210" t="s">
        <v>300</v>
      </c>
      <c r="C95" s="95" t="s">
        <v>1</v>
      </c>
      <c r="D95" s="96"/>
      <c r="E95" s="96"/>
      <c r="F95" s="49"/>
      <c r="G95" s="49"/>
      <c r="H95" s="49"/>
      <c r="I95" s="49"/>
      <c r="J95" s="49"/>
      <c r="K95" s="49"/>
      <c r="L95" s="49"/>
      <c r="M95" s="49"/>
      <c r="N95" s="353" t="s">
        <v>300</v>
      </c>
    </row>
    <row r="96" spans="1:23" ht="12.4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353"/>
    </row>
    <row r="97" spans="1:14" ht="12.4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353"/>
    </row>
    <row r="98" spans="1:14" ht="12.4">
      <c r="A98" s="110" t="s">
        <v>317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353"/>
    </row>
    <row r="99" spans="1:14" ht="12.4">
      <c r="A99" s="268" t="s">
        <v>500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353"/>
    </row>
    <row r="100" spans="1:14" ht="12.4">
      <c r="A100" s="111" t="s">
        <v>333</v>
      </c>
      <c r="B100" s="210" t="s">
        <v>323</v>
      </c>
      <c r="C100" s="95" t="s">
        <v>494</v>
      </c>
      <c r="D100" s="96"/>
      <c r="E100" s="96"/>
      <c r="F100" s="49"/>
      <c r="G100" s="49"/>
      <c r="H100" s="49"/>
      <c r="I100" s="49"/>
      <c r="J100" s="49"/>
      <c r="K100" s="49"/>
      <c r="L100" s="49"/>
      <c r="M100" s="49"/>
      <c r="N100" s="353" t="s">
        <v>323</v>
      </c>
    </row>
    <row r="101" spans="1:14" ht="24.75">
      <c r="A101" s="111" t="s">
        <v>331</v>
      </c>
      <c r="B101" s="210" t="s">
        <v>324</v>
      </c>
      <c r="C101" s="95" t="s">
        <v>515</v>
      </c>
      <c r="D101" s="96"/>
      <c r="E101" s="96"/>
      <c r="F101" s="49"/>
      <c r="G101" s="49"/>
      <c r="H101" s="49"/>
      <c r="I101" s="49"/>
      <c r="J101" s="49"/>
      <c r="K101" s="49"/>
      <c r="L101" s="49"/>
      <c r="M101" s="49"/>
      <c r="N101" s="353" t="s">
        <v>324</v>
      </c>
    </row>
    <row r="102" spans="1:14" ht="12.4">
      <c r="A102" s="111" t="s">
        <v>332</v>
      </c>
      <c r="B102" s="210" t="s">
        <v>325</v>
      </c>
      <c r="C102" s="95" t="s">
        <v>494</v>
      </c>
      <c r="D102" s="96"/>
      <c r="E102" s="96"/>
      <c r="F102" s="49"/>
      <c r="G102" s="49"/>
      <c r="H102" s="49"/>
      <c r="I102" s="49"/>
      <c r="J102" s="49"/>
      <c r="K102" s="49"/>
      <c r="L102" s="49"/>
      <c r="M102" s="49"/>
      <c r="N102" s="353" t="s">
        <v>325</v>
      </c>
    </row>
    <row r="103" spans="1:14" ht="24.75">
      <c r="A103" s="111" t="s">
        <v>334</v>
      </c>
      <c r="B103" s="210" t="s">
        <v>326</v>
      </c>
      <c r="C103" s="95" t="s">
        <v>515</v>
      </c>
      <c r="D103" s="96"/>
      <c r="E103" s="96"/>
      <c r="F103" s="49"/>
      <c r="G103" s="49"/>
      <c r="H103" s="49"/>
      <c r="I103" s="49"/>
      <c r="J103" s="49"/>
      <c r="K103" s="49"/>
      <c r="L103" s="49"/>
      <c r="M103" s="49"/>
      <c r="N103" s="353" t="s">
        <v>326</v>
      </c>
    </row>
    <row r="104" spans="1:14" ht="12.4">
      <c r="A104" s="111" t="s">
        <v>337</v>
      </c>
      <c r="B104" s="111" t="s">
        <v>327</v>
      </c>
      <c r="C104" s="95" t="s">
        <v>494</v>
      </c>
      <c r="D104" s="96"/>
      <c r="E104" s="96"/>
      <c r="F104" s="49"/>
      <c r="G104" s="49"/>
      <c r="H104" s="49"/>
      <c r="I104" s="49"/>
      <c r="J104" s="49"/>
      <c r="K104" s="49"/>
      <c r="L104" s="49"/>
      <c r="M104" s="49"/>
      <c r="N104" s="353" t="s">
        <v>327</v>
      </c>
    </row>
    <row r="105" spans="1:14" ht="24.75">
      <c r="A105" s="111" t="s">
        <v>331</v>
      </c>
      <c r="B105" s="111" t="s">
        <v>328</v>
      </c>
      <c r="C105" s="95" t="s">
        <v>515</v>
      </c>
      <c r="D105" s="96"/>
      <c r="E105" s="96"/>
      <c r="F105" s="49"/>
      <c r="G105" s="49"/>
      <c r="H105" s="49"/>
      <c r="I105" s="49"/>
      <c r="J105" s="49"/>
      <c r="K105" s="49"/>
      <c r="L105" s="49"/>
      <c r="M105" s="49"/>
      <c r="N105" s="353" t="s">
        <v>328</v>
      </c>
    </row>
    <row r="106" spans="1:14" ht="12.4">
      <c r="A106" s="111" t="s">
        <v>338</v>
      </c>
      <c r="B106" s="111" t="s">
        <v>329</v>
      </c>
      <c r="C106" s="95" t="s">
        <v>494</v>
      </c>
      <c r="D106" s="96"/>
      <c r="E106" s="96"/>
      <c r="F106" s="49"/>
      <c r="G106" s="49"/>
      <c r="H106" s="49"/>
      <c r="I106" s="49"/>
      <c r="J106" s="49"/>
      <c r="K106" s="49"/>
      <c r="L106" s="49"/>
      <c r="M106" s="49"/>
      <c r="N106" s="353" t="s">
        <v>329</v>
      </c>
    </row>
    <row r="107" spans="1:14" ht="24.75">
      <c r="A107" s="111" t="s">
        <v>334</v>
      </c>
      <c r="B107" s="111" t="s">
        <v>330</v>
      </c>
      <c r="C107" s="95" t="s">
        <v>515</v>
      </c>
      <c r="D107" s="96"/>
      <c r="E107" s="96"/>
      <c r="F107" s="49"/>
      <c r="G107" s="49"/>
      <c r="H107" s="49"/>
      <c r="I107" s="49"/>
      <c r="J107" s="49"/>
      <c r="K107" s="49"/>
      <c r="L107" s="49"/>
      <c r="M107" s="49"/>
      <c r="N107" s="353" t="s">
        <v>330</v>
      </c>
    </row>
    <row r="108" spans="1:14" ht="12.4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338"/>
      <c r="N108" s="353"/>
    </row>
    <row r="109" spans="1:14" ht="12.4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338"/>
      <c r="N109" s="353"/>
    </row>
    <row r="110" spans="1:14" ht="14.65">
      <c r="A110" s="119" t="s">
        <v>502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338"/>
      <c r="N110" s="353"/>
    </row>
    <row r="111" spans="1:14" ht="12.4">
      <c r="A111" s="111" t="s">
        <v>59</v>
      </c>
      <c r="B111" s="210" t="s">
        <v>230</v>
      </c>
      <c r="C111" s="95" t="s">
        <v>1</v>
      </c>
      <c r="D111" s="96"/>
      <c r="E111" s="96"/>
      <c r="F111" s="49"/>
      <c r="G111" s="49"/>
      <c r="H111" s="49"/>
      <c r="I111" s="49"/>
      <c r="J111" s="49"/>
      <c r="K111" s="49"/>
      <c r="L111" s="49"/>
      <c r="M111" s="49"/>
      <c r="N111" s="353" t="s">
        <v>230</v>
      </c>
    </row>
    <row r="112" spans="1:14" ht="12.4">
      <c r="A112" s="111" t="s">
        <v>229</v>
      </c>
      <c r="B112" s="210" t="s">
        <v>56</v>
      </c>
      <c r="C112" s="95" t="s">
        <v>1</v>
      </c>
      <c r="D112" s="96"/>
      <c r="E112" s="96"/>
      <c r="F112" s="49"/>
      <c r="G112" s="49"/>
      <c r="H112" s="49"/>
      <c r="I112" s="49"/>
      <c r="J112" s="49"/>
      <c r="K112" s="49"/>
      <c r="L112" s="49"/>
      <c r="M112" s="49"/>
      <c r="N112" s="353" t="s">
        <v>56</v>
      </c>
    </row>
    <row r="113" spans="1:17" ht="24.75">
      <c r="A113" s="111" t="s">
        <v>589</v>
      </c>
      <c r="B113" s="210" t="s">
        <v>232</v>
      </c>
      <c r="C113" s="96" t="s">
        <v>455</v>
      </c>
      <c r="D113" s="96"/>
      <c r="E113" s="96"/>
      <c r="F113" s="49"/>
      <c r="G113" s="49"/>
      <c r="H113" s="49"/>
      <c r="I113" s="49"/>
      <c r="J113" s="49"/>
      <c r="K113" s="49"/>
      <c r="L113" s="49"/>
      <c r="M113" s="49"/>
      <c r="N113" s="353" t="s">
        <v>232</v>
      </c>
    </row>
    <row r="114" spans="1:17" ht="12.4">
      <c r="A114" s="241" t="s">
        <v>531</v>
      </c>
      <c r="B114" s="273" t="s">
        <v>532</v>
      </c>
      <c r="C114" s="95" t="s">
        <v>1</v>
      </c>
      <c r="D114" s="61"/>
      <c r="E114" s="61"/>
      <c r="F114" s="49"/>
      <c r="G114" s="49"/>
      <c r="H114" s="49"/>
      <c r="I114" s="49"/>
      <c r="J114" s="49"/>
      <c r="K114" s="49"/>
      <c r="L114" s="49"/>
      <c r="M114" s="49"/>
      <c r="N114" s="353" t="s">
        <v>532</v>
      </c>
      <c r="O114" s="315"/>
      <c r="P114" s="315"/>
      <c r="Q114" s="315"/>
    </row>
    <row r="115" spans="1:17" s="122" customFormat="1" ht="12.4">
      <c r="A115" s="121" t="s">
        <v>379</v>
      </c>
      <c r="B115" s="273" t="s">
        <v>290</v>
      </c>
      <c r="C115" s="95" t="s">
        <v>1</v>
      </c>
      <c r="D115" s="120"/>
      <c r="E115" s="120"/>
      <c r="F115" s="49"/>
      <c r="G115" s="49"/>
      <c r="H115" s="49"/>
      <c r="I115" s="49"/>
      <c r="J115" s="49"/>
      <c r="K115" s="67"/>
      <c r="L115" s="67"/>
      <c r="M115" s="67"/>
      <c r="N115" s="353" t="s">
        <v>290</v>
      </c>
      <c r="O115" s="120"/>
      <c r="P115" s="120"/>
      <c r="Q115" s="120"/>
    </row>
    <row r="116" spans="1:17" ht="12.4">
      <c r="A116" s="111"/>
      <c r="C116" s="96"/>
      <c r="D116" s="96"/>
      <c r="E116" s="96"/>
      <c r="F116" s="96"/>
      <c r="G116" s="96"/>
      <c r="H116" s="96"/>
      <c r="I116" s="339"/>
      <c r="J116" s="96"/>
      <c r="K116" s="96"/>
      <c r="L116" s="96"/>
      <c r="M116" s="96"/>
      <c r="N116" s="353"/>
    </row>
    <row r="117" spans="1:17" ht="14.65">
      <c r="A117" s="119" t="s">
        <v>273</v>
      </c>
      <c r="C117" s="95"/>
      <c r="D117" s="95"/>
      <c r="E117" s="95"/>
      <c r="F117" s="103"/>
      <c r="G117" s="96"/>
      <c r="H117" s="96"/>
      <c r="I117" s="339"/>
      <c r="J117" s="96"/>
      <c r="K117" s="96"/>
      <c r="L117" s="96"/>
      <c r="M117" s="96"/>
      <c r="N117" s="344"/>
    </row>
    <row r="118" spans="1:17" ht="12.4">
      <c r="A118" s="117" t="s">
        <v>365</v>
      </c>
      <c r="C118" s="95"/>
      <c r="D118" s="95"/>
      <c r="E118" s="95"/>
      <c r="F118" s="96"/>
      <c r="G118" s="96"/>
      <c r="H118" s="96"/>
      <c r="I118" s="96"/>
      <c r="J118" s="96"/>
      <c r="K118" s="96"/>
      <c r="L118" s="96"/>
      <c r="M118" s="96"/>
      <c r="N118" s="344"/>
    </row>
    <row r="119" spans="1:17" ht="12.4">
      <c r="A119" s="123" t="s">
        <v>157</v>
      </c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344"/>
    </row>
    <row r="120" spans="1:17" ht="12.4">
      <c r="A120" s="124" t="s">
        <v>158</v>
      </c>
      <c r="B120" s="256" t="s">
        <v>357</v>
      </c>
      <c r="C120" s="95" t="s">
        <v>1</v>
      </c>
      <c r="F120" s="49"/>
      <c r="G120" s="49"/>
      <c r="H120" s="49"/>
      <c r="I120" s="49"/>
      <c r="J120" s="49"/>
      <c r="K120" s="49"/>
      <c r="L120" s="49"/>
      <c r="M120" s="49"/>
      <c r="N120" s="353" t="s">
        <v>357</v>
      </c>
    </row>
    <row r="121" spans="1:17" ht="13.5" customHeight="1">
      <c r="A121" s="124" t="s">
        <v>159</v>
      </c>
      <c r="B121" s="256" t="s">
        <v>358</v>
      </c>
      <c r="C121" s="95" t="s">
        <v>1</v>
      </c>
      <c r="F121" s="49"/>
      <c r="G121" s="49"/>
      <c r="H121" s="49"/>
      <c r="I121" s="49"/>
      <c r="J121" s="49"/>
      <c r="K121" s="49"/>
      <c r="L121" s="49"/>
      <c r="M121" s="49"/>
      <c r="N121" s="353" t="s">
        <v>358</v>
      </c>
    </row>
    <row r="122" spans="1:17" ht="12.4">
      <c r="A122" s="124" t="s">
        <v>160</v>
      </c>
      <c r="B122" s="256" t="s">
        <v>275</v>
      </c>
      <c r="C122" s="95" t="s">
        <v>1</v>
      </c>
      <c r="F122" s="49"/>
      <c r="G122" s="49"/>
      <c r="H122" s="49"/>
      <c r="I122" s="49"/>
      <c r="J122" s="49"/>
      <c r="K122" s="49"/>
      <c r="L122" s="49"/>
      <c r="M122" s="49"/>
      <c r="N122" s="353" t="s">
        <v>275</v>
      </c>
    </row>
    <row r="123" spans="1:17" ht="24.75">
      <c r="A123" s="124" t="s">
        <v>73</v>
      </c>
      <c r="B123" s="256" t="s">
        <v>359</v>
      </c>
      <c r="C123" s="95" t="s">
        <v>501</v>
      </c>
      <c r="F123" s="49"/>
      <c r="G123" s="49"/>
      <c r="H123" s="49"/>
      <c r="I123" s="49"/>
      <c r="J123" s="49"/>
      <c r="K123" s="49"/>
      <c r="L123" s="49"/>
      <c r="M123" s="49"/>
      <c r="N123" s="353" t="s">
        <v>359</v>
      </c>
    </row>
    <row r="124" spans="1:17" ht="16.5" customHeight="1">
      <c r="A124" s="124" t="s">
        <v>161</v>
      </c>
      <c r="B124" s="256" t="s">
        <v>360</v>
      </c>
      <c r="C124" s="95" t="s">
        <v>1</v>
      </c>
      <c r="F124" s="49"/>
      <c r="G124" s="49"/>
      <c r="H124" s="49"/>
      <c r="I124" s="49"/>
      <c r="J124" s="49"/>
      <c r="K124" s="49"/>
      <c r="L124" s="49"/>
      <c r="M124" s="49"/>
      <c r="N124" s="353" t="s">
        <v>360</v>
      </c>
    </row>
    <row r="125" spans="1:17" ht="12.4">
      <c r="F125" s="114"/>
      <c r="G125" s="114"/>
      <c r="H125" s="114"/>
      <c r="I125" s="114"/>
      <c r="J125" s="114"/>
      <c r="K125" s="114"/>
      <c r="L125" s="114"/>
      <c r="M125" s="114"/>
      <c r="N125" s="353"/>
    </row>
    <row r="126" spans="1:17" ht="14.65">
      <c r="A126" s="119" t="s">
        <v>274</v>
      </c>
      <c r="C126" s="95"/>
      <c r="D126" s="95"/>
      <c r="E126" s="95"/>
      <c r="F126" s="103"/>
      <c r="G126" s="96"/>
      <c r="H126" s="96"/>
      <c r="I126" s="96"/>
      <c r="J126" s="96"/>
      <c r="K126" s="96"/>
      <c r="L126" s="96"/>
      <c r="M126" s="96"/>
      <c r="N126" s="353"/>
    </row>
    <row r="127" spans="1:17" ht="12.4">
      <c r="A127" s="117" t="s">
        <v>366</v>
      </c>
      <c r="C127" s="95"/>
      <c r="D127" s="95"/>
      <c r="E127" s="95"/>
      <c r="F127" s="96"/>
      <c r="G127" s="96"/>
      <c r="H127" s="96"/>
      <c r="I127" s="96"/>
      <c r="J127" s="96"/>
      <c r="K127" s="96"/>
      <c r="L127" s="96"/>
      <c r="M127" s="96"/>
      <c r="N127" s="353"/>
    </row>
    <row r="128" spans="1:17" ht="12.4">
      <c r="A128" s="123" t="s">
        <v>157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353"/>
    </row>
    <row r="129" spans="1:14" ht="12.4">
      <c r="A129" s="124" t="s">
        <v>158</v>
      </c>
      <c r="B129" s="210" t="s">
        <v>361</v>
      </c>
      <c r="C129" s="95" t="s">
        <v>1</v>
      </c>
      <c r="D129" s="96"/>
      <c r="E129" s="96"/>
      <c r="F129" s="49"/>
      <c r="G129" s="49"/>
      <c r="H129" s="49"/>
      <c r="I129" s="49"/>
      <c r="J129" s="49"/>
      <c r="K129" s="49"/>
      <c r="L129" s="49"/>
      <c r="M129" s="49"/>
      <c r="N129" s="353" t="s">
        <v>361</v>
      </c>
    </row>
    <row r="130" spans="1:14" ht="12.4">
      <c r="A130" s="124" t="s">
        <v>159</v>
      </c>
      <c r="B130" s="256" t="s">
        <v>362</v>
      </c>
      <c r="C130" s="95" t="s">
        <v>1</v>
      </c>
      <c r="D130" s="96"/>
      <c r="E130" s="96"/>
      <c r="F130" s="49"/>
      <c r="G130" s="49"/>
      <c r="H130" s="49"/>
      <c r="I130" s="49"/>
      <c r="J130" s="49"/>
      <c r="K130" s="49"/>
      <c r="L130" s="49"/>
      <c r="M130" s="49"/>
      <c r="N130" s="353" t="s">
        <v>362</v>
      </c>
    </row>
    <row r="131" spans="1:14" ht="12.4">
      <c r="A131" s="124" t="s">
        <v>160</v>
      </c>
      <c r="B131" s="256" t="s">
        <v>276</v>
      </c>
      <c r="C131" s="95" t="s">
        <v>1</v>
      </c>
      <c r="D131" s="96"/>
      <c r="E131" s="96"/>
      <c r="F131" s="49"/>
      <c r="G131" s="49"/>
      <c r="H131" s="49"/>
      <c r="I131" s="49"/>
      <c r="J131" s="49"/>
      <c r="K131" s="49"/>
      <c r="L131" s="49"/>
      <c r="M131" s="49"/>
      <c r="N131" s="353" t="s">
        <v>276</v>
      </c>
    </row>
    <row r="132" spans="1:14" ht="24.75">
      <c r="A132" s="124" t="s">
        <v>73</v>
      </c>
      <c r="B132" s="256" t="s">
        <v>363</v>
      </c>
      <c r="C132" s="95" t="s">
        <v>501</v>
      </c>
      <c r="D132" s="96"/>
      <c r="E132" s="96"/>
      <c r="F132" s="49"/>
      <c r="G132" s="49"/>
      <c r="H132" s="49"/>
      <c r="I132" s="49"/>
      <c r="J132" s="49"/>
      <c r="K132" s="49"/>
      <c r="L132" s="49"/>
      <c r="M132" s="49"/>
      <c r="N132" s="353" t="s">
        <v>363</v>
      </c>
    </row>
    <row r="133" spans="1:14" ht="16.5" customHeight="1">
      <c r="A133" s="124" t="s">
        <v>161</v>
      </c>
      <c r="B133" s="256" t="s">
        <v>364</v>
      </c>
      <c r="C133" s="95" t="s">
        <v>1</v>
      </c>
      <c r="D133" s="96"/>
      <c r="E133" s="96"/>
      <c r="F133" s="49"/>
      <c r="G133" s="49"/>
      <c r="H133" s="49"/>
      <c r="I133" s="49"/>
      <c r="J133" s="49"/>
      <c r="K133" s="49"/>
      <c r="L133" s="49"/>
      <c r="M133" s="49"/>
      <c r="N133" s="353" t="s">
        <v>364</v>
      </c>
    </row>
    <row r="134" spans="1:14" ht="16.5" customHeight="1">
      <c r="A134" s="124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353"/>
    </row>
    <row r="135" spans="1:14" ht="16.5" customHeight="1">
      <c r="A135" s="124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338"/>
    </row>
    <row r="136" spans="1:14" ht="12.4">
      <c r="F136" s="114"/>
      <c r="G136" s="114"/>
      <c r="H136" s="114"/>
      <c r="I136" s="114"/>
      <c r="J136" s="114"/>
      <c r="K136" s="114"/>
      <c r="L136" s="114"/>
      <c r="M136" s="114"/>
      <c r="N136" s="338"/>
    </row>
    <row r="137" spans="1:14" ht="12.4">
      <c r="N137" s="338"/>
    </row>
    <row r="138" spans="1:14" ht="12.4">
      <c r="N138" s="338"/>
    </row>
    <row r="139" spans="1:14" ht="12.4">
      <c r="N139" s="338"/>
    </row>
    <row r="140" spans="1:14" ht="12.4">
      <c r="N140" s="338"/>
    </row>
    <row r="141" spans="1:14" ht="12.4">
      <c r="N141" s="338"/>
    </row>
    <row r="142" spans="1:14" ht="12.4">
      <c r="N142" s="338"/>
    </row>
    <row r="143" spans="1:14" ht="12.4"/>
    <row r="144" spans="1:14" ht="12.4"/>
    <row r="145" ht="12.4"/>
    <row r="146" ht="12.4"/>
    <row r="147" ht="12.4"/>
    <row r="148" ht="12.4"/>
    <row r="149" ht="12.4"/>
    <row r="150" ht="12.4"/>
    <row r="151" ht="12.4"/>
    <row r="152" ht="12.4"/>
    <row r="153" ht="12.4"/>
    <row r="154" ht="12.4"/>
    <row r="155" ht="12.4"/>
    <row r="156" ht="12.4"/>
    <row r="157" ht="12.4"/>
    <row r="158" ht="12.4"/>
    <row r="159" ht="12.4"/>
    <row r="160" ht="12.4"/>
    <row r="161" ht="12.4"/>
    <row r="162" ht="12.4"/>
    <row r="163" ht="12.4"/>
    <row r="164" ht="12.4"/>
    <row r="165" ht="12.4"/>
    <row r="166" ht="12.4"/>
    <row r="167" ht="12.4"/>
    <row r="168" ht="12.4"/>
    <row r="169" ht="12.4"/>
    <row r="170" ht="12.4"/>
    <row r="171" ht="12.4"/>
    <row r="172" ht="12.4"/>
    <row r="173" ht="12.4"/>
    <row r="174" ht="12.4"/>
    <row r="175" ht="12.4"/>
    <row r="176" ht="12.4"/>
    <row r="177" ht="12.4"/>
    <row r="178" ht="12.4"/>
    <row r="179" ht="12.4"/>
    <row r="180" ht="12.4"/>
    <row r="181" ht="12.4"/>
    <row r="182" ht="12.4"/>
    <row r="183" ht="12.4"/>
    <row r="184" ht="12.4"/>
    <row r="185" ht="12.4"/>
    <row r="186" ht="12.4"/>
    <row r="187" ht="12.4"/>
    <row r="188" ht="12.4"/>
    <row r="189" ht="12.4"/>
    <row r="190" ht="12.4"/>
    <row r="191" ht="12.4"/>
    <row r="192" ht="12.4"/>
    <row r="193" ht="12.4"/>
    <row r="194" ht="12.4"/>
    <row r="195" ht="12.4"/>
    <row r="196" ht="12.4"/>
    <row r="197" ht="12.4"/>
    <row r="198" ht="12.4"/>
    <row r="199" ht="12.4"/>
    <row r="200" ht="12.4"/>
    <row r="201" ht="12.4"/>
    <row r="202" ht="12.4"/>
    <row r="203" ht="12.4"/>
    <row r="204" ht="12.4"/>
    <row r="205" ht="12.4"/>
    <row r="206" ht="12.4"/>
    <row r="207" ht="12.4"/>
    <row r="208" ht="12.4"/>
    <row r="209" ht="12.4"/>
    <row r="210" ht="12.4"/>
    <row r="211" ht="12.4"/>
    <row r="212" ht="12.4"/>
    <row r="213" ht="12.4"/>
    <row r="214" ht="12.4"/>
    <row r="215" ht="12.4"/>
    <row r="216" ht="12.4"/>
    <row r="217" ht="12.4"/>
    <row r="218" ht="12.4"/>
    <row r="219" ht="12.4"/>
    <row r="220" ht="12.4"/>
    <row r="221" ht="12.4"/>
    <row r="222" ht="12.4"/>
    <row r="223" ht="12.4"/>
    <row r="224" ht="12.4"/>
    <row r="225" ht="12.4"/>
    <row r="226" ht="12.4"/>
    <row r="227" ht="12.4"/>
    <row r="228" ht="12.4"/>
    <row r="229" ht="12.4"/>
    <row r="230" ht="12.4"/>
    <row r="231" ht="12.4"/>
    <row r="232" ht="12.4"/>
    <row r="233" ht="12.4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</sheetData>
  <sheetProtection formatCells="0" formatColumns="0" formatRows="0" insertHyperlinks="0" autoFilter="0" pivotTables="0"/>
  <mergeCells count="3">
    <mergeCell ref="G3:H3"/>
    <mergeCell ref="F7:I7"/>
    <mergeCell ref="E6:J6"/>
  </mergeCells>
  <pageMargins left="0.23622047244094491" right="0.23622047244094491" top="0.39370078740157483" bottom="0.43307086614173229" header="0.19685039370078741" footer="0.19685039370078741"/>
  <pageSetup paperSize="8" scale="82" fitToHeight="2" orientation="portrait" r:id="rId1"/>
  <headerFooter>
    <oddHeader>&amp;C&amp;A</oddHeader>
    <oddFooter>&amp;L&amp;D &amp;T&amp;C&amp;Z&amp;R&amp;F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000037"/>
  <sheetViews>
    <sheetView showGridLines="0" zoomScale="85" zoomScaleNormal="85" workbookViewId="0">
      <selection activeCell="M12" sqref="M12"/>
    </sheetView>
  </sheetViews>
  <sheetFormatPr defaultColWidth="9" defaultRowHeight="12.4"/>
  <cols>
    <col min="1" max="1" width="33.17578125" style="111" customWidth="1"/>
    <col min="2" max="2" width="11.46875" style="111" customWidth="1"/>
    <col min="3" max="3" width="7.703125" style="111" customWidth="1"/>
    <col min="4" max="4" width="8.703125" style="111" customWidth="1"/>
    <col min="5" max="5" width="11.1171875" style="111" customWidth="1"/>
    <col min="6" max="6" width="11.46875" style="111" customWidth="1"/>
    <col min="7" max="9" width="10" style="111" customWidth="1"/>
    <col min="10" max="10" width="12.46875" style="111" customWidth="1"/>
    <col min="11" max="13" width="9.64453125" style="111" customWidth="1"/>
    <col min="14" max="16384" width="9" style="111"/>
  </cols>
  <sheetData>
    <row r="1" spans="1:14" s="121" customFormat="1" ht="14.65">
      <c r="A1" s="126" t="s">
        <v>113</v>
      </c>
      <c r="C1" s="127"/>
      <c r="D1" s="127"/>
      <c r="E1" s="127"/>
      <c r="N1" s="346"/>
    </row>
    <row r="2" spans="1:14" s="121" customFormat="1" ht="14.65">
      <c r="A2" s="126" t="str">
        <f>CompName</f>
        <v>Scottish Hydro Electric Transmission Plc</v>
      </c>
      <c r="C2" s="127"/>
      <c r="D2" s="127"/>
      <c r="E2" s="127"/>
      <c r="N2" s="346"/>
    </row>
    <row r="3" spans="1:14" s="121" customFormat="1">
      <c r="A3" s="128" t="str">
        <f>RegYr</f>
        <v>Regulatory Year ending 31 March 2019</v>
      </c>
      <c r="C3" s="127"/>
      <c r="D3" s="127"/>
      <c r="E3" s="127"/>
      <c r="N3" s="346"/>
    </row>
    <row r="4" spans="1:14" ht="28.5" customHeight="1">
      <c r="A4" s="129" t="s">
        <v>88</v>
      </c>
      <c r="C4" s="104" t="s">
        <v>0</v>
      </c>
      <c r="N4" s="344" t="s">
        <v>104</v>
      </c>
    </row>
    <row r="5" spans="1:14" ht="13.5">
      <c r="A5" s="144" t="s">
        <v>456</v>
      </c>
      <c r="B5" s="130"/>
      <c r="C5" s="130"/>
      <c r="D5" s="130"/>
      <c r="E5" s="130"/>
      <c r="F5" s="130"/>
      <c r="G5" s="130"/>
      <c r="H5" s="130"/>
      <c r="I5" s="130"/>
      <c r="N5" s="332"/>
    </row>
    <row r="6" spans="1:14" ht="14.25" customHeight="1">
      <c r="A6" s="118"/>
      <c r="B6" s="113"/>
      <c r="C6" s="259"/>
      <c r="F6" s="112">
        <v>2014</v>
      </c>
      <c r="G6" s="112">
        <v>2015</v>
      </c>
      <c r="H6" s="112">
        <v>2016</v>
      </c>
      <c r="I6" s="112">
        <v>2017</v>
      </c>
      <c r="J6" s="112">
        <v>2018</v>
      </c>
      <c r="K6" s="112">
        <v>2019</v>
      </c>
      <c r="L6" s="112">
        <v>2020</v>
      </c>
      <c r="M6" s="112">
        <v>2021</v>
      </c>
      <c r="N6" s="332"/>
    </row>
    <row r="7" spans="1:14" ht="13.5">
      <c r="B7" s="113"/>
      <c r="C7" s="259"/>
      <c r="F7" s="113"/>
      <c r="G7" s="113"/>
      <c r="H7" s="113"/>
      <c r="I7" s="113"/>
      <c r="N7" s="332"/>
    </row>
    <row r="8" spans="1:14" ht="15.4">
      <c r="A8" s="111" t="s">
        <v>19</v>
      </c>
      <c r="B8" s="131" t="s">
        <v>233</v>
      </c>
      <c r="C8" s="259" t="s">
        <v>1</v>
      </c>
      <c r="F8" s="164">
        <f>PU</f>
        <v>104.539</v>
      </c>
      <c r="G8" s="340">
        <f t="shared" ref="G8:M8" si="0">PU</f>
        <v>111.515</v>
      </c>
      <c r="H8" s="164">
        <f t="shared" si="0"/>
        <v>124.139</v>
      </c>
      <c r="I8" s="340">
        <f>PU</f>
        <v>123.63500000000001</v>
      </c>
      <c r="J8" s="164">
        <f t="shared" si="0"/>
        <v>119.59699999999999</v>
      </c>
      <c r="K8" s="164">
        <f t="shared" si="0"/>
        <v>120</v>
      </c>
      <c r="L8" s="164">
        <f t="shared" si="0"/>
        <v>122.09699999999999</v>
      </c>
      <c r="M8" s="164">
        <f t="shared" si="0"/>
        <v>122.52500000000001</v>
      </c>
      <c r="N8" s="332"/>
    </row>
    <row r="9" spans="1:14" ht="15.4">
      <c r="A9" s="111" t="s">
        <v>18</v>
      </c>
      <c r="B9" s="131" t="s">
        <v>234</v>
      </c>
      <c r="C9" s="259" t="s">
        <v>1</v>
      </c>
      <c r="F9" s="219"/>
      <c r="G9" s="340">
        <f t="shared" ref="G9:M9" si="1">MOD</f>
        <v>8.7129999999999992</v>
      </c>
      <c r="H9" s="164">
        <f t="shared" si="1"/>
        <v>85.16</v>
      </c>
      <c r="I9" s="340">
        <f t="shared" si="1"/>
        <v>87.611999999999995</v>
      </c>
      <c r="J9" s="164">
        <f t="shared" si="1"/>
        <v>52.688000000000002</v>
      </c>
      <c r="K9" s="164">
        <f t="shared" si="1"/>
        <v>76.257999999999996</v>
      </c>
      <c r="L9" s="164">
        <f t="shared" si="1"/>
        <v>76.828000000000003</v>
      </c>
      <c r="M9" s="164">
        <f t="shared" si="1"/>
        <v>0</v>
      </c>
      <c r="N9" s="332"/>
    </row>
    <row r="10" spans="1:14" ht="15.4">
      <c r="A10" s="111" t="s">
        <v>71</v>
      </c>
      <c r="B10" s="131" t="s">
        <v>235</v>
      </c>
      <c r="C10" s="259" t="s">
        <v>1</v>
      </c>
      <c r="F10" s="219"/>
      <c r="G10" s="340">
        <f>G38</f>
        <v>-2.2897351747742066E-3</v>
      </c>
      <c r="H10" s="164">
        <f t="shared" ref="H10:M10" si="2">H38</f>
        <v>0.48963144295093303</v>
      </c>
      <c r="I10" s="340">
        <f t="shared" si="2"/>
        <v>-2.2503399227515062</v>
      </c>
      <c r="J10" s="164">
        <f t="shared" si="2"/>
        <v>-5.2101948785709666</v>
      </c>
      <c r="K10" s="164">
        <f t="shared" si="2"/>
        <v>-0.8107906437251573</v>
      </c>
      <c r="L10" s="164">
        <f t="shared" si="2"/>
        <v>0.59498918330147588</v>
      </c>
      <c r="M10" s="164">
        <f t="shared" si="2"/>
        <v>-0.86376869722977523</v>
      </c>
      <c r="N10" s="332"/>
    </row>
    <row r="11" spans="1:14" ht="15.4">
      <c r="A11" s="111" t="s">
        <v>62</v>
      </c>
      <c r="B11" s="131" t="s">
        <v>236</v>
      </c>
      <c r="C11" s="259" t="s">
        <v>117</v>
      </c>
      <c r="F11" s="164">
        <f t="shared" ref="F11:M11" si="3">RPIF</f>
        <v>1.1630161697108456</v>
      </c>
      <c r="G11" s="340">
        <f t="shared" si="3"/>
        <v>1.2050819527256253</v>
      </c>
      <c r="H11" s="164">
        <f t="shared" si="3"/>
        <v>1.2266493019576674</v>
      </c>
      <c r="I11" s="340">
        <f t="shared" si="3"/>
        <v>1.2327329838381795</v>
      </c>
      <c r="J11" s="164">
        <f t="shared" si="3"/>
        <v>1.2709189417960116</v>
      </c>
      <c r="K11" s="164">
        <f t="shared" si="3"/>
        <v>1.3140238772935624</v>
      </c>
      <c r="L11" s="164">
        <f t="shared" si="3"/>
        <v>1.3585865587485577</v>
      </c>
      <c r="M11" s="164">
        <f t="shared" si="3"/>
        <v>1.309769334513619</v>
      </c>
      <c r="N11" s="332"/>
    </row>
    <row r="12" spans="1:14" ht="15.4">
      <c r="A12" s="111" t="s">
        <v>13</v>
      </c>
      <c r="B12" s="131" t="s">
        <v>237</v>
      </c>
      <c r="C12" s="259" t="s">
        <v>1</v>
      </c>
      <c r="F12" s="220">
        <f>SUM(F8:F10)*F11</f>
        <v>121.5805473654021</v>
      </c>
      <c r="G12" s="220">
        <f t="shared" ref="G12:M12" si="4">SUM(G8:G10)*G11</f>
        <v>144.88183369376085</v>
      </c>
      <c r="H12" s="220">
        <f>SUM(H8:H10)*H11</f>
        <v>257.33707831815008</v>
      </c>
      <c r="I12" s="220">
        <f t="shared" si="4"/>
        <v>257.63707638924029</v>
      </c>
      <c r="J12" s="220">
        <f t="shared" si="4"/>
        <v>212.33853452570145</v>
      </c>
      <c r="K12" s="220">
        <f t="shared" si="4"/>
        <v>256.82229984453886</v>
      </c>
      <c r="L12" s="220">
        <f t="shared" si="4"/>
        <v>271.06517550609101</v>
      </c>
      <c r="M12" s="220">
        <f t="shared" si="4"/>
        <v>159.34814995953684</v>
      </c>
      <c r="N12" s="343" t="s">
        <v>238</v>
      </c>
    </row>
    <row r="13" spans="1:14">
      <c r="C13" s="259"/>
      <c r="F13" s="118"/>
      <c r="I13" s="118"/>
      <c r="N13" s="332"/>
    </row>
    <row r="14" spans="1:14">
      <c r="C14" s="259"/>
      <c r="N14" s="332"/>
    </row>
    <row r="15" spans="1:14" ht="17.649999999999999">
      <c r="A15" s="275" t="s">
        <v>505</v>
      </c>
      <c r="C15" s="259"/>
      <c r="F15" s="397" t="s">
        <v>89</v>
      </c>
      <c r="G15" s="397"/>
      <c r="H15" s="397"/>
      <c r="I15" s="397"/>
      <c r="J15" s="260"/>
      <c r="K15" s="110"/>
      <c r="N15" s="332"/>
    </row>
    <row r="16" spans="1:14">
      <c r="C16" s="259"/>
      <c r="F16" s="118"/>
      <c r="N16" s="332"/>
    </row>
    <row r="17" spans="1:14">
      <c r="C17" s="266"/>
      <c r="D17" s="132"/>
      <c r="E17" s="132"/>
      <c r="N17" s="332"/>
    </row>
    <row r="18" spans="1:14" ht="14.25">
      <c r="C18" s="259"/>
      <c r="D18" s="112">
        <v>2012</v>
      </c>
      <c r="E18" s="112">
        <v>2013</v>
      </c>
      <c r="F18" s="112">
        <v>2014</v>
      </c>
      <c r="G18" s="112">
        <v>2015</v>
      </c>
      <c r="H18" s="112">
        <v>2016</v>
      </c>
      <c r="I18" s="112">
        <v>2017</v>
      </c>
      <c r="J18" s="112">
        <v>2018</v>
      </c>
      <c r="K18" s="112">
        <v>2019</v>
      </c>
      <c r="L18" s="112">
        <v>2020</v>
      </c>
      <c r="M18" s="112">
        <v>2021</v>
      </c>
      <c r="N18" s="332"/>
    </row>
    <row r="19" spans="1:14">
      <c r="B19" s="111" t="s">
        <v>38</v>
      </c>
      <c r="C19" s="259" t="s">
        <v>1</v>
      </c>
      <c r="D19" s="135">
        <f t="shared" ref="D19:M19" si="5">RPIA</f>
        <v>1.0999921211306642</v>
      </c>
      <c r="E19" s="135">
        <f t="shared" si="5"/>
        <v>1.1339778557425371</v>
      </c>
      <c r="F19" s="135">
        <f t="shared" si="5"/>
        <v>1.1666890673736021</v>
      </c>
      <c r="G19" s="135">
        <f t="shared" si="5"/>
        <v>1.1895563269638081</v>
      </c>
      <c r="H19" s="135">
        <f t="shared" si="5"/>
        <v>1.2023757108362261</v>
      </c>
      <c r="I19" s="135">
        <f t="shared" si="5"/>
        <v>1.2281396135646323</v>
      </c>
      <c r="J19" s="135">
        <f t="shared" si="5"/>
        <v>1.2740965949380583</v>
      </c>
      <c r="K19" s="135">
        <f t="shared" si="5"/>
        <v>1.309769334513619</v>
      </c>
      <c r="L19" s="135">
        <f t="shared" si="5"/>
        <v>1.3464431539577413</v>
      </c>
      <c r="M19" s="135">
        <f t="shared" si="5"/>
        <v>1.3841458610445527</v>
      </c>
      <c r="N19" s="343" t="s">
        <v>122</v>
      </c>
    </row>
    <row r="20" spans="1:14">
      <c r="B20" s="111" t="s">
        <v>165</v>
      </c>
      <c r="C20" s="111" t="s">
        <v>166</v>
      </c>
      <c r="E20" s="217">
        <f>0.75*'R5 Input page'!D16+0.25*'R5 Input page'!E16</f>
        <v>0.03</v>
      </c>
      <c r="F20" s="217">
        <f>0.75*'R5 Input page'!E16+0.25*'R5 Input page'!F16</f>
        <v>2.6500000000000003E-2</v>
      </c>
      <c r="G20" s="218"/>
      <c r="H20" s="218"/>
      <c r="I20" s="218"/>
      <c r="J20" s="218"/>
      <c r="K20" s="218"/>
      <c r="L20" s="218"/>
      <c r="M20" s="218"/>
      <c r="N20" s="332"/>
    </row>
    <row r="21" spans="1:14">
      <c r="B21" s="111" t="s">
        <v>165</v>
      </c>
      <c r="C21" s="111" t="s">
        <v>167</v>
      </c>
      <c r="E21" s="218"/>
      <c r="F21" s="217">
        <f>0.75*'R5 Input page'!E17+0.25*'R5 Input page'!F17</f>
        <v>3.1E-2</v>
      </c>
      <c r="G21" s="217">
        <f>0.75*'R5 Input page'!F17+0.25*'R5 Input page'!G17</f>
        <v>3.075E-2</v>
      </c>
      <c r="H21" s="218"/>
      <c r="I21" s="218"/>
      <c r="J21" s="218"/>
      <c r="K21" s="218"/>
      <c r="L21" s="218"/>
      <c r="M21" s="218"/>
      <c r="N21" s="332"/>
    </row>
    <row r="22" spans="1:14">
      <c r="B22" s="111" t="s">
        <v>165</v>
      </c>
      <c r="C22" s="111" t="s">
        <v>168</v>
      </c>
      <c r="E22" s="218"/>
      <c r="F22" s="218"/>
      <c r="G22" s="217">
        <f>0.75*'R5 Input page'!F18+0.25*'R5 Input page'!G18</f>
        <v>2.4750000000000001E-2</v>
      </c>
      <c r="H22" s="217">
        <f>0.75*'R5 Input page'!G18+0.25*'R5 Input page'!H18</f>
        <v>2.6000000000000002E-2</v>
      </c>
      <c r="I22" s="218"/>
      <c r="J22" s="218"/>
      <c r="K22" s="218"/>
      <c r="L22" s="218"/>
      <c r="M22" s="218"/>
      <c r="N22" s="332"/>
    </row>
    <row r="23" spans="1:14">
      <c r="B23" s="111" t="s">
        <v>165</v>
      </c>
      <c r="C23" s="111" t="s">
        <v>169</v>
      </c>
      <c r="E23" s="218"/>
      <c r="F23" s="218"/>
      <c r="G23" s="218"/>
      <c r="H23" s="217">
        <f>0.75*'R5 Input page'!G19+0.25*'R5 Input page'!H19</f>
        <v>1.2750000000000001E-2</v>
      </c>
      <c r="I23" s="217">
        <f>0.75*'R5 Input page'!H19+0.25*'R5 Input page'!I19</f>
        <v>2.325E-2</v>
      </c>
      <c r="J23" s="218"/>
      <c r="K23" s="218"/>
      <c r="L23" s="218"/>
      <c r="M23" s="218"/>
      <c r="N23" s="332"/>
    </row>
    <row r="24" spans="1:14">
      <c r="B24" s="111" t="s">
        <v>165</v>
      </c>
      <c r="C24" s="111" t="s">
        <v>170</v>
      </c>
      <c r="E24" s="218"/>
      <c r="F24" s="218"/>
      <c r="G24" s="218"/>
      <c r="H24" s="218"/>
      <c r="I24" s="217">
        <f>0.75*'R5 Input page'!H20+0.25*'R5 Input page'!I20</f>
        <v>2.2249999999999999E-2</v>
      </c>
      <c r="J24" s="217">
        <f>0.75*'R5 Input page'!I20+0.25*'R5 Input page'!J20</f>
        <v>3.4000000000000002E-2</v>
      </c>
      <c r="K24" s="218"/>
      <c r="L24" s="218"/>
      <c r="M24" s="218"/>
      <c r="N24" s="332"/>
    </row>
    <row r="25" spans="1:14">
      <c r="B25" s="111" t="s">
        <v>165</v>
      </c>
      <c r="C25" s="111" t="s">
        <v>171</v>
      </c>
      <c r="E25" s="218"/>
      <c r="F25" s="218"/>
      <c r="G25" s="218"/>
      <c r="H25" s="218"/>
      <c r="I25" s="218"/>
      <c r="J25" s="217">
        <f>0.75*'R5 Input page'!I21+0.25*'R5 Input page'!J21</f>
        <v>3.5499999999999997E-2</v>
      </c>
      <c r="K25" s="217">
        <f>0.75*'R5 Input page'!J21+0.25*'R5 Input page'!K21</f>
        <v>3.3250000000000002E-2</v>
      </c>
      <c r="L25" s="218"/>
      <c r="M25" s="218"/>
      <c r="N25" s="332"/>
    </row>
    <row r="26" spans="1:14">
      <c r="B26" s="111" t="s">
        <v>165</v>
      </c>
      <c r="C26" s="111" t="s">
        <v>172</v>
      </c>
      <c r="E26" s="218"/>
      <c r="F26" s="218"/>
      <c r="G26" s="218"/>
      <c r="H26" s="218"/>
      <c r="I26" s="218"/>
      <c r="J26" s="218"/>
      <c r="K26" s="217">
        <f>0.75*'R5 Input page'!J22+0.25*'R5 Input page'!K22</f>
        <v>3.3500000000000002E-2</v>
      </c>
      <c r="L26" s="217">
        <f>0.75*'R5 Input page'!K22+0.25*'R5 Input page'!L22</f>
        <v>3.175E-2</v>
      </c>
      <c r="M26" s="218"/>
      <c r="N26" s="332"/>
    </row>
    <row r="27" spans="1:14">
      <c r="B27" s="111" t="s">
        <v>165</v>
      </c>
      <c r="C27" s="111" t="s">
        <v>173</v>
      </c>
      <c r="E27" s="218"/>
      <c r="F27" s="218"/>
      <c r="G27" s="218"/>
      <c r="H27" s="218"/>
      <c r="I27" s="218"/>
      <c r="J27" s="218"/>
      <c r="K27" s="218"/>
      <c r="L27" s="217">
        <f>0.75*'R5 Input page'!K23+0.25*'R5 Input page'!L23</f>
        <v>0</v>
      </c>
      <c r="M27" s="217">
        <f>0.75*'R5 Input page'!L23+0.25*'R5 Input page'!M23</f>
        <v>0</v>
      </c>
      <c r="N27" s="332"/>
    </row>
    <row r="28" spans="1:14">
      <c r="B28" s="111" t="s">
        <v>17</v>
      </c>
      <c r="E28" s="342">
        <v>1.1339999999999999</v>
      </c>
      <c r="F28" s="135">
        <f>D19*(1+E20)*(1+F20)</f>
        <v>1.1630161697108456</v>
      </c>
      <c r="G28" s="135">
        <f>E19*(1+F21)*(1+G21)</f>
        <v>1.2050819527256253</v>
      </c>
      <c r="H28" s="135">
        <f>F19*(1+G22)*(1+H22)</f>
        <v>1.2266493019576674</v>
      </c>
      <c r="I28" s="135">
        <f>G19*(1+H23)*(1+I23)</f>
        <v>1.2327329838381795</v>
      </c>
      <c r="J28" s="135">
        <f>H19*(1+I24)*(1+J24)</f>
        <v>1.2709189417960116</v>
      </c>
      <c r="K28" s="135">
        <f>I19*(1+J25)*(1+K25)</f>
        <v>1.3140238772935624</v>
      </c>
      <c r="L28" s="135">
        <f>J19*(1+K26)*(1+L26)</f>
        <v>1.3585865587485577</v>
      </c>
      <c r="M28" s="135">
        <f>K19*(1+L27)*(1+M27)</f>
        <v>1.309769334513619</v>
      </c>
      <c r="N28" s="348" t="s">
        <v>116</v>
      </c>
    </row>
    <row r="29" spans="1:14">
      <c r="C29" s="259"/>
      <c r="E29" s="118"/>
      <c r="H29" s="118"/>
      <c r="N29" s="332"/>
    </row>
    <row r="30" spans="1:14">
      <c r="C30" s="259"/>
      <c r="N30" s="332"/>
    </row>
    <row r="31" spans="1:14">
      <c r="C31" s="259"/>
      <c r="N31" s="332"/>
    </row>
    <row r="32" spans="1:14">
      <c r="A32" s="110" t="s">
        <v>40</v>
      </c>
      <c r="C32" s="259"/>
      <c r="N32" s="332"/>
    </row>
    <row r="33" spans="1:14">
      <c r="A33" s="110" t="s">
        <v>457</v>
      </c>
      <c r="C33" s="259"/>
      <c r="E33" s="118"/>
      <c r="M33" s="118"/>
      <c r="N33" s="332"/>
    </row>
    <row r="34" spans="1:14">
      <c r="C34" s="259"/>
      <c r="N34" s="332"/>
    </row>
    <row r="35" spans="1:14" ht="14.25">
      <c r="C35" s="259"/>
      <c r="E35" s="112">
        <v>2013</v>
      </c>
      <c r="F35" s="112">
        <v>2014</v>
      </c>
      <c r="G35" s="112">
        <v>2015</v>
      </c>
      <c r="H35" s="112">
        <v>2016</v>
      </c>
      <c r="I35" s="112">
        <v>2017</v>
      </c>
      <c r="J35" s="112">
        <v>2018</v>
      </c>
      <c r="K35" s="112">
        <v>2019</v>
      </c>
      <c r="L35" s="112">
        <v>2020</v>
      </c>
      <c r="M35" s="112">
        <v>2021</v>
      </c>
      <c r="N35" s="332"/>
    </row>
    <row r="36" spans="1:14">
      <c r="A36" s="111" t="s">
        <v>41</v>
      </c>
      <c r="B36" s="111" t="s">
        <v>174</v>
      </c>
      <c r="C36" s="259" t="s">
        <v>1</v>
      </c>
      <c r="E36" s="164">
        <f>E56</f>
        <v>106.85114638447972</v>
      </c>
      <c r="F36" s="164">
        <f>F78</f>
        <v>142.02969670662296</v>
      </c>
      <c r="G36" s="164">
        <f t="shared" ref="G36:M36" si="6">G78</f>
        <v>158.10072626482523</v>
      </c>
      <c r="H36" s="164">
        <f t="shared" si="6"/>
        <v>237.56095048261861</v>
      </c>
      <c r="I36" s="164">
        <f t="shared" si="6"/>
        <v>200.2162538203421</v>
      </c>
      <c r="J36" s="164">
        <f t="shared" si="6"/>
        <v>221.05462742479611</v>
      </c>
      <c r="K36" s="164">
        <f t="shared" si="6"/>
        <v>247.06152406447674</v>
      </c>
      <c r="L36" s="164">
        <f t="shared" si="6"/>
        <v>248.75271750800192</v>
      </c>
      <c r="M36" s="164">
        <f t="shared" si="6"/>
        <v>168.52146686572931</v>
      </c>
      <c r="N36" s="332"/>
    </row>
    <row r="37" spans="1:14">
      <c r="A37" s="111" t="s">
        <v>42</v>
      </c>
      <c r="B37" s="111" t="s">
        <v>175</v>
      </c>
      <c r="C37" s="259" t="s">
        <v>117</v>
      </c>
      <c r="E37" s="221">
        <f t="shared" ref="E37:M37" si="7">PVF</f>
        <v>1.0475000000000001</v>
      </c>
      <c r="F37" s="221">
        <f t="shared" si="7"/>
        <v>1.0476000000000001</v>
      </c>
      <c r="G37" s="221">
        <f t="shared" si="7"/>
        <v>1.0452999999999999</v>
      </c>
      <c r="H37" s="221">
        <f t="shared" si="7"/>
        <v>1.0432999999999999</v>
      </c>
      <c r="I37" s="221">
        <f t="shared" si="7"/>
        <v>1.0413000000000001</v>
      </c>
      <c r="J37" s="221">
        <f t="shared" si="7"/>
        <v>1.0398000000000001</v>
      </c>
      <c r="K37" s="221">
        <f t="shared" si="7"/>
        <v>1.0379</v>
      </c>
      <c r="L37" s="221">
        <f t="shared" si="7"/>
        <v>1.0369999999999999</v>
      </c>
      <c r="M37" s="221">
        <f t="shared" si="7"/>
        <v>1.0369999999999999</v>
      </c>
      <c r="N37" s="332"/>
    </row>
    <row r="38" spans="1:14" ht="15.4">
      <c r="A38" s="111" t="s">
        <v>71</v>
      </c>
      <c r="B38" s="131" t="s">
        <v>235</v>
      </c>
      <c r="C38" s="259" t="s">
        <v>1</v>
      </c>
      <c r="E38" s="219"/>
      <c r="F38" s="219"/>
      <c r="G38" s="222">
        <f>IFERROR(((E$19-E$28)/E$19)*E$36*E$37*F$37,"-")</f>
        <v>-2.2897351747742066E-3</v>
      </c>
      <c r="H38" s="222">
        <f>IFERROR(((F$19-F$28)/F$19)*F$36*F$37*G$37,"-")</f>
        <v>0.48963144295093303</v>
      </c>
      <c r="I38" s="222">
        <f t="shared" ref="I38:L38" si="8">IFERROR(((G$19-G$28)/G$19)*G$36*G$37*H$37,"-")</f>
        <v>-2.2503399227515062</v>
      </c>
      <c r="J38" s="222">
        <f t="shared" si="8"/>
        <v>-5.2101948785709666</v>
      </c>
      <c r="K38" s="222">
        <f t="shared" si="8"/>
        <v>-0.8107906437251573</v>
      </c>
      <c r="L38" s="222">
        <f t="shared" si="8"/>
        <v>0.59498918330147588</v>
      </c>
      <c r="M38" s="222">
        <f>IFERROR(((K$19-K$28)/K$19)*K$36*K$37*L$37,"-")</f>
        <v>-0.86376869722977523</v>
      </c>
      <c r="N38" s="343" t="s">
        <v>239</v>
      </c>
    </row>
    <row r="39" spans="1:14">
      <c r="C39" s="259"/>
      <c r="G39" s="118"/>
      <c r="J39" s="118"/>
      <c r="N39" s="332"/>
    </row>
    <row r="40" spans="1:14">
      <c r="C40" s="259"/>
      <c r="N40" s="332"/>
    </row>
    <row r="41" spans="1:14">
      <c r="B41" s="118"/>
      <c r="C41" s="259"/>
      <c r="N41" s="332"/>
    </row>
    <row r="42" spans="1:14">
      <c r="B42" s="118"/>
      <c r="C42" s="259"/>
      <c r="N42" s="332"/>
    </row>
    <row r="43" spans="1:14">
      <c r="A43" s="110" t="s">
        <v>261</v>
      </c>
      <c r="B43" s="118"/>
      <c r="C43" s="259"/>
      <c r="N43" s="332"/>
    </row>
    <row r="44" spans="1:14">
      <c r="A44" s="110" t="s">
        <v>428</v>
      </c>
      <c r="B44" s="118"/>
      <c r="C44" s="259"/>
      <c r="E44" s="111" t="s">
        <v>191</v>
      </c>
      <c r="N44" s="332"/>
    </row>
    <row r="45" spans="1:14">
      <c r="A45" s="110"/>
      <c r="B45" s="118"/>
      <c r="C45" s="259"/>
      <c r="N45" s="332"/>
    </row>
    <row r="46" spans="1:14">
      <c r="A46" s="110"/>
      <c r="B46" s="118"/>
      <c r="C46" s="259"/>
      <c r="M46" s="118"/>
      <c r="N46" s="332"/>
    </row>
    <row r="47" spans="1:14">
      <c r="A47" s="110"/>
      <c r="B47" s="118"/>
      <c r="C47" s="259"/>
      <c r="N47" s="332"/>
    </row>
    <row r="48" spans="1:14">
      <c r="A48" s="110"/>
      <c r="B48" s="118"/>
      <c r="C48" s="259"/>
      <c r="G48" s="273"/>
      <c r="N48" s="332"/>
    </row>
    <row r="49" spans="1:14" ht="14.25">
      <c r="A49" s="110"/>
      <c r="B49" s="131"/>
      <c r="C49" s="259"/>
      <c r="E49" s="112">
        <v>2013</v>
      </c>
      <c r="F49" s="273"/>
      <c r="G49" s="273"/>
      <c r="N49" s="332"/>
    </row>
    <row r="50" spans="1:14">
      <c r="A50" s="134" t="s">
        <v>422</v>
      </c>
      <c r="B50" s="131" t="s">
        <v>431</v>
      </c>
      <c r="C50" s="259" t="s">
        <v>1</v>
      </c>
      <c r="E50" s="341">
        <f>'R5 Input page'!E32</f>
        <v>94.397999999999996</v>
      </c>
      <c r="F50" s="273"/>
      <c r="G50" s="273"/>
      <c r="H50" s="204"/>
      <c r="N50" s="332"/>
    </row>
    <row r="51" spans="1:14" ht="24.75">
      <c r="A51" s="206" t="s">
        <v>424</v>
      </c>
      <c r="B51" s="131" t="s">
        <v>430</v>
      </c>
      <c r="C51" s="259" t="s">
        <v>1</v>
      </c>
      <c r="E51" s="341">
        <f>'R5 Input page'!E33</f>
        <v>3.5510000000000002</v>
      </c>
      <c r="F51" s="273"/>
      <c r="G51" s="273"/>
      <c r="H51" s="204"/>
      <c r="N51" s="332"/>
    </row>
    <row r="52" spans="1:14">
      <c r="A52" s="111" t="s">
        <v>423</v>
      </c>
      <c r="B52" s="131" t="s">
        <v>432</v>
      </c>
      <c r="C52" s="259" t="s">
        <v>1</v>
      </c>
      <c r="E52" s="341">
        <f>SUM('R5 Input page'!E34:E36)</f>
        <v>34.855999999999995</v>
      </c>
      <c r="F52" s="273"/>
      <c r="G52" s="273"/>
      <c r="H52" s="204"/>
      <c r="N52" s="332"/>
    </row>
    <row r="53" spans="1:14" ht="24.75">
      <c r="A53" s="205" t="s">
        <v>425</v>
      </c>
      <c r="B53" s="131" t="s">
        <v>433</v>
      </c>
      <c r="C53" s="259" t="s">
        <v>1</v>
      </c>
      <c r="E53" s="341">
        <f>'R5 Input page'!E37</f>
        <v>-1.77</v>
      </c>
      <c r="F53" s="273"/>
      <c r="G53" s="273"/>
      <c r="H53" s="204"/>
      <c r="N53" s="332"/>
    </row>
    <row r="54" spans="1:14">
      <c r="A54" s="111" t="s">
        <v>427</v>
      </c>
      <c r="B54" s="131" t="s">
        <v>434</v>
      </c>
      <c r="C54" s="259" t="s">
        <v>117</v>
      </c>
      <c r="E54" s="341">
        <f>RPIF</f>
        <v>1.1339999999999999</v>
      </c>
      <c r="F54" s="273"/>
      <c r="G54" s="273"/>
      <c r="H54" s="204"/>
      <c r="N54" s="332"/>
    </row>
    <row r="55" spans="1:14">
      <c r="A55" s="134" t="s">
        <v>426</v>
      </c>
      <c r="B55" s="131" t="s">
        <v>435</v>
      </c>
      <c r="C55" s="259" t="s">
        <v>1</v>
      </c>
      <c r="E55" s="341">
        <f>'R5 Input page'!E39</f>
        <v>8.6999999999999993</v>
      </c>
      <c r="F55" s="273"/>
      <c r="G55" s="273"/>
      <c r="H55" s="204"/>
      <c r="N55" s="332"/>
    </row>
    <row r="56" spans="1:14">
      <c r="A56" s="110"/>
      <c r="B56" s="131" t="s">
        <v>436</v>
      </c>
      <c r="C56" s="259" t="s">
        <v>1</v>
      </c>
      <c r="E56" s="223">
        <f>((E50+E51+E52+E53)/E54)-E55</f>
        <v>106.85114638447972</v>
      </c>
      <c r="F56" s="273"/>
      <c r="G56" s="273"/>
      <c r="N56" s="332"/>
    </row>
    <row r="57" spans="1:14">
      <c r="A57" s="110"/>
      <c r="B57" s="118"/>
      <c r="C57" s="259"/>
      <c r="F57" s="118"/>
      <c r="G57" s="273"/>
      <c r="H57" s="273"/>
      <c r="I57" s="118"/>
      <c r="N57" s="332"/>
    </row>
    <row r="58" spans="1:14">
      <c r="A58" s="110"/>
      <c r="B58" s="118"/>
      <c r="C58" s="259"/>
      <c r="N58" s="332"/>
    </row>
    <row r="59" spans="1:14">
      <c r="A59" s="110"/>
      <c r="B59" s="118"/>
      <c r="C59" s="259"/>
      <c r="N59" s="332"/>
    </row>
    <row r="60" spans="1:14">
      <c r="A60" s="110"/>
      <c r="B60" s="118"/>
      <c r="C60" s="259"/>
      <c r="N60" s="332"/>
    </row>
    <row r="61" spans="1:14">
      <c r="A61" s="110"/>
      <c r="B61" s="118"/>
      <c r="C61" s="259"/>
      <c r="E61" s="111" t="s">
        <v>421</v>
      </c>
      <c r="N61" s="332"/>
    </row>
    <row r="62" spans="1:14">
      <c r="A62" s="110"/>
      <c r="B62" s="118"/>
      <c r="C62" s="259"/>
      <c r="N62" s="332"/>
    </row>
    <row r="63" spans="1:14">
      <c r="A63" s="110" t="s">
        <v>429</v>
      </c>
      <c r="B63" s="118"/>
      <c r="C63" s="259"/>
      <c r="N63" s="332"/>
    </row>
    <row r="64" spans="1:14">
      <c r="B64" s="118"/>
      <c r="C64" s="259"/>
      <c r="M64" s="118"/>
      <c r="N64" s="332"/>
    </row>
    <row r="65" spans="1:14">
      <c r="B65" s="118"/>
      <c r="C65" s="259"/>
      <c r="N65" s="332"/>
    </row>
    <row r="66" spans="1:14">
      <c r="B66" s="118"/>
      <c r="C66" s="259"/>
      <c r="N66" s="332"/>
    </row>
    <row r="67" spans="1:14" ht="14.25">
      <c r="B67" s="118"/>
      <c r="C67" s="259"/>
      <c r="E67" s="112">
        <v>2013</v>
      </c>
      <c r="F67" s="112">
        <v>2014</v>
      </c>
      <c r="G67" s="112">
        <v>2015</v>
      </c>
      <c r="H67" s="112">
        <v>2016</v>
      </c>
      <c r="I67" s="112">
        <v>2017</v>
      </c>
      <c r="J67" s="112">
        <v>2018</v>
      </c>
      <c r="K67" s="112">
        <v>2019</v>
      </c>
      <c r="L67" s="112">
        <v>2020</v>
      </c>
      <c r="M67" s="112">
        <v>2021</v>
      </c>
      <c r="N67" s="332"/>
    </row>
    <row r="68" spans="1:14" ht="15.4">
      <c r="A68" s="111" t="s">
        <v>13</v>
      </c>
      <c r="B68" s="131" t="s">
        <v>14</v>
      </c>
      <c r="C68" s="259" t="s">
        <v>1</v>
      </c>
      <c r="E68" s="273"/>
      <c r="F68" s="226">
        <f t="shared" ref="F68:M68" si="9">BR</f>
        <v>121.5805473654021</v>
      </c>
      <c r="G68" s="164">
        <f t="shared" si="9"/>
        <v>144.88183369376085</v>
      </c>
      <c r="H68" s="226">
        <f t="shared" si="9"/>
        <v>257.33707831815008</v>
      </c>
      <c r="I68" s="226">
        <f t="shared" si="9"/>
        <v>257.63707638924029</v>
      </c>
      <c r="J68" s="226">
        <f t="shared" si="9"/>
        <v>212.33853452570145</v>
      </c>
      <c r="K68" s="226">
        <f t="shared" si="9"/>
        <v>256.82229984453886</v>
      </c>
      <c r="L68" s="226">
        <f t="shared" si="9"/>
        <v>271.06517550609101</v>
      </c>
      <c r="M68" s="226">
        <f t="shared" si="9"/>
        <v>159.34814995953684</v>
      </c>
      <c r="N68" s="343" t="s">
        <v>238</v>
      </c>
    </row>
    <row r="69" spans="1:14" ht="15.4">
      <c r="A69" s="111" t="s">
        <v>23</v>
      </c>
      <c r="B69" s="131" t="s">
        <v>21</v>
      </c>
      <c r="C69" s="259" t="s">
        <v>1</v>
      </c>
      <c r="D69" s="273"/>
      <c r="E69" s="273"/>
      <c r="F69" s="215"/>
      <c r="G69" s="215"/>
      <c r="H69" s="226">
        <f t="shared" ref="H69:M69" si="10">RBt</f>
        <v>-12.626550201783784</v>
      </c>
      <c r="I69" s="226">
        <f t="shared" si="10"/>
        <v>-12.637088524491084</v>
      </c>
      <c r="J69" s="226">
        <f t="shared" si="10"/>
        <v>-17.535035490011005</v>
      </c>
      <c r="K69" s="226">
        <f t="shared" si="10"/>
        <v>-18.068939317346686</v>
      </c>
      <c r="L69" s="226">
        <f t="shared" si="10"/>
        <v>-18.620715279453407</v>
      </c>
      <c r="M69" s="226">
        <f t="shared" si="10"/>
        <v>-17.90328838952226</v>
      </c>
      <c r="N69" s="343" t="s">
        <v>262</v>
      </c>
    </row>
    <row r="70" spans="1:14">
      <c r="B70" s="131"/>
      <c r="C70" s="262"/>
      <c r="D70" s="273"/>
      <c r="E70" s="273"/>
      <c r="F70" s="227"/>
      <c r="G70" s="227"/>
      <c r="H70" s="227"/>
      <c r="I70" s="227"/>
      <c r="J70" s="227"/>
      <c r="K70" s="227"/>
      <c r="L70" s="227"/>
      <c r="M70" s="227"/>
      <c r="N70" s="343"/>
    </row>
    <row r="71" spans="1:14">
      <c r="A71" s="111" t="s">
        <v>24</v>
      </c>
      <c r="B71" s="131" t="s">
        <v>22</v>
      </c>
      <c r="C71" s="259" t="s">
        <v>1</v>
      </c>
      <c r="D71" s="273"/>
      <c r="E71" s="273"/>
      <c r="F71" s="215"/>
      <c r="G71" s="226">
        <f t="shared" ref="G71:M71" si="11">TPD</f>
        <v>0</v>
      </c>
      <c r="H71" s="226">
        <f t="shared" si="11"/>
        <v>0</v>
      </c>
      <c r="I71" s="226">
        <f t="shared" si="11"/>
        <v>0</v>
      </c>
      <c r="J71" s="226">
        <f t="shared" si="11"/>
        <v>0</v>
      </c>
      <c r="K71" s="226">
        <f t="shared" si="11"/>
        <v>0</v>
      </c>
      <c r="L71" s="226">
        <f t="shared" si="11"/>
        <v>0</v>
      </c>
      <c r="M71" s="226">
        <f t="shared" si="11"/>
        <v>0</v>
      </c>
      <c r="N71" s="343" t="s">
        <v>22</v>
      </c>
    </row>
    <row r="72" spans="1:14">
      <c r="B72" s="131"/>
      <c r="C72" s="259"/>
      <c r="D72" s="273"/>
      <c r="E72" s="273"/>
      <c r="F72" s="215"/>
      <c r="G72" s="215"/>
      <c r="H72" s="215"/>
      <c r="I72" s="215"/>
      <c r="J72" s="215"/>
      <c r="K72" s="215"/>
      <c r="L72" s="215"/>
      <c r="M72" s="215"/>
      <c r="N72" s="343"/>
    </row>
    <row r="73" spans="1:14">
      <c r="A73" s="111" t="s">
        <v>29</v>
      </c>
      <c r="B73" s="111" t="s">
        <v>417</v>
      </c>
      <c r="C73" s="259" t="s">
        <v>1</v>
      </c>
      <c r="D73" s="273"/>
      <c r="E73" s="273"/>
      <c r="F73" s="215"/>
      <c r="G73" s="226">
        <f t="shared" ref="G73:M73" si="12">SFI</f>
        <v>0</v>
      </c>
      <c r="H73" s="226">
        <f t="shared" si="12"/>
        <v>0.15707869804597507</v>
      </c>
      <c r="I73" s="226">
        <f t="shared" si="12"/>
        <v>0.17952594941779731</v>
      </c>
      <c r="J73" s="226">
        <f t="shared" si="12"/>
        <v>0.22596892824517137</v>
      </c>
      <c r="K73" s="226">
        <f t="shared" si="12"/>
        <v>0.25467322541659937</v>
      </c>
      <c r="L73" s="226">
        <f t="shared" si="12"/>
        <v>0.28652784474381388</v>
      </c>
      <c r="M73" s="226">
        <f t="shared" si="12"/>
        <v>0.29900623575922336</v>
      </c>
      <c r="N73" s="343" t="s">
        <v>221</v>
      </c>
    </row>
    <row r="74" spans="1:14">
      <c r="A74" s="111" t="s">
        <v>265</v>
      </c>
      <c r="B74" s="131" t="s">
        <v>418</v>
      </c>
      <c r="C74" s="259" t="s">
        <v>1</v>
      </c>
      <c r="D74" s="273"/>
      <c r="E74" s="273"/>
      <c r="F74" s="226">
        <f t="shared" ref="F74:M74" si="13">RI</f>
        <v>0.47198999999999997</v>
      </c>
      <c r="G74" s="215"/>
      <c r="H74" s="226">
        <f t="shared" si="13"/>
        <v>1.6747013254645526</v>
      </c>
      <c r="I74" s="226">
        <f t="shared" si="13"/>
        <v>1.6336661706856228</v>
      </c>
      <c r="J74" s="226">
        <f t="shared" si="13"/>
        <v>1.6568537470876541</v>
      </c>
      <c r="K74" s="226">
        <f t="shared" si="13"/>
        <v>1.7073013528201595</v>
      </c>
      <c r="L74" s="226">
        <f t="shared" si="13"/>
        <v>1.7377162115558735</v>
      </c>
      <c r="M74" s="226">
        <f t="shared" si="13"/>
        <v>1.6707647374298991</v>
      </c>
      <c r="N74" s="343" t="s">
        <v>264</v>
      </c>
    </row>
    <row r="75" spans="1:14">
      <c r="A75" s="111" t="s">
        <v>419</v>
      </c>
      <c r="B75" s="131" t="s">
        <v>420</v>
      </c>
      <c r="C75" s="259" t="s">
        <v>1</v>
      </c>
      <c r="D75" s="273"/>
      <c r="E75" s="273"/>
      <c r="F75" s="226">
        <f t="shared" ref="F75:M75" si="14">SHCP</f>
        <v>0</v>
      </c>
      <c r="G75" s="226">
        <f t="shared" si="14"/>
        <v>0</v>
      </c>
      <c r="H75" s="226">
        <f>SHCP</f>
        <v>0</v>
      </c>
      <c r="I75" s="226">
        <f t="shared" si="14"/>
        <v>0</v>
      </c>
      <c r="J75" s="226">
        <f t="shared" si="14"/>
        <v>0</v>
      </c>
      <c r="K75" s="226">
        <f t="shared" si="14"/>
        <v>0</v>
      </c>
      <c r="L75" s="226">
        <f t="shared" si="14"/>
        <v>0</v>
      </c>
      <c r="M75" s="226">
        <f t="shared" si="14"/>
        <v>0</v>
      </c>
      <c r="N75" s="343" t="s">
        <v>309</v>
      </c>
    </row>
    <row r="76" spans="1:14">
      <c r="A76" s="111" t="s">
        <v>272</v>
      </c>
      <c r="B76" s="131" t="s">
        <v>416</v>
      </c>
      <c r="C76" s="259" t="s">
        <v>1</v>
      </c>
      <c r="D76" s="273"/>
      <c r="E76" s="273"/>
      <c r="F76" s="226">
        <f t="shared" ref="F76:M76" si="15">SubTIRG</f>
        <v>43.13029648352763</v>
      </c>
      <c r="G76" s="226">
        <f t="shared" si="15"/>
        <v>45.642498240794303</v>
      </c>
      <c r="H76" s="226">
        <f t="shared" si="15"/>
        <v>44.861665942027251</v>
      </c>
      <c r="I76" s="226">
        <f t="shared" si="15"/>
        <v>0</v>
      </c>
      <c r="J76" s="226">
        <f t="shared" si="15"/>
        <v>84.256191454810178</v>
      </c>
      <c r="K76" s="226">
        <f t="shared" si="15"/>
        <v>83.929406675831544</v>
      </c>
      <c r="L76" s="226">
        <f t="shared" si="15"/>
        <v>83.48339417561121</v>
      </c>
      <c r="M76" s="226">
        <f t="shared" si="15"/>
        <v>77.309616964781469</v>
      </c>
      <c r="N76" s="343" t="s">
        <v>271</v>
      </c>
    </row>
    <row r="77" spans="1:14" ht="15.4">
      <c r="A77" s="111" t="s">
        <v>62</v>
      </c>
      <c r="B77" s="131" t="s">
        <v>236</v>
      </c>
      <c r="C77" s="259" t="s">
        <v>117</v>
      </c>
      <c r="D77" s="273"/>
      <c r="E77" s="273"/>
      <c r="F77" s="226">
        <f t="shared" ref="F77:M77" si="16">RPIF</f>
        <v>1.1630161697108456</v>
      </c>
      <c r="G77" s="226">
        <f t="shared" si="16"/>
        <v>1.2050819527256253</v>
      </c>
      <c r="H77" s="226">
        <f t="shared" si="16"/>
        <v>1.2266493019576674</v>
      </c>
      <c r="I77" s="226">
        <f t="shared" si="16"/>
        <v>1.2327329838381795</v>
      </c>
      <c r="J77" s="226">
        <f t="shared" si="16"/>
        <v>1.2709189417960116</v>
      </c>
      <c r="K77" s="226">
        <f t="shared" si="16"/>
        <v>1.3140238772935624</v>
      </c>
      <c r="L77" s="226">
        <f t="shared" si="16"/>
        <v>1.3585865587485577</v>
      </c>
      <c r="M77" s="226">
        <f t="shared" si="16"/>
        <v>1.309769334513619</v>
      </c>
      <c r="N77" s="343" t="s">
        <v>116</v>
      </c>
    </row>
    <row r="78" spans="1:14" ht="15.4">
      <c r="B78" s="131" t="s">
        <v>174</v>
      </c>
      <c r="C78" s="259" t="s">
        <v>1</v>
      </c>
      <c r="E78" s="216">
        <f>E56</f>
        <v>106.85114638447972</v>
      </c>
      <c r="F78" s="216">
        <f>SUM(F68:F76)/F77</f>
        <v>142.02969670662296</v>
      </c>
      <c r="G78" s="216">
        <f>SUM(G68:G76)/G77</f>
        <v>158.10072626482523</v>
      </c>
      <c r="H78" s="216">
        <f>SUM(H68:H76)/H77</f>
        <v>237.56095048261861</v>
      </c>
      <c r="I78" s="216">
        <f t="shared" ref="I78:M78" si="17">SUM(I68:I76)/I77</f>
        <v>200.2162538203421</v>
      </c>
      <c r="J78" s="216">
        <f t="shared" si="17"/>
        <v>221.05462742479611</v>
      </c>
      <c r="K78" s="216">
        <f t="shared" si="17"/>
        <v>247.06152406447674</v>
      </c>
      <c r="L78" s="216">
        <f t="shared" si="17"/>
        <v>248.75271750800192</v>
      </c>
      <c r="M78" s="216">
        <f t="shared" si="17"/>
        <v>168.52146686572931</v>
      </c>
      <c r="N78" s="343" t="s">
        <v>263</v>
      </c>
    </row>
    <row r="79" spans="1:14">
      <c r="B79" s="118"/>
      <c r="C79" s="259"/>
      <c r="E79" s="118"/>
      <c r="H79" s="118"/>
      <c r="N79" s="332"/>
    </row>
    <row r="80" spans="1:14">
      <c r="B80" s="118"/>
      <c r="C80" s="259"/>
      <c r="E80" s="118"/>
      <c r="N80" s="332"/>
    </row>
    <row r="81" spans="2:14">
      <c r="B81" s="118"/>
      <c r="C81" s="259"/>
      <c r="E81" s="118"/>
      <c r="N81" s="332"/>
    </row>
    <row r="82" spans="2:14">
      <c r="B82" s="118"/>
      <c r="C82" s="259"/>
      <c r="E82" s="118"/>
      <c r="N82" s="332"/>
    </row>
    <row r="83" spans="2:14">
      <c r="B83" s="118"/>
      <c r="C83" s="259"/>
      <c r="E83" s="118"/>
      <c r="N83" s="332"/>
    </row>
    <row r="84" spans="2:14">
      <c r="N84" s="332"/>
    </row>
    <row r="85" spans="2:14">
      <c r="N85" s="332"/>
    </row>
    <row r="86" spans="2:14">
      <c r="N86" s="332"/>
    </row>
    <row r="87" spans="2:14">
      <c r="N87" s="332"/>
    </row>
    <row r="88" spans="2:14">
      <c r="N88" s="332"/>
    </row>
    <row r="89" spans="2:14">
      <c r="N89" s="332"/>
    </row>
    <row r="90" spans="2:14">
      <c r="N90" s="332"/>
    </row>
    <row r="91" spans="2:14">
      <c r="N91" s="332"/>
    </row>
    <row r="92" spans="2:14">
      <c r="N92" s="332"/>
    </row>
    <row r="93" spans="2:14">
      <c r="N93" s="332"/>
    </row>
    <row r="94" spans="2:14">
      <c r="N94" s="332"/>
    </row>
    <row r="95" spans="2:14">
      <c r="N95" s="332"/>
    </row>
    <row r="96" spans="2:14">
      <c r="N96" s="332"/>
    </row>
    <row r="97" spans="14:14">
      <c r="N97" s="332"/>
    </row>
    <row r="98" spans="14:14">
      <c r="N98" s="332"/>
    </row>
    <row r="99" spans="14:14">
      <c r="N99" s="332"/>
    </row>
    <row r="100" spans="14:14">
      <c r="N100" s="332"/>
    </row>
    <row r="101" spans="14:14">
      <c r="N101" s="332"/>
    </row>
    <row r="102" spans="14:14">
      <c r="N102" s="332"/>
    </row>
    <row r="103" spans="14:14">
      <c r="N103" s="332"/>
    </row>
    <row r="104" spans="14:14">
      <c r="N104" s="332"/>
    </row>
    <row r="105" spans="14:14">
      <c r="N105" s="332"/>
    </row>
    <row r="106" spans="14:14">
      <c r="N106" s="332"/>
    </row>
    <row r="107" spans="14:14">
      <c r="N107" s="332"/>
    </row>
    <row r="108" spans="14:14">
      <c r="N108" s="332"/>
    </row>
    <row r="109" spans="14:14">
      <c r="N109" s="332"/>
    </row>
    <row r="110" spans="14:14">
      <c r="N110" s="332"/>
    </row>
    <row r="111" spans="14:14">
      <c r="N111" s="332"/>
    </row>
    <row r="112" spans="14:14">
      <c r="N112" s="332"/>
    </row>
    <row r="113" spans="14:14">
      <c r="N113" s="332"/>
    </row>
    <row r="114" spans="14:14">
      <c r="N114" s="332"/>
    </row>
    <row r="115" spans="14:14">
      <c r="N115" s="332"/>
    </row>
    <row r="116" spans="14:14">
      <c r="N116" s="332"/>
    </row>
    <row r="117" spans="14:14">
      <c r="N117" s="332"/>
    </row>
    <row r="118" spans="14:14">
      <c r="N118" s="332"/>
    </row>
    <row r="1000032" spans="1:1">
      <c r="A1000032" s="111" t="s">
        <v>7</v>
      </c>
    </row>
    <row r="1000033" spans="1:1">
      <c r="A1000033" s="111" t="s">
        <v>2</v>
      </c>
    </row>
    <row r="1000034" spans="1:1">
      <c r="A1000034" s="111" t="s">
        <v>6</v>
      </c>
    </row>
    <row r="1000035" spans="1:1">
      <c r="A1000035" s="111" t="s">
        <v>3</v>
      </c>
    </row>
    <row r="1000036" spans="1:1">
      <c r="A1000036" s="111" t="s">
        <v>4</v>
      </c>
    </row>
    <row r="1000037" spans="1:1">
      <c r="A1000037" s="111" t="s">
        <v>5</v>
      </c>
    </row>
  </sheetData>
  <mergeCells count="1">
    <mergeCell ref="F15:I15"/>
  </mergeCells>
  <pageMargins left="0.15748031496062992" right="0.15748031496062992" top="0.39370078740157483" bottom="0.47244094488188981" header="0.19685039370078741" footer="0.23622047244094491"/>
  <pageSetup paperSize="8" scale="78" orientation="portrait" r:id="rId1"/>
  <headerFooter>
    <oddFooter>&amp;C&amp;D&amp;R&amp;F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1000010"/>
  <sheetViews>
    <sheetView showGridLines="0" zoomScale="85" zoomScaleNormal="85" workbookViewId="0"/>
  </sheetViews>
  <sheetFormatPr defaultColWidth="9" defaultRowHeight="12.4"/>
  <cols>
    <col min="1" max="1" width="40" style="111" customWidth="1"/>
    <col min="2" max="2" width="8.1171875" style="111" customWidth="1"/>
    <col min="3" max="3" width="7.17578125" style="111" customWidth="1"/>
    <col min="4" max="4" width="8.1171875" style="111" customWidth="1"/>
    <col min="5" max="5" width="9" style="111" customWidth="1"/>
    <col min="6" max="13" width="9.1171875" style="111" bestFit="1" customWidth="1"/>
    <col min="14" max="14" width="6.87890625" style="111" customWidth="1"/>
    <col min="15" max="16384" width="9" style="111"/>
  </cols>
  <sheetData>
    <row r="1" spans="1:19" s="121" customFormat="1" ht="14.65">
      <c r="A1" s="126" t="s">
        <v>114</v>
      </c>
      <c r="N1" s="346"/>
    </row>
    <row r="2" spans="1:19" s="121" customFormat="1" ht="14.65">
      <c r="A2" s="126" t="str">
        <f>CompName</f>
        <v>Scottish Hydro Electric Transmission Plc</v>
      </c>
      <c r="N2" s="346"/>
    </row>
    <row r="3" spans="1:19" s="121" customFormat="1">
      <c r="A3" s="128" t="str">
        <f>RegYr</f>
        <v>Regulatory Year ending 31 March 2019</v>
      </c>
      <c r="N3" s="346"/>
    </row>
    <row r="4" spans="1:19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</row>
    <row r="5" spans="1:19" ht="17.649999999999999">
      <c r="A5" s="138" t="s">
        <v>26</v>
      </c>
      <c r="B5" s="130"/>
      <c r="C5" s="130"/>
      <c r="D5" s="130"/>
      <c r="E5" s="130"/>
      <c r="G5" s="130"/>
      <c r="H5" s="130"/>
      <c r="I5" s="130"/>
      <c r="N5" s="332"/>
    </row>
    <row r="6" spans="1:19" ht="17.649999999999999">
      <c r="A6" s="231" t="s">
        <v>339</v>
      </c>
      <c r="B6" s="118"/>
      <c r="D6" s="130"/>
      <c r="E6" s="130"/>
      <c r="I6" s="130"/>
      <c r="N6" s="332"/>
    </row>
    <row r="7" spans="1:19" ht="14.25" customHeight="1">
      <c r="A7" s="110" t="s">
        <v>440</v>
      </c>
      <c r="B7" s="113"/>
      <c r="C7" s="113"/>
      <c r="D7" s="113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2"/>
    </row>
    <row r="8" spans="1:19" ht="12" customHeight="1">
      <c r="A8" s="131" t="s">
        <v>23</v>
      </c>
      <c r="B8" s="131" t="s">
        <v>340</v>
      </c>
      <c r="C8" s="131" t="s">
        <v>1</v>
      </c>
      <c r="D8" s="113"/>
      <c r="E8" s="131"/>
      <c r="F8" s="228">
        <f t="shared" ref="F8:M8" si="0">RB</f>
        <v>0</v>
      </c>
      <c r="G8" s="228">
        <f t="shared" si="0"/>
        <v>0</v>
      </c>
      <c r="H8" s="228">
        <f t="shared" si="0"/>
        <v>-12.626550201783784</v>
      </c>
      <c r="I8" s="228">
        <f t="shared" si="0"/>
        <v>-12.637088524491084</v>
      </c>
      <c r="J8" s="228">
        <f t="shared" si="0"/>
        <v>-17.535035490011005</v>
      </c>
      <c r="K8" s="228">
        <f t="shared" si="0"/>
        <v>-18.068939317346686</v>
      </c>
      <c r="L8" s="228">
        <f t="shared" si="0"/>
        <v>-18.620715279453407</v>
      </c>
      <c r="M8" s="228">
        <f t="shared" si="0"/>
        <v>-17.90328838952226</v>
      </c>
      <c r="N8" s="343" t="s">
        <v>340</v>
      </c>
      <c r="O8" s="140"/>
    </row>
    <row r="9" spans="1:19" ht="12" customHeight="1">
      <c r="A9" s="131" t="s">
        <v>24</v>
      </c>
      <c r="B9" s="131" t="s">
        <v>129</v>
      </c>
      <c r="C9" s="131" t="s">
        <v>1</v>
      </c>
      <c r="D9" s="113"/>
      <c r="F9" s="228">
        <f>F40</f>
        <v>0</v>
      </c>
      <c r="G9" s="228">
        <f t="shared" ref="G9:M9" si="1">G40</f>
        <v>0</v>
      </c>
      <c r="H9" s="228">
        <f>H40</f>
        <v>0</v>
      </c>
      <c r="I9" s="228">
        <f>I40</f>
        <v>0</v>
      </c>
      <c r="J9" s="228">
        <f t="shared" si="1"/>
        <v>0</v>
      </c>
      <c r="K9" s="228">
        <f t="shared" si="1"/>
        <v>0</v>
      </c>
      <c r="L9" s="228">
        <f t="shared" si="1"/>
        <v>0</v>
      </c>
      <c r="M9" s="228">
        <f t="shared" si="1"/>
        <v>0</v>
      </c>
      <c r="N9" s="343" t="s">
        <v>129</v>
      </c>
      <c r="O9" s="140"/>
    </row>
    <row r="10" spans="1:19" ht="13.5">
      <c r="A10" s="131" t="s">
        <v>20</v>
      </c>
      <c r="B10" s="131" t="s">
        <v>341</v>
      </c>
      <c r="C10" s="131" t="s">
        <v>1</v>
      </c>
      <c r="D10" s="113"/>
      <c r="H10" s="229">
        <f>SUM(H8:H9)</f>
        <v>-12.626550201783784</v>
      </c>
      <c r="I10" s="229">
        <f>SUM(I8:I9)</f>
        <v>-12.637088524491084</v>
      </c>
      <c r="J10" s="229">
        <f t="shared" ref="J10:M10" si="2">SUM(J8:J9)</f>
        <v>-17.535035490011005</v>
      </c>
      <c r="K10" s="229">
        <f t="shared" si="2"/>
        <v>-18.068939317346686</v>
      </c>
      <c r="L10" s="229">
        <f t="shared" si="2"/>
        <v>-18.620715279453407</v>
      </c>
      <c r="M10" s="229">
        <f t="shared" si="2"/>
        <v>-17.90328838952226</v>
      </c>
      <c r="N10" s="343" t="s">
        <v>341</v>
      </c>
    </row>
    <row r="11" spans="1:19">
      <c r="A11" s="131"/>
      <c r="B11" s="131"/>
      <c r="C11" s="131"/>
      <c r="D11" s="131"/>
      <c r="F11" s="118"/>
      <c r="H11" s="118"/>
      <c r="N11" s="332"/>
    </row>
    <row r="12" spans="1:19">
      <c r="A12" s="131"/>
      <c r="B12" s="131"/>
      <c r="C12" s="131"/>
      <c r="D12" s="131"/>
      <c r="N12" s="332"/>
    </row>
    <row r="13" spans="1:19" ht="14.25" customHeight="1">
      <c r="A13" s="116" t="s">
        <v>70</v>
      </c>
      <c r="B13" s="131"/>
      <c r="C13" s="131"/>
      <c r="D13" s="131"/>
      <c r="G13" s="129"/>
      <c r="L13" s="118"/>
      <c r="N13" s="332"/>
    </row>
    <row r="14" spans="1:19">
      <c r="A14" s="110" t="s">
        <v>439</v>
      </c>
      <c r="B14" s="131"/>
      <c r="C14" s="131"/>
      <c r="D14" s="131"/>
      <c r="N14" s="332"/>
    </row>
    <row r="15" spans="1:19" ht="14.25">
      <c r="A15" s="131"/>
      <c r="B15" s="131"/>
      <c r="C15" s="131"/>
      <c r="D15" s="131"/>
      <c r="F15" s="112">
        <v>2014</v>
      </c>
      <c r="G15" s="112">
        <v>2015</v>
      </c>
      <c r="H15" s="112">
        <v>2016</v>
      </c>
      <c r="I15" s="112">
        <v>2017</v>
      </c>
      <c r="J15" s="112">
        <v>2018</v>
      </c>
      <c r="K15" s="112">
        <v>2019</v>
      </c>
      <c r="L15" s="112">
        <v>2020</v>
      </c>
      <c r="M15" s="112">
        <v>2021</v>
      </c>
      <c r="N15" s="332"/>
    </row>
    <row r="16" spans="1:19">
      <c r="A16" s="131" t="s">
        <v>69</v>
      </c>
      <c r="B16" s="131" t="s">
        <v>121</v>
      </c>
      <c r="C16" s="131" t="s">
        <v>1</v>
      </c>
      <c r="D16" s="131"/>
      <c r="F16" s="230">
        <f t="shared" ref="F16:M16" si="3">RBA</f>
        <v>0</v>
      </c>
      <c r="G16" s="230">
        <f t="shared" si="3"/>
        <v>0</v>
      </c>
      <c r="H16" s="230">
        <f t="shared" si="3"/>
        <v>0</v>
      </c>
      <c r="I16" s="230">
        <f t="shared" si="3"/>
        <v>0</v>
      </c>
      <c r="J16" s="230">
        <f t="shared" si="3"/>
        <v>0</v>
      </c>
      <c r="K16" s="230">
        <f t="shared" si="3"/>
        <v>0</v>
      </c>
      <c r="L16" s="230">
        <f t="shared" si="3"/>
        <v>0</v>
      </c>
      <c r="M16" s="230">
        <f t="shared" si="3"/>
        <v>0</v>
      </c>
      <c r="N16" s="343" t="s">
        <v>121</v>
      </c>
    </row>
    <row r="17" spans="1:15">
      <c r="A17" s="131" t="s">
        <v>123</v>
      </c>
      <c r="B17" s="131" t="s">
        <v>122</v>
      </c>
      <c r="C17" s="131" t="s">
        <v>503</v>
      </c>
      <c r="D17" s="131"/>
      <c r="F17" s="230">
        <f t="shared" ref="F17:M17" si="4">RPIA</f>
        <v>1.1666890673736021</v>
      </c>
      <c r="G17" s="230">
        <f t="shared" si="4"/>
        <v>1.1895563269638081</v>
      </c>
      <c r="H17" s="230">
        <f t="shared" si="4"/>
        <v>1.2023757108362261</v>
      </c>
      <c r="I17" s="230">
        <f t="shared" si="4"/>
        <v>1.2281396135646323</v>
      </c>
      <c r="J17" s="230">
        <f t="shared" si="4"/>
        <v>1.2740965949380583</v>
      </c>
      <c r="K17" s="230">
        <f t="shared" si="4"/>
        <v>1.309769334513619</v>
      </c>
      <c r="L17" s="230">
        <f t="shared" si="4"/>
        <v>1.3464431539577413</v>
      </c>
      <c r="M17" s="230">
        <f t="shared" si="4"/>
        <v>1.3841458610445527</v>
      </c>
      <c r="N17" s="343" t="s">
        <v>122</v>
      </c>
    </row>
    <row r="18" spans="1:15">
      <c r="A18" s="131" t="s">
        <v>68</v>
      </c>
      <c r="B18" s="131" t="s">
        <v>120</v>
      </c>
      <c r="C18" s="131" t="s">
        <v>1</v>
      </c>
      <c r="D18" s="131"/>
      <c r="F18" s="230">
        <f t="shared" ref="F18:M18" si="5">RBE</f>
        <v>9.4</v>
      </c>
      <c r="G18" s="230">
        <f t="shared" si="5"/>
        <v>9.4</v>
      </c>
      <c r="H18" s="230">
        <f t="shared" si="5"/>
        <v>12.7</v>
      </c>
      <c r="I18" s="230">
        <f t="shared" si="5"/>
        <v>12.7</v>
      </c>
      <c r="J18" s="230">
        <f t="shared" si="5"/>
        <v>12.7</v>
      </c>
      <c r="K18" s="230">
        <f t="shared" si="5"/>
        <v>12.7</v>
      </c>
      <c r="L18" s="230">
        <f t="shared" si="5"/>
        <v>12.7</v>
      </c>
      <c r="M18" s="230">
        <f t="shared" si="5"/>
        <v>12.7</v>
      </c>
      <c r="N18" s="343" t="s">
        <v>120</v>
      </c>
    </row>
    <row r="19" spans="1:15">
      <c r="A19" s="131" t="s">
        <v>127</v>
      </c>
      <c r="B19" s="131" t="s">
        <v>126</v>
      </c>
      <c r="C19" s="131" t="s">
        <v>117</v>
      </c>
      <c r="D19" s="131"/>
      <c r="F19" s="230">
        <f t="shared" ref="F19:M19" si="6">PVF</f>
        <v>1.0476000000000001</v>
      </c>
      <c r="G19" s="230">
        <f t="shared" si="6"/>
        <v>1.0452999999999999</v>
      </c>
      <c r="H19" s="230">
        <f t="shared" si="6"/>
        <v>1.0432999999999999</v>
      </c>
      <c r="I19" s="230">
        <f t="shared" si="6"/>
        <v>1.0413000000000001</v>
      </c>
      <c r="J19" s="230">
        <f t="shared" si="6"/>
        <v>1.0398000000000001</v>
      </c>
      <c r="K19" s="230">
        <f t="shared" si="6"/>
        <v>1.0379</v>
      </c>
      <c r="L19" s="230">
        <f t="shared" si="6"/>
        <v>1.0369999999999999</v>
      </c>
      <c r="M19" s="230">
        <f t="shared" si="6"/>
        <v>1.0369999999999999</v>
      </c>
      <c r="N19" s="343" t="s">
        <v>126</v>
      </c>
    </row>
    <row r="20" spans="1:15">
      <c r="A20" s="131" t="s">
        <v>62</v>
      </c>
      <c r="B20" s="131" t="s">
        <v>116</v>
      </c>
      <c r="C20" s="131" t="s">
        <v>117</v>
      </c>
      <c r="D20" s="131"/>
      <c r="F20" s="230">
        <f t="shared" ref="F20:M20" si="7">RPIF</f>
        <v>1.1630161697108456</v>
      </c>
      <c r="G20" s="230">
        <f t="shared" si="7"/>
        <v>1.2050819527256253</v>
      </c>
      <c r="H20" s="230">
        <f t="shared" si="7"/>
        <v>1.2266493019576674</v>
      </c>
      <c r="I20" s="230">
        <f t="shared" si="7"/>
        <v>1.2327329838381795</v>
      </c>
      <c r="J20" s="230">
        <f t="shared" si="7"/>
        <v>1.2709189417960116</v>
      </c>
      <c r="K20" s="230">
        <f t="shared" si="7"/>
        <v>1.3140238772935624</v>
      </c>
      <c r="L20" s="230">
        <f t="shared" si="7"/>
        <v>1.3585865587485577</v>
      </c>
      <c r="M20" s="230">
        <f t="shared" si="7"/>
        <v>1.309769334513619</v>
      </c>
      <c r="N20" s="343" t="s">
        <v>437</v>
      </c>
    </row>
    <row r="21" spans="1:15">
      <c r="A21" s="131" t="s">
        <v>23</v>
      </c>
      <c r="B21" s="131" t="s">
        <v>340</v>
      </c>
      <c r="C21" s="131" t="s">
        <v>1</v>
      </c>
      <c r="D21" s="131"/>
      <c r="H21" s="229">
        <f>IFERROR(((F16/F17)-F18)*F19*G19*H20,0)</f>
        <v>-12.626550201783784</v>
      </c>
      <c r="I21" s="229">
        <f t="shared" ref="I21:M21" si="8">IFERROR(((G16/G17)-G18)*G19*H19*I20,0)</f>
        <v>-12.637088524491084</v>
      </c>
      <c r="J21" s="229">
        <f t="shared" si="8"/>
        <v>-17.535035490011005</v>
      </c>
      <c r="K21" s="229">
        <f t="shared" si="8"/>
        <v>-18.068939317346686</v>
      </c>
      <c r="L21" s="229">
        <f t="shared" si="8"/>
        <v>-18.620715279453407</v>
      </c>
      <c r="M21" s="229">
        <f t="shared" si="8"/>
        <v>-17.90328838952226</v>
      </c>
      <c r="N21" s="343" t="s">
        <v>340</v>
      </c>
    </row>
    <row r="22" spans="1:15" ht="13.5">
      <c r="A22" s="113"/>
      <c r="B22" s="113"/>
      <c r="C22" s="113"/>
      <c r="D22" s="131"/>
      <c r="F22" s="118"/>
      <c r="G22" s="141"/>
      <c r="H22" s="141"/>
      <c r="I22" s="118"/>
      <c r="J22" s="141"/>
      <c r="K22" s="141"/>
      <c r="L22" s="141"/>
      <c r="M22" s="141"/>
      <c r="N22" s="332"/>
    </row>
    <row r="23" spans="1:15" ht="15.4">
      <c r="A23" s="142"/>
      <c r="B23" s="131"/>
      <c r="C23" s="131"/>
      <c r="D23" s="131"/>
      <c r="G23" s="129"/>
      <c r="N23" s="332"/>
    </row>
    <row r="24" spans="1:15" ht="17.25" hidden="1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331"/>
      <c r="O24" s="131"/>
    </row>
    <row r="25" spans="1:15" hidden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331"/>
      <c r="O25" s="131"/>
    </row>
    <row r="26" spans="1:15" hidden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331"/>
      <c r="O26" s="131"/>
    </row>
    <row r="27" spans="1:15" hidden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331"/>
      <c r="O27" s="131"/>
    </row>
    <row r="28" spans="1:15" hidden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331"/>
      <c r="O28" s="131"/>
    </row>
    <row r="29" spans="1:15" hidden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331"/>
      <c r="O29" s="131"/>
    </row>
    <row r="30" spans="1:15" hidden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331"/>
      <c r="O30" s="131"/>
    </row>
    <row r="31" spans="1:15" hidden="1">
      <c r="A31" s="131"/>
      <c r="B31" s="131"/>
      <c r="C31" s="131"/>
      <c r="D31" s="131"/>
      <c r="N31" s="332"/>
    </row>
    <row r="32" spans="1:15">
      <c r="A32" s="131"/>
      <c r="B32" s="131"/>
      <c r="C32" s="131"/>
      <c r="D32" s="131"/>
      <c r="N32" s="332"/>
    </row>
    <row r="33" spans="1:15" ht="15.4">
      <c r="A33" s="116" t="s">
        <v>128</v>
      </c>
      <c r="B33" s="131"/>
      <c r="C33" s="131"/>
      <c r="D33" s="131"/>
      <c r="G33" s="129"/>
      <c r="K33" s="118"/>
      <c r="N33" s="332"/>
    </row>
    <row r="34" spans="1:15">
      <c r="A34" s="144" t="s">
        <v>438</v>
      </c>
      <c r="B34" s="131"/>
      <c r="C34" s="131"/>
      <c r="D34" s="131"/>
      <c r="N34" s="332"/>
    </row>
    <row r="35" spans="1:15" ht="14.25">
      <c r="A35" s="131"/>
      <c r="B35" s="131"/>
      <c r="C35" s="131"/>
      <c r="D35" s="131"/>
      <c r="F35" s="112">
        <v>2014</v>
      </c>
      <c r="G35" s="112">
        <v>2015</v>
      </c>
      <c r="H35" s="112">
        <v>2016</v>
      </c>
      <c r="I35" s="112">
        <v>2017</v>
      </c>
      <c r="J35" s="112">
        <v>2018</v>
      </c>
      <c r="K35" s="112">
        <v>2019</v>
      </c>
      <c r="L35" s="112">
        <v>2020</v>
      </c>
      <c r="M35" s="112">
        <v>2021</v>
      </c>
      <c r="N35" s="332"/>
    </row>
    <row r="36" spans="1:15">
      <c r="A36" s="131" t="s">
        <v>131</v>
      </c>
      <c r="B36" s="131" t="s">
        <v>130</v>
      </c>
      <c r="C36" s="131" t="s">
        <v>1</v>
      </c>
      <c r="D36" s="131"/>
      <c r="F36" s="230">
        <f t="shared" ref="F36:M36" si="9">TPA</f>
        <v>0</v>
      </c>
      <c r="G36" s="230">
        <f t="shared" si="9"/>
        <v>0</v>
      </c>
      <c r="H36" s="230">
        <f t="shared" si="9"/>
        <v>0</v>
      </c>
      <c r="I36" s="230">
        <f t="shared" si="9"/>
        <v>0</v>
      </c>
      <c r="J36" s="230">
        <f t="shared" si="9"/>
        <v>0</v>
      </c>
      <c r="K36" s="230">
        <f t="shared" si="9"/>
        <v>0</v>
      </c>
      <c r="L36" s="230">
        <f t="shared" si="9"/>
        <v>0</v>
      </c>
      <c r="M36" s="230">
        <f t="shared" si="9"/>
        <v>0</v>
      </c>
      <c r="N36" s="343" t="s">
        <v>130</v>
      </c>
    </row>
    <row r="37" spans="1:15">
      <c r="A37" s="131" t="s">
        <v>123</v>
      </c>
      <c r="B37" s="131" t="s">
        <v>122</v>
      </c>
      <c r="C37" s="131" t="s">
        <v>503</v>
      </c>
      <c r="D37" s="131"/>
      <c r="F37" s="230">
        <f t="shared" ref="F37:M37" si="10">RPIA</f>
        <v>1.1666890673736021</v>
      </c>
      <c r="G37" s="230">
        <f t="shared" si="10"/>
        <v>1.1895563269638081</v>
      </c>
      <c r="H37" s="230">
        <f t="shared" si="10"/>
        <v>1.2023757108362261</v>
      </c>
      <c r="I37" s="230">
        <f t="shared" si="10"/>
        <v>1.2281396135646323</v>
      </c>
      <c r="J37" s="230">
        <f t="shared" si="10"/>
        <v>1.2740965949380583</v>
      </c>
      <c r="K37" s="230">
        <f t="shared" si="10"/>
        <v>1.309769334513619</v>
      </c>
      <c r="L37" s="230">
        <f t="shared" si="10"/>
        <v>1.3464431539577413</v>
      </c>
      <c r="M37" s="230">
        <f t="shared" si="10"/>
        <v>1.3841458610445527</v>
      </c>
      <c r="N37" s="343" t="s">
        <v>122</v>
      </c>
    </row>
    <row r="38" spans="1:15">
      <c r="A38" s="131" t="s">
        <v>127</v>
      </c>
      <c r="B38" s="131" t="s">
        <v>126</v>
      </c>
      <c r="C38" s="131" t="s">
        <v>117</v>
      </c>
      <c r="D38" s="131"/>
      <c r="F38" s="230">
        <f t="shared" ref="F38:M38" si="11">PVF</f>
        <v>1.0476000000000001</v>
      </c>
      <c r="G38" s="230">
        <f t="shared" si="11"/>
        <v>1.0452999999999999</v>
      </c>
      <c r="H38" s="230">
        <f t="shared" si="11"/>
        <v>1.0432999999999999</v>
      </c>
      <c r="I38" s="230">
        <f t="shared" si="11"/>
        <v>1.0413000000000001</v>
      </c>
      <c r="J38" s="230">
        <f t="shared" si="11"/>
        <v>1.0398000000000001</v>
      </c>
      <c r="K38" s="230">
        <f t="shared" si="11"/>
        <v>1.0379</v>
      </c>
      <c r="L38" s="230">
        <f t="shared" si="11"/>
        <v>1.0369999999999999</v>
      </c>
      <c r="M38" s="230">
        <f t="shared" si="11"/>
        <v>1.0369999999999999</v>
      </c>
      <c r="N38" s="343" t="s">
        <v>126</v>
      </c>
    </row>
    <row r="39" spans="1:15">
      <c r="A39" s="131" t="s">
        <v>62</v>
      </c>
      <c r="B39" s="131" t="s">
        <v>116</v>
      </c>
      <c r="C39" s="131" t="s">
        <v>117</v>
      </c>
      <c r="D39" s="131"/>
      <c r="F39" s="230">
        <f t="shared" ref="F39:M39" si="12">RPIF</f>
        <v>1.1630161697108456</v>
      </c>
      <c r="G39" s="294">
        <f t="shared" si="12"/>
        <v>1.2050819527256253</v>
      </c>
      <c r="H39" s="230">
        <f t="shared" si="12"/>
        <v>1.2266493019576674</v>
      </c>
      <c r="I39" s="230">
        <f t="shared" si="12"/>
        <v>1.2327329838381795</v>
      </c>
      <c r="J39" s="230">
        <f t="shared" si="12"/>
        <v>1.2709189417960116</v>
      </c>
      <c r="K39" s="230">
        <f t="shared" si="12"/>
        <v>1.3140238772935624</v>
      </c>
      <c r="L39" s="230">
        <f t="shared" si="12"/>
        <v>1.3585865587485577</v>
      </c>
      <c r="M39" s="230">
        <f t="shared" si="12"/>
        <v>1.309769334513619</v>
      </c>
      <c r="N39" s="343" t="s">
        <v>116</v>
      </c>
    </row>
    <row r="40" spans="1:15">
      <c r="A40" s="131" t="s">
        <v>24</v>
      </c>
      <c r="B40" s="131" t="s">
        <v>129</v>
      </c>
      <c r="C40" s="131" t="s">
        <v>1</v>
      </c>
      <c r="D40" s="131"/>
      <c r="G40" s="295"/>
      <c r="H40" s="293">
        <f>IFERROR(((F36/F37))*F38*G38*H39,0)</f>
        <v>0</v>
      </c>
      <c r="I40" s="229">
        <f t="shared" ref="I40:M40" si="13">IFERROR(((G36/G37))*G38*H38*I39,0)</f>
        <v>0</v>
      </c>
      <c r="J40" s="229">
        <f t="shared" si="13"/>
        <v>0</v>
      </c>
      <c r="K40" s="229">
        <f t="shared" si="13"/>
        <v>0</v>
      </c>
      <c r="L40" s="229">
        <f t="shared" si="13"/>
        <v>0</v>
      </c>
      <c r="M40" s="229">
        <f t="shared" si="13"/>
        <v>0</v>
      </c>
      <c r="N40" s="343" t="s">
        <v>129</v>
      </c>
    </row>
    <row r="41" spans="1:15" ht="13.5">
      <c r="A41" s="131"/>
      <c r="B41" s="131"/>
      <c r="C41" s="131"/>
      <c r="D41" s="131"/>
      <c r="F41" s="118"/>
      <c r="G41" s="141"/>
      <c r="H41" s="141"/>
      <c r="I41" s="118"/>
      <c r="J41" s="113"/>
      <c r="K41" s="113"/>
      <c r="L41" s="113"/>
      <c r="M41" s="113"/>
      <c r="N41" s="343"/>
    </row>
    <row r="42" spans="1:15" ht="13.5">
      <c r="A42" s="113"/>
      <c r="B42" s="113"/>
      <c r="C42" s="113"/>
      <c r="D42" s="131"/>
      <c r="F42" s="141"/>
      <c r="G42" s="141"/>
      <c r="H42" s="141"/>
      <c r="I42" s="141"/>
      <c r="J42" s="141"/>
      <c r="K42" s="141"/>
      <c r="L42" s="141"/>
      <c r="M42" s="141"/>
      <c r="N42" s="332"/>
    </row>
    <row r="43" spans="1:15" ht="13.9">
      <c r="A43" s="142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331"/>
      <c r="O43" s="131"/>
    </row>
    <row r="44" spans="1: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331"/>
      <c r="O44" s="131"/>
    </row>
    <row r="45" spans="1: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331"/>
      <c r="O45" s="131"/>
    </row>
    <row r="46" spans="1: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331"/>
      <c r="O46" s="131"/>
    </row>
    <row r="47" spans="1:1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331"/>
      <c r="O47" s="131"/>
    </row>
    <row r="48" spans="1:15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331"/>
      <c r="O48" s="131"/>
    </row>
    <row r="49" spans="1:15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331"/>
      <c r="O49" s="131"/>
    </row>
    <row r="50" spans="1:1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331"/>
      <c r="O50" s="131"/>
    </row>
    <row r="51" spans="1:15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331"/>
      <c r="O51" s="131"/>
    </row>
    <row r="52" spans="1:15">
      <c r="D52" s="131"/>
      <c r="N52" s="332"/>
    </row>
    <row r="53" spans="1:15">
      <c r="D53" s="131"/>
      <c r="N53" s="332"/>
    </row>
    <row r="54" spans="1:15">
      <c r="D54" s="131"/>
      <c r="N54" s="332"/>
    </row>
    <row r="55" spans="1:15">
      <c r="D55" s="131"/>
      <c r="N55" s="332"/>
    </row>
    <row r="56" spans="1:15">
      <c r="D56" s="131"/>
      <c r="N56" s="332"/>
    </row>
    <row r="57" spans="1:15">
      <c r="D57" s="131"/>
      <c r="N57" s="332"/>
    </row>
    <row r="58" spans="1:15">
      <c r="D58" s="131"/>
      <c r="N58" s="332"/>
    </row>
    <row r="59" spans="1:15">
      <c r="D59" s="131"/>
      <c r="N59" s="332"/>
    </row>
    <row r="60" spans="1:15">
      <c r="N60" s="332"/>
    </row>
    <row r="61" spans="1:15">
      <c r="N61" s="332"/>
    </row>
    <row r="62" spans="1:15">
      <c r="N62" s="332"/>
    </row>
    <row r="63" spans="1:15">
      <c r="N63" s="332"/>
    </row>
    <row r="64" spans="1:15">
      <c r="N64" s="332"/>
    </row>
    <row r="65" spans="14:14">
      <c r="N65" s="332"/>
    </row>
    <row r="66" spans="14:14">
      <c r="N66" s="332"/>
    </row>
    <row r="67" spans="14:14">
      <c r="N67" s="332"/>
    </row>
    <row r="68" spans="14:14">
      <c r="N68" s="332"/>
    </row>
    <row r="69" spans="14:14">
      <c r="N69" s="332"/>
    </row>
    <row r="70" spans="14:14">
      <c r="N70" s="332"/>
    </row>
    <row r="71" spans="14:14">
      <c r="N71" s="332"/>
    </row>
    <row r="72" spans="14:14">
      <c r="N72" s="332"/>
    </row>
    <row r="73" spans="14:14">
      <c r="N73" s="332"/>
    </row>
    <row r="74" spans="14:14">
      <c r="N74" s="332"/>
    </row>
    <row r="75" spans="14:14">
      <c r="N75" s="332"/>
    </row>
    <row r="76" spans="14:14">
      <c r="N76" s="332"/>
    </row>
    <row r="77" spans="14:14">
      <c r="N77" s="332"/>
    </row>
    <row r="78" spans="14:14">
      <c r="N78" s="332"/>
    </row>
    <row r="79" spans="14:14">
      <c r="N79" s="332"/>
    </row>
    <row r="80" spans="14:14">
      <c r="N80" s="332"/>
    </row>
    <row r="81" spans="14:14">
      <c r="N81" s="332"/>
    </row>
    <row r="82" spans="14:14">
      <c r="N82" s="332"/>
    </row>
    <row r="83" spans="14:14">
      <c r="N83" s="332"/>
    </row>
    <row r="84" spans="14:14">
      <c r="N84" s="332"/>
    </row>
    <row r="85" spans="14:14">
      <c r="N85" s="332"/>
    </row>
    <row r="86" spans="14:14">
      <c r="N86" s="332"/>
    </row>
    <row r="87" spans="14:14">
      <c r="N87" s="332"/>
    </row>
    <row r="88" spans="14:14">
      <c r="N88" s="332"/>
    </row>
    <row r="89" spans="14:14">
      <c r="N89" s="332"/>
    </row>
    <row r="90" spans="14:14">
      <c r="N90" s="332"/>
    </row>
    <row r="91" spans="14:14">
      <c r="N91" s="332"/>
    </row>
    <row r="92" spans="14:14">
      <c r="N92" s="332"/>
    </row>
    <row r="93" spans="14:14">
      <c r="N93" s="332"/>
    </row>
    <row r="94" spans="14:14">
      <c r="N94" s="332"/>
    </row>
    <row r="95" spans="14:14">
      <c r="N95" s="332"/>
    </row>
    <row r="96" spans="14:14">
      <c r="N96" s="332"/>
    </row>
    <row r="97" spans="14:14">
      <c r="N97" s="332"/>
    </row>
    <row r="98" spans="14:14">
      <c r="N98" s="332"/>
    </row>
    <row r="99" spans="14:14">
      <c r="N99" s="332"/>
    </row>
    <row r="100" spans="14:14">
      <c r="N100" s="332"/>
    </row>
    <row r="101" spans="14:14">
      <c r="N101" s="332"/>
    </row>
    <row r="102" spans="14:14">
      <c r="N102" s="332"/>
    </row>
    <row r="103" spans="14:14">
      <c r="N103" s="332"/>
    </row>
    <row r="104" spans="14:14">
      <c r="N104" s="332"/>
    </row>
    <row r="105" spans="14:14">
      <c r="N105" s="332"/>
    </row>
    <row r="106" spans="14:14">
      <c r="N106" s="332"/>
    </row>
    <row r="107" spans="14:14">
      <c r="N107" s="332"/>
    </row>
    <row r="108" spans="14:14">
      <c r="N108" s="332"/>
    </row>
    <row r="109" spans="14:14">
      <c r="N109" s="332"/>
    </row>
    <row r="110" spans="14:14">
      <c r="N110" s="332"/>
    </row>
    <row r="111" spans="14:14">
      <c r="N111" s="332"/>
    </row>
    <row r="112" spans="14:14">
      <c r="N112" s="332"/>
    </row>
    <row r="113" spans="14:14">
      <c r="N113" s="332"/>
    </row>
    <row r="114" spans="14:14">
      <c r="N114" s="332"/>
    </row>
    <row r="115" spans="14:14">
      <c r="N115" s="332"/>
    </row>
    <row r="116" spans="14:14">
      <c r="N116" s="332"/>
    </row>
    <row r="117" spans="14:14">
      <c r="N117" s="332"/>
    </row>
    <row r="118" spans="14:14">
      <c r="N118" s="332"/>
    </row>
    <row r="119" spans="14:14">
      <c r="N119" s="332"/>
    </row>
    <row r="120" spans="14:14">
      <c r="N120" s="332"/>
    </row>
    <row r="121" spans="14:14">
      <c r="N121" s="332"/>
    </row>
    <row r="122" spans="14:14">
      <c r="N122" s="332"/>
    </row>
    <row r="123" spans="14:14">
      <c r="N123" s="332"/>
    </row>
    <row r="124" spans="14:14">
      <c r="N124" s="332"/>
    </row>
    <row r="125" spans="14:14">
      <c r="N125" s="332"/>
    </row>
    <row r="126" spans="14:14">
      <c r="N126" s="332"/>
    </row>
    <row r="127" spans="14:14">
      <c r="N127" s="332"/>
    </row>
    <row r="128" spans="14:14">
      <c r="N128" s="332"/>
    </row>
    <row r="129" spans="14:14">
      <c r="N129" s="332"/>
    </row>
    <row r="130" spans="14:14">
      <c r="N130" s="332"/>
    </row>
    <row r="131" spans="14:14">
      <c r="N131" s="332"/>
    </row>
    <row r="132" spans="14:14">
      <c r="N132" s="332"/>
    </row>
    <row r="133" spans="14:14">
      <c r="N133" s="332"/>
    </row>
    <row r="134" spans="14:14">
      <c r="N134" s="332"/>
    </row>
    <row r="135" spans="14:14">
      <c r="N135" s="332"/>
    </row>
    <row r="136" spans="14:14">
      <c r="N136" s="332"/>
    </row>
    <row r="137" spans="14:14">
      <c r="N137" s="332"/>
    </row>
    <row r="138" spans="14:14">
      <c r="N138" s="332"/>
    </row>
    <row r="139" spans="14:14">
      <c r="N139" s="332"/>
    </row>
    <row r="140" spans="14:14">
      <c r="N140" s="332"/>
    </row>
    <row r="141" spans="14:14">
      <c r="N141" s="332"/>
    </row>
    <row r="142" spans="14:14">
      <c r="N142" s="332"/>
    </row>
    <row r="143" spans="14:14">
      <c r="N143" s="332"/>
    </row>
    <row r="144" spans="14:14">
      <c r="N144" s="332"/>
    </row>
    <row r="145" spans="14:14">
      <c r="N145" s="332"/>
    </row>
    <row r="146" spans="14:14">
      <c r="N146" s="332"/>
    </row>
    <row r="147" spans="14:14">
      <c r="N147" s="332"/>
    </row>
    <row r="148" spans="14:14">
      <c r="N148" s="332"/>
    </row>
    <row r="149" spans="14:14">
      <c r="N149" s="332"/>
    </row>
    <row r="150" spans="14:14">
      <c r="N150" s="332"/>
    </row>
    <row r="151" spans="14:14">
      <c r="N151" s="332"/>
    </row>
    <row r="152" spans="14:14">
      <c r="N152" s="332"/>
    </row>
    <row r="153" spans="14:14">
      <c r="N153" s="332"/>
    </row>
    <row r="154" spans="14:14">
      <c r="N154" s="332"/>
    </row>
    <row r="155" spans="14:14">
      <c r="N155" s="332"/>
    </row>
    <row r="156" spans="14:14">
      <c r="N156" s="332"/>
    </row>
    <row r="157" spans="14:14">
      <c r="N157" s="332"/>
    </row>
    <row r="158" spans="14:14">
      <c r="N158" s="332"/>
    </row>
    <row r="159" spans="14:14">
      <c r="N159" s="332"/>
    </row>
    <row r="160" spans="14:14">
      <c r="N160" s="332"/>
    </row>
    <row r="161" spans="14:14">
      <c r="N161" s="332"/>
    </row>
    <row r="162" spans="14:14">
      <c r="N162" s="332"/>
    </row>
    <row r="163" spans="14:14">
      <c r="N163" s="332"/>
    </row>
    <row r="164" spans="14:14">
      <c r="N164" s="332"/>
    </row>
    <row r="165" spans="14:14">
      <c r="N165" s="332"/>
    </row>
    <row r="166" spans="14:14">
      <c r="N166" s="332"/>
    </row>
    <row r="167" spans="14:14">
      <c r="N167" s="332"/>
    </row>
    <row r="168" spans="14:14">
      <c r="N168" s="332"/>
    </row>
    <row r="169" spans="14:14">
      <c r="N169" s="332"/>
    </row>
    <row r="170" spans="14:14">
      <c r="N170" s="332"/>
    </row>
    <row r="171" spans="14:14">
      <c r="N171" s="332"/>
    </row>
    <row r="172" spans="14:14">
      <c r="N172" s="332"/>
    </row>
    <row r="173" spans="14:14">
      <c r="N173" s="332"/>
    </row>
    <row r="174" spans="14:14">
      <c r="N174" s="332"/>
    </row>
    <row r="175" spans="14:14">
      <c r="N175" s="332"/>
    </row>
    <row r="176" spans="14:14">
      <c r="N176" s="332"/>
    </row>
    <row r="177" spans="14:14">
      <c r="N177" s="332"/>
    </row>
    <row r="178" spans="14:14">
      <c r="N178" s="332"/>
    </row>
    <row r="179" spans="14:14">
      <c r="N179" s="332"/>
    </row>
    <row r="180" spans="14:14">
      <c r="N180" s="332"/>
    </row>
    <row r="181" spans="14:14">
      <c r="N181" s="332"/>
    </row>
    <row r="182" spans="14:14">
      <c r="N182" s="332"/>
    </row>
    <row r="183" spans="14:14">
      <c r="N183" s="332"/>
    </row>
    <row r="184" spans="14:14">
      <c r="N184" s="332"/>
    </row>
    <row r="185" spans="14:14">
      <c r="N185" s="332"/>
    </row>
    <row r="186" spans="14:14">
      <c r="N186" s="332"/>
    </row>
    <row r="187" spans="14:14">
      <c r="N187" s="332"/>
    </row>
    <row r="188" spans="14:14">
      <c r="N188" s="332"/>
    </row>
    <row r="189" spans="14:14">
      <c r="N189" s="332"/>
    </row>
    <row r="190" spans="14:14">
      <c r="N190" s="332"/>
    </row>
    <row r="191" spans="14:14">
      <c r="N191" s="332"/>
    </row>
    <row r="192" spans="14:14">
      <c r="N192" s="332"/>
    </row>
    <row r="193" spans="14:14">
      <c r="N193" s="332"/>
    </row>
    <row r="194" spans="14:14">
      <c r="N194" s="332"/>
    </row>
    <row r="195" spans="14:14">
      <c r="N195" s="332"/>
    </row>
    <row r="196" spans="14:14">
      <c r="N196" s="332"/>
    </row>
    <row r="197" spans="14:14">
      <c r="N197" s="332"/>
    </row>
    <row r="198" spans="14:14">
      <c r="N198" s="332"/>
    </row>
    <row r="199" spans="14:14">
      <c r="N199" s="332"/>
    </row>
    <row r="200" spans="14:14">
      <c r="N200" s="332"/>
    </row>
    <row r="201" spans="14:14">
      <c r="N201" s="332"/>
    </row>
    <row r="202" spans="14:14">
      <c r="N202" s="332"/>
    </row>
    <row r="203" spans="14:14">
      <c r="N203" s="332"/>
    </row>
    <row r="204" spans="14:14">
      <c r="N204" s="332"/>
    </row>
    <row r="205" spans="14:14">
      <c r="N205" s="332"/>
    </row>
    <row r="206" spans="14:14">
      <c r="N206" s="332"/>
    </row>
    <row r="207" spans="14:14">
      <c r="N207" s="332"/>
    </row>
    <row r="208" spans="14:14">
      <c r="N208" s="332"/>
    </row>
    <row r="209" spans="14:14">
      <c r="N209" s="332"/>
    </row>
    <row r="210" spans="14:14">
      <c r="N210" s="332"/>
    </row>
    <row r="211" spans="14:14">
      <c r="N211" s="332"/>
    </row>
    <row r="212" spans="14:14">
      <c r="N212" s="332"/>
    </row>
    <row r="213" spans="14:14">
      <c r="N213" s="332"/>
    </row>
    <row r="214" spans="14:14">
      <c r="N214" s="332"/>
    </row>
    <row r="215" spans="14:14">
      <c r="N215" s="332"/>
    </row>
    <row r="216" spans="14:14">
      <c r="N216" s="332"/>
    </row>
    <row r="217" spans="14:14">
      <c r="N217" s="332"/>
    </row>
    <row r="218" spans="14:14">
      <c r="N218" s="332"/>
    </row>
    <row r="219" spans="14:14">
      <c r="N219" s="332"/>
    </row>
    <row r="220" spans="14:14">
      <c r="N220" s="332"/>
    </row>
    <row r="221" spans="14:14">
      <c r="N221" s="332"/>
    </row>
    <row r="222" spans="14:14">
      <c r="N222" s="332"/>
    </row>
    <row r="223" spans="14:14">
      <c r="N223" s="332"/>
    </row>
    <row r="224" spans="14:14">
      <c r="N224" s="332"/>
    </row>
    <row r="225" spans="14:14">
      <c r="N225" s="332"/>
    </row>
    <row r="226" spans="14:14">
      <c r="N226" s="332"/>
    </row>
    <row r="227" spans="14:14">
      <c r="N227" s="332"/>
    </row>
    <row r="228" spans="14:14">
      <c r="N228" s="332"/>
    </row>
    <row r="229" spans="14:14">
      <c r="N229" s="332"/>
    </row>
    <row r="230" spans="14:14">
      <c r="N230" s="332"/>
    </row>
    <row r="231" spans="14:14">
      <c r="N231" s="332"/>
    </row>
    <row r="232" spans="14:14">
      <c r="N232" s="332"/>
    </row>
    <row r="233" spans="14:14">
      <c r="N233" s="332"/>
    </row>
    <row r="234" spans="14:14">
      <c r="N234" s="332"/>
    </row>
    <row r="235" spans="14:14">
      <c r="N235" s="332"/>
    </row>
    <row r="236" spans="14:14">
      <c r="N236" s="332"/>
    </row>
    <row r="237" spans="14:14">
      <c r="N237" s="332"/>
    </row>
    <row r="238" spans="14:14">
      <c r="N238" s="332"/>
    </row>
    <row r="239" spans="14:14">
      <c r="N239" s="332"/>
    </row>
    <row r="240" spans="14:14">
      <c r="N240" s="332"/>
    </row>
    <row r="241" spans="14:14">
      <c r="N241" s="332"/>
    </row>
    <row r="242" spans="14:14">
      <c r="N242" s="332"/>
    </row>
    <row r="243" spans="14:14">
      <c r="N243" s="332"/>
    </row>
    <row r="244" spans="14:14">
      <c r="N244" s="332"/>
    </row>
    <row r="245" spans="14:14">
      <c r="N245" s="332"/>
    </row>
    <row r="246" spans="14:14">
      <c r="N246" s="332"/>
    </row>
    <row r="247" spans="14:14">
      <c r="N247" s="332"/>
    </row>
    <row r="248" spans="14:14">
      <c r="N248" s="332"/>
    </row>
    <row r="249" spans="14:14">
      <c r="N249" s="332"/>
    </row>
    <row r="250" spans="14:14">
      <c r="N250" s="332"/>
    </row>
    <row r="251" spans="14:14">
      <c r="N251" s="332"/>
    </row>
    <row r="252" spans="14:14">
      <c r="N252" s="332"/>
    </row>
    <row r="253" spans="14:14">
      <c r="N253" s="332"/>
    </row>
    <row r="254" spans="14:14">
      <c r="N254" s="332"/>
    </row>
    <row r="255" spans="14:14">
      <c r="N255" s="332"/>
    </row>
    <row r="256" spans="14:14">
      <c r="N256" s="332"/>
    </row>
    <row r="257" spans="14:14">
      <c r="N257" s="332"/>
    </row>
    <row r="258" spans="14:14">
      <c r="N258" s="332"/>
    </row>
    <row r="259" spans="14:14">
      <c r="N259" s="332"/>
    </row>
    <row r="260" spans="14:14">
      <c r="N260" s="332"/>
    </row>
    <row r="261" spans="14:14">
      <c r="N261" s="332"/>
    </row>
    <row r="262" spans="14:14">
      <c r="N262" s="332"/>
    </row>
    <row r="263" spans="14:14">
      <c r="N263" s="332"/>
    </row>
    <row r="264" spans="14:14">
      <c r="N264" s="332"/>
    </row>
    <row r="265" spans="14:14">
      <c r="N265" s="332"/>
    </row>
    <row r="266" spans="14:14">
      <c r="N266" s="332"/>
    </row>
    <row r="267" spans="14:14">
      <c r="N267" s="332"/>
    </row>
    <row r="268" spans="14:14">
      <c r="N268" s="332"/>
    </row>
    <row r="269" spans="14:14">
      <c r="N269" s="332"/>
    </row>
    <row r="270" spans="14:14">
      <c r="N270" s="332"/>
    </row>
    <row r="271" spans="14:14">
      <c r="N271" s="332"/>
    </row>
    <row r="272" spans="14:14">
      <c r="N272" s="332"/>
    </row>
    <row r="273" spans="14:14">
      <c r="N273" s="332"/>
    </row>
    <row r="274" spans="14:14">
      <c r="N274" s="332"/>
    </row>
    <row r="275" spans="14:14">
      <c r="N275" s="332"/>
    </row>
    <row r="276" spans="14:14">
      <c r="N276" s="332"/>
    </row>
    <row r="277" spans="14:14">
      <c r="N277" s="332"/>
    </row>
    <row r="278" spans="14:14">
      <c r="N278" s="332"/>
    </row>
    <row r="279" spans="14:14">
      <c r="N279" s="332"/>
    </row>
    <row r="280" spans="14:14">
      <c r="N280" s="332"/>
    </row>
    <row r="281" spans="14:14">
      <c r="N281" s="332"/>
    </row>
    <row r="282" spans="14:14">
      <c r="N282" s="332"/>
    </row>
    <row r="283" spans="14:14">
      <c r="N283" s="332"/>
    </row>
    <row r="284" spans="14:14">
      <c r="N284" s="332"/>
    </row>
    <row r="285" spans="14:14">
      <c r="N285" s="332"/>
    </row>
    <row r="286" spans="14:14">
      <c r="N286" s="332"/>
    </row>
    <row r="287" spans="14:14">
      <c r="N287" s="332"/>
    </row>
    <row r="288" spans="14:14">
      <c r="N288" s="332"/>
    </row>
    <row r="289" spans="14:14">
      <c r="N289" s="332"/>
    </row>
    <row r="290" spans="14:14">
      <c r="N290" s="332"/>
    </row>
    <row r="291" spans="14:14">
      <c r="N291" s="332"/>
    </row>
    <row r="292" spans="14:14">
      <c r="N292" s="332"/>
    </row>
    <row r="293" spans="14:14">
      <c r="N293" s="332"/>
    </row>
    <row r="294" spans="14:14">
      <c r="N294" s="332"/>
    </row>
    <row r="295" spans="14:14">
      <c r="N295" s="332"/>
    </row>
    <row r="296" spans="14:14">
      <c r="N296" s="332"/>
    </row>
    <row r="297" spans="14:14">
      <c r="N297" s="332"/>
    </row>
    <row r="298" spans="14:14">
      <c r="N298" s="332"/>
    </row>
    <row r="299" spans="14:14">
      <c r="N299" s="332"/>
    </row>
    <row r="300" spans="14:14">
      <c r="N300" s="332"/>
    </row>
    <row r="301" spans="14:14">
      <c r="N301" s="332"/>
    </row>
    <row r="302" spans="14:14">
      <c r="N302" s="332"/>
    </row>
    <row r="303" spans="14:14">
      <c r="N303" s="332"/>
    </row>
    <row r="304" spans="14:14">
      <c r="N304" s="332"/>
    </row>
    <row r="305" spans="14:14">
      <c r="N305" s="332"/>
    </row>
    <row r="306" spans="14:14">
      <c r="N306" s="332"/>
    </row>
    <row r="307" spans="14:14">
      <c r="N307" s="332"/>
    </row>
    <row r="308" spans="14:14">
      <c r="N308" s="332"/>
    </row>
    <row r="309" spans="14:14">
      <c r="N309" s="332"/>
    </row>
    <row r="310" spans="14:14">
      <c r="N310" s="332"/>
    </row>
    <row r="311" spans="14:14">
      <c r="N311" s="332"/>
    </row>
    <row r="312" spans="14:14">
      <c r="N312" s="332"/>
    </row>
    <row r="313" spans="14:14">
      <c r="N313" s="332"/>
    </row>
    <row r="314" spans="14:14">
      <c r="N314" s="332"/>
    </row>
    <row r="315" spans="14:14">
      <c r="N315" s="332"/>
    </row>
    <row r="316" spans="14:14">
      <c r="N316" s="332"/>
    </row>
    <row r="317" spans="14:14">
      <c r="N317" s="332"/>
    </row>
    <row r="318" spans="14:14">
      <c r="N318" s="332"/>
    </row>
    <row r="319" spans="14:14">
      <c r="N319" s="332"/>
    </row>
    <row r="320" spans="14:14">
      <c r="N320" s="332"/>
    </row>
    <row r="321" spans="14:14">
      <c r="N321" s="332"/>
    </row>
    <row r="322" spans="14:14">
      <c r="N322" s="332"/>
    </row>
    <row r="323" spans="14:14">
      <c r="N323" s="332"/>
    </row>
    <row r="324" spans="14:14">
      <c r="N324" s="332"/>
    </row>
    <row r="325" spans="14:14">
      <c r="N325" s="332"/>
    </row>
    <row r="326" spans="14:14">
      <c r="N326" s="332"/>
    </row>
    <row r="327" spans="14:14">
      <c r="N327" s="332"/>
    </row>
    <row r="328" spans="14:14">
      <c r="N328" s="332"/>
    </row>
    <row r="329" spans="14:14">
      <c r="N329" s="332"/>
    </row>
    <row r="330" spans="14:14">
      <c r="N330" s="332"/>
    </row>
    <row r="331" spans="14:14">
      <c r="N331" s="332"/>
    </row>
    <row r="332" spans="14:14">
      <c r="N332" s="332"/>
    </row>
    <row r="333" spans="14:14">
      <c r="N333" s="332"/>
    </row>
    <row r="334" spans="14:14">
      <c r="N334" s="332"/>
    </row>
    <row r="335" spans="14:14">
      <c r="N335" s="332"/>
    </row>
    <row r="336" spans="14:14">
      <c r="N336" s="332"/>
    </row>
    <row r="337" spans="14:14">
      <c r="N337" s="332"/>
    </row>
    <row r="338" spans="14:14">
      <c r="N338" s="332"/>
    </row>
    <row r="339" spans="14:14">
      <c r="N339" s="332"/>
    </row>
    <row r="340" spans="14:14">
      <c r="N340" s="332"/>
    </row>
    <row r="341" spans="14:14">
      <c r="N341" s="332"/>
    </row>
    <row r="342" spans="14:14">
      <c r="N342" s="332"/>
    </row>
    <row r="343" spans="14:14">
      <c r="N343" s="332"/>
    </row>
    <row r="344" spans="14:14">
      <c r="N344" s="332"/>
    </row>
    <row r="345" spans="14:14">
      <c r="N345" s="332"/>
    </row>
    <row r="346" spans="14:14">
      <c r="N346" s="332"/>
    </row>
    <row r="347" spans="14:14">
      <c r="N347" s="332"/>
    </row>
    <row r="348" spans="14:14">
      <c r="N348" s="332"/>
    </row>
    <row r="349" spans="14:14">
      <c r="N349" s="332"/>
    </row>
    <row r="350" spans="14:14">
      <c r="N350" s="332"/>
    </row>
    <row r="351" spans="14:14">
      <c r="N351" s="332"/>
    </row>
    <row r="352" spans="14:14">
      <c r="N352" s="332"/>
    </row>
    <row r="353" spans="14:14">
      <c r="N353" s="332"/>
    </row>
    <row r="354" spans="14:14">
      <c r="N354" s="332"/>
    </row>
    <row r="355" spans="14:14">
      <c r="N355" s="332"/>
    </row>
    <row r="356" spans="14:14">
      <c r="N356" s="332"/>
    </row>
    <row r="357" spans="14:14">
      <c r="N357" s="332"/>
    </row>
    <row r="358" spans="14:14">
      <c r="N358" s="332"/>
    </row>
    <row r="359" spans="14:14">
      <c r="N359" s="332"/>
    </row>
    <row r="360" spans="14:14">
      <c r="N360" s="332"/>
    </row>
    <row r="361" spans="14:14">
      <c r="N361" s="332"/>
    </row>
    <row r="362" spans="14:14">
      <c r="N362" s="332"/>
    </row>
    <row r="363" spans="14:14">
      <c r="N363" s="332"/>
    </row>
    <row r="364" spans="14:14">
      <c r="N364" s="332"/>
    </row>
    <row r="365" spans="14:14">
      <c r="N365" s="332"/>
    </row>
    <row r="366" spans="14:14">
      <c r="N366" s="332"/>
    </row>
    <row r="367" spans="14:14">
      <c r="N367" s="332"/>
    </row>
    <row r="368" spans="14:14">
      <c r="N368" s="332"/>
    </row>
    <row r="369" spans="14:14">
      <c r="N369" s="332"/>
    </row>
    <row r="370" spans="14:14">
      <c r="N370" s="332"/>
    </row>
    <row r="371" spans="14:14">
      <c r="N371" s="332"/>
    </row>
    <row r="372" spans="14:14">
      <c r="N372" s="332"/>
    </row>
    <row r="373" spans="14:14">
      <c r="N373" s="332"/>
    </row>
    <row r="374" spans="14:14">
      <c r="N374" s="332"/>
    </row>
    <row r="375" spans="14:14">
      <c r="N375" s="332"/>
    </row>
    <row r="376" spans="14:14">
      <c r="N376" s="332"/>
    </row>
    <row r="377" spans="14:14">
      <c r="N377" s="332"/>
    </row>
    <row r="378" spans="14:14">
      <c r="N378" s="332"/>
    </row>
    <row r="379" spans="14:14">
      <c r="N379" s="332"/>
    </row>
    <row r="380" spans="14:14">
      <c r="N380" s="332"/>
    </row>
    <row r="381" spans="14:14">
      <c r="N381" s="332"/>
    </row>
    <row r="382" spans="14:14">
      <c r="N382" s="332"/>
    </row>
    <row r="383" spans="14:14">
      <c r="N383" s="332"/>
    </row>
    <row r="384" spans="14:14">
      <c r="N384" s="332"/>
    </row>
    <row r="385" spans="14:14">
      <c r="N385" s="332"/>
    </row>
    <row r="386" spans="14:14">
      <c r="N386" s="332"/>
    </row>
    <row r="387" spans="14:14">
      <c r="N387" s="332"/>
    </row>
    <row r="388" spans="14:14">
      <c r="N388" s="332"/>
    </row>
    <row r="389" spans="14:14">
      <c r="N389" s="332"/>
    </row>
    <row r="390" spans="14:14">
      <c r="N390" s="332"/>
    </row>
    <row r="391" spans="14:14">
      <c r="N391" s="332"/>
    </row>
    <row r="392" spans="14:14">
      <c r="N392" s="332"/>
    </row>
    <row r="393" spans="14:14">
      <c r="N393" s="332"/>
    </row>
    <row r="394" spans="14:14">
      <c r="N394" s="332"/>
    </row>
    <row r="395" spans="14:14">
      <c r="N395" s="332"/>
    </row>
    <row r="396" spans="14:14">
      <c r="N396" s="332"/>
    </row>
    <row r="397" spans="14:14">
      <c r="N397" s="332"/>
    </row>
    <row r="398" spans="14:14">
      <c r="N398" s="332"/>
    </row>
    <row r="399" spans="14:14">
      <c r="N399" s="332"/>
    </row>
    <row r="400" spans="14:14">
      <c r="N400" s="332"/>
    </row>
    <row r="401" spans="14:14">
      <c r="N401" s="332"/>
    </row>
    <row r="402" spans="14:14">
      <c r="N402" s="332"/>
    </row>
    <row r="403" spans="14:14">
      <c r="N403" s="332"/>
    </row>
    <row r="404" spans="14:14">
      <c r="N404" s="332"/>
    </row>
    <row r="405" spans="14:14">
      <c r="N405" s="332"/>
    </row>
    <row r="406" spans="14:14">
      <c r="N406" s="332"/>
    </row>
    <row r="407" spans="14:14">
      <c r="N407" s="332"/>
    </row>
    <row r="408" spans="14:14">
      <c r="N408" s="332"/>
    </row>
    <row r="409" spans="14:14">
      <c r="N409" s="332"/>
    </row>
    <row r="410" spans="14:14">
      <c r="N410" s="332"/>
    </row>
    <row r="411" spans="14:14">
      <c r="N411" s="332"/>
    </row>
    <row r="412" spans="14:14">
      <c r="N412" s="332"/>
    </row>
    <row r="413" spans="14:14">
      <c r="N413" s="332"/>
    </row>
    <row r="414" spans="14:14">
      <c r="N414" s="332"/>
    </row>
    <row r="415" spans="14:14">
      <c r="N415" s="332"/>
    </row>
    <row r="416" spans="14:14">
      <c r="N416" s="332"/>
    </row>
    <row r="417" spans="14:14">
      <c r="N417" s="332"/>
    </row>
    <row r="418" spans="14:14">
      <c r="N418" s="332"/>
    </row>
    <row r="419" spans="14:14">
      <c r="N419" s="332"/>
    </row>
    <row r="420" spans="14:14">
      <c r="N420" s="332"/>
    </row>
    <row r="421" spans="14:14">
      <c r="N421" s="332"/>
    </row>
    <row r="1000005" spans="1:1">
      <c r="A1000005" s="111" t="s">
        <v>7</v>
      </c>
    </row>
    <row r="1000006" spans="1:1">
      <c r="A1000006" s="111" t="s">
        <v>2</v>
      </c>
    </row>
    <row r="1000007" spans="1:1">
      <c r="A1000007" s="111" t="s">
        <v>6</v>
      </c>
    </row>
    <row r="1000008" spans="1:1">
      <c r="A1000008" s="111" t="s">
        <v>3</v>
      </c>
    </row>
    <row r="1000009" spans="1:1">
      <c r="A1000009" s="111" t="s">
        <v>4</v>
      </c>
    </row>
    <row r="1000010" spans="1:1">
      <c r="A1000010" s="111" t="s">
        <v>5</v>
      </c>
    </row>
  </sheetData>
  <pageMargins left="0.15748031496062992" right="0.15748031496062992" top="0.51181102362204722" bottom="0.74803149606299213" header="0.31496062992125984" footer="0.31496062992125984"/>
  <pageSetup paperSize="9" scale="82" orientation="landscape" r:id="rId1"/>
  <headerFooter>
    <oddFooter>&amp;C&amp;D&amp;R&amp;F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S900145"/>
  <sheetViews>
    <sheetView showGridLines="0" zoomScale="85" zoomScaleNormal="85" workbookViewId="0"/>
  </sheetViews>
  <sheetFormatPr defaultColWidth="9" defaultRowHeight="12.4"/>
  <cols>
    <col min="1" max="1" width="41.1171875" style="111" customWidth="1"/>
    <col min="2" max="2" width="9.17578125" style="111" customWidth="1"/>
    <col min="3" max="3" width="8.87890625" style="111" customWidth="1"/>
    <col min="4" max="5" width="9" style="111"/>
    <col min="6" max="6" width="21.87890625" style="111" customWidth="1"/>
    <col min="7" max="7" width="9.703125" style="111" bestFit="1" customWidth="1"/>
    <col min="8" max="8" width="12.3515625" style="111" customWidth="1"/>
    <col min="9" max="9" width="13.87890625" style="111" customWidth="1"/>
    <col min="10" max="10" width="14" style="111" customWidth="1"/>
    <col min="11" max="11" width="9.703125" style="111" customWidth="1"/>
    <col min="12" max="12" width="11" style="111" customWidth="1"/>
    <col min="13" max="13" width="9.703125" style="111" customWidth="1"/>
    <col min="14" max="16384" width="9" style="111"/>
  </cols>
  <sheetData>
    <row r="1" spans="1:19" s="121" customFormat="1" ht="14.65">
      <c r="A1" s="126" t="s">
        <v>115</v>
      </c>
      <c r="N1" s="346"/>
    </row>
    <row r="2" spans="1:19" s="121" customFormat="1" ht="14.65">
      <c r="A2" s="126" t="str">
        <f>CompName</f>
        <v>Scottish Hydro Electric Transmission Plc</v>
      </c>
      <c r="N2" s="346"/>
    </row>
    <row r="3" spans="1:19" s="121" customFormat="1">
      <c r="A3" s="128" t="str">
        <f>RegYr</f>
        <v>Regulatory Year ending 31 March 2019</v>
      </c>
      <c r="N3" s="346"/>
    </row>
    <row r="4" spans="1:19">
      <c r="A4" s="137"/>
      <c r="B4" s="137"/>
      <c r="C4" s="137"/>
      <c r="D4" s="137"/>
      <c r="E4" s="137"/>
      <c r="F4" s="132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</row>
    <row r="5" spans="1:19" ht="24" customHeight="1">
      <c r="A5" s="143" t="s">
        <v>25</v>
      </c>
      <c r="G5" s="232"/>
      <c r="L5" s="118" t="s">
        <v>441</v>
      </c>
      <c r="N5" s="332"/>
    </row>
    <row r="6" spans="1:19" ht="13.5">
      <c r="A6" s="110" t="s">
        <v>458</v>
      </c>
      <c r="B6" s="130"/>
      <c r="C6" s="130"/>
      <c r="D6" s="130"/>
      <c r="E6" s="130"/>
      <c r="F6" s="130"/>
      <c r="G6" s="130"/>
      <c r="H6" s="130"/>
      <c r="I6" s="130"/>
      <c r="N6" s="332"/>
    </row>
    <row r="7" spans="1:19" ht="15" customHeight="1">
      <c r="C7" s="113"/>
      <c r="D7" s="130"/>
      <c r="E7" s="130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2"/>
    </row>
    <row r="8" spans="1:19">
      <c r="A8" s="111" t="s">
        <v>27</v>
      </c>
      <c r="B8" s="111" t="s">
        <v>264</v>
      </c>
      <c r="C8" s="259" t="s">
        <v>1</v>
      </c>
      <c r="F8" s="133">
        <f t="shared" ref="F8:M8" si="0">RI</f>
        <v>0.47198999999999997</v>
      </c>
      <c r="G8" s="133">
        <f t="shared" si="0"/>
        <v>0</v>
      </c>
      <c r="H8" s="133">
        <f t="shared" si="0"/>
        <v>1.6747013254645526</v>
      </c>
      <c r="I8" s="133">
        <f t="shared" si="0"/>
        <v>1.6336661706856228</v>
      </c>
      <c r="J8" s="133">
        <f t="shared" si="0"/>
        <v>1.6568537470876541</v>
      </c>
      <c r="K8" s="133">
        <f t="shared" si="0"/>
        <v>1.7073013528201595</v>
      </c>
      <c r="L8" s="133">
        <f t="shared" si="0"/>
        <v>1.7377162115558735</v>
      </c>
      <c r="M8" s="133">
        <f t="shared" si="0"/>
        <v>1.6707647374298991</v>
      </c>
      <c r="N8" s="343" t="s">
        <v>264</v>
      </c>
    </row>
    <row r="9" spans="1:19">
      <c r="A9" s="111" t="s">
        <v>28</v>
      </c>
      <c r="B9" s="111" t="s">
        <v>348</v>
      </c>
      <c r="C9" s="259" t="s">
        <v>1</v>
      </c>
      <c r="F9" s="133">
        <f t="shared" ref="F9:M9" si="1">SSO</f>
        <v>0</v>
      </c>
      <c r="G9" s="133">
        <f t="shared" si="1"/>
        <v>0</v>
      </c>
      <c r="H9" s="133">
        <f>SSO</f>
        <v>0</v>
      </c>
      <c r="I9" s="133">
        <f t="shared" si="1"/>
        <v>0</v>
      </c>
      <c r="J9" s="133">
        <f t="shared" si="1"/>
        <v>0</v>
      </c>
      <c r="K9" s="133">
        <f t="shared" si="1"/>
        <v>-2.3347605428778153</v>
      </c>
      <c r="L9" s="133">
        <f t="shared" si="1"/>
        <v>-2.6966425259865336</v>
      </c>
      <c r="M9" s="133">
        <f t="shared" si="1"/>
        <v>-3.0873126865865115</v>
      </c>
      <c r="N9" s="343" t="s">
        <v>348</v>
      </c>
    </row>
    <row r="10" spans="1:19">
      <c r="A10" s="131" t="s">
        <v>29</v>
      </c>
      <c r="B10" s="131" t="s">
        <v>221</v>
      </c>
      <c r="C10" s="262" t="s">
        <v>1</v>
      </c>
      <c r="D10" s="131"/>
      <c r="E10" s="131"/>
      <c r="F10" s="139">
        <f t="shared" ref="F10:M10" si="2">SFI</f>
        <v>0</v>
      </c>
      <c r="G10" s="139">
        <f t="shared" si="2"/>
        <v>0</v>
      </c>
      <c r="H10" s="139">
        <f t="shared" si="2"/>
        <v>0.15707869804597507</v>
      </c>
      <c r="I10" s="139">
        <f t="shared" si="2"/>
        <v>0.17952594941779731</v>
      </c>
      <c r="J10" s="139">
        <f t="shared" si="2"/>
        <v>0.22596892824517137</v>
      </c>
      <c r="K10" s="139">
        <f t="shared" si="2"/>
        <v>0.25467322541659937</v>
      </c>
      <c r="L10" s="139">
        <f t="shared" si="2"/>
        <v>0.28652784474381388</v>
      </c>
      <c r="M10" s="139">
        <f t="shared" si="2"/>
        <v>0.29900623575922336</v>
      </c>
      <c r="N10" s="343" t="s">
        <v>221</v>
      </c>
    </row>
    <row r="11" spans="1:19">
      <c r="A11" s="131" t="s">
        <v>30</v>
      </c>
      <c r="B11" s="131" t="s">
        <v>349</v>
      </c>
      <c r="C11" s="262" t="s">
        <v>1</v>
      </c>
      <c r="D11" s="131"/>
      <c r="E11" s="131"/>
      <c r="F11" s="139">
        <f t="shared" ref="F11:M11" si="3">EDR</f>
        <v>0</v>
      </c>
      <c r="G11" s="139">
        <f t="shared" si="3"/>
        <v>0</v>
      </c>
      <c r="H11" s="139">
        <f t="shared" si="3"/>
        <v>0</v>
      </c>
      <c r="I11" s="139">
        <f t="shared" si="3"/>
        <v>0</v>
      </c>
      <c r="J11" s="139">
        <f t="shared" si="3"/>
        <v>0</v>
      </c>
      <c r="K11" s="139">
        <f t="shared" si="3"/>
        <v>0</v>
      </c>
      <c r="L11" s="139">
        <f t="shared" si="3"/>
        <v>0</v>
      </c>
      <c r="M11" s="139">
        <f t="shared" si="3"/>
        <v>0</v>
      </c>
      <c r="N11" s="343" t="s">
        <v>349</v>
      </c>
    </row>
    <row r="12" spans="1:19">
      <c r="A12" s="111" t="s">
        <v>292</v>
      </c>
      <c r="B12" s="111" t="s">
        <v>291</v>
      </c>
      <c r="C12" s="259" t="s">
        <v>1</v>
      </c>
      <c r="H12" s="133">
        <f>CONADJ</f>
        <v>0</v>
      </c>
      <c r="I12" s="133">
        <f t="shared" ref="I12:M12" si="4">CONADJ</f>
        <v>0</v>
      </c>
      <c r="J12" s="133">
        <f t="shared" si="4"/>
        <v>0</v>
      </c>
      <c r="K12" s="133">
        <f t="shared" si="4"/>
        <v>0</v>
      </c>
      <c r="L12" s="133">
        <f t="shared" si="4"/>
        <v>0</v>
      </c>
      <c r="M12" s="133">
        <f t="shared" si="4"/>
        <v>0</v>
      </c>
      <c r="N12" s="343" t="s">
        <v>291</v>
      </c>
    </row>
    <row r="13" spans="1:19">
      <c r="A13" s="111" t="s">
        <v>15</v>
      </c>
      <c r="B13" s="111" t="s">
        <v>188</v>
      </c>
      <c r="C13" s="259" t="s">
        <v>1</v>
      </c>
      <c r="F13" s="136">
        <f>SUM(F8:F11)-F12</f>
        <v>0.47198999999999997</v>
      </c>
      <c r="G13" s="136">
        <f t="shared" ref="G13:M13" si="5">SUM(G8:G11)-G12</f>
        <v>0</v>
      </c>
      <c r="H13" s="136">
        <f>SUM(H8:H11)-H12</f>
        <v>1.8317800235105277</v>
      </c>
      <c r="I13" s="136">
        <f t="shared" si="5"/>
        <v>1.81319212010342</v>
      </c>
      <c r="J13" s="136">
        <f t="shared" si="5"/>
        <v>1.8828226753328254</v>
      </c>
      <c r="K13" s="136">
        <f t="shared" si="5"/>
        <v>-0.37278596464105646</v>
      </c>
      <c r="L13" s="136">
        <f t="shared" si="5"/>
        <v>-0.67239846968684625</v>
      </c>
      <c r="M13" s="136">
        <f t="shared" si="5"/>
        <v>-1.1175417133973891</v>
      </c>
      <c r="N13" s="343" t="s">
        <v>188</v>
      </c>
    </row>
    <row r="14" spans="1:19">
      <c r="C14" s="259"/>
      <c r="F14" s="118"/>
      <c r="J14" s="118"/>
      <c r="N14" s="332"/>
    </row>
    <row r="15" spans="1:19" ht="13.5">
      <c r="A15" s="116" t="s">
        <v>27</v>
      </c>
      <c r="N15" s="332"/>
    </row>
    <row r="16" spans="1:19" ht="24" customHeight="1">
      <c r="E16" s="111" t="s">
        <v>526</v>
      </c>
      <c r="G16" s="209"/>
      <c r="H16" s="209" t="s">
        <v>527</v>
      </c>
      <c r="I16" s="209"/>
      <c r="J16" s="209"/>
      <c r="K16" s="209"/>
      <c r="L16" s="209"/>
      <c r="M16" s="209"/>
      <c r="N16" s="332"/>
    </row>
    <row r="17" spans="1:16" ht="15.75">
      <c r="A17" s="144" t="s">
        <v>342</v>
      </c>
      <c r="E17" s="398" t="s">
        <v>39</v>
      </c>
      <c r="F17" s="398"/>
      <c r="N17" s="332"/>
    </row>
    <row r="18" spans="1:16">
      <c r="A18" s="144" t="s">
        <v>459</v>
      </c>
      <c r="C18" s="259"/>
      <c r="N18" s="332"/>
    </row>
    <row r="19" spans="1:16" ht="14.25">
      <c r="A19" s="145"/>
      <c r="C19" s="259"/>
      <c r="F19" s="112">
        <v>2014</v>
      </c>
      <c r="G19" s="112">
        <v>2015</v>
      </c>
      <c r="H19" s="112">
        <v>2016</v>
      </c>
      <c r="I19" s="112">
        <v>2017</v>
      </c>
      <c r="J19" s="112">
        <v>2018</v>
      </c>
      <c r="K19" s="112">
        <v>2019</v>
      </c>
      <c r="L19" s="112">
        <v>2020</v>
      </c>
      <c r="M19" s="112">
        <v>2021</v>
      </c>
      <c r="N19" s="332"/>
    </row>
    <row r="20" spans="1:16">
      <c r="A20" s="111" t="s">
        <v>67</v>
      </c>
      <c r="B20" s="111" t="s">
        <v>195</v>
      </c>
      <c r="C20" s="259" t="s">
        <v>1</v>
      </c>
      <c r="F20" s="164">
        <f>F51</f>
        <v>0.47198999999999997</v>
      </c>
      <c r="G20" s="233">
        <v>0</v>
      </c>
      <c r="H20" s="219"/>
      <c r="I20" s="219"/>
      <c r="J20" s="219"/>
      <c r="K20" s="219"/>
      <c r="L20" s="219"/>
      <c r="M20" s="219"/>
      <c r="N20" s="332"/>
    </row>
    <row r="21" spans="1:16">
      <c r="A21" s="111" t="s">
        <v>63</v>
      </c>
      <c r="B21" s="111" t="s">
        <v>197</v>
      </c>
      <c r="C21" s="259" t="s">
        <v>578</v>
      </c>
      <c r="F21" s="233">
        <f t="shared" ref="F21:M21" si="6">VOLL</f>
        <v>1.6E-2</v>
      </c>
      <c r="G21" s="233">
        <f t="shared" si="6"/>
        <v>1.6E-2</v>
      </c>
      <c r="H21" s="233">
        <f t="shared" si="6"/>
        <v>1.6E-2</v>
      </c>
      <c r="I21" s="233">
        <f t="shared" si="6"/>
        <v>1.6E-2</v>
      </c>
      <c r="J21" s="233">
        <f t="shared" si="6"/>
        <v>1.6E-2</v>
      </c>
      <c r="K21" s="233">
        <f t="shared" si="6"/>
        <v>1.6E-2</v>
      </c>
      <c r="L21" s="233">
        <f t="shared" si="6"/>
        <v>1.6E-2</v>
      </c>
      <c r="M21" s="233">
        <f t="shared" si="6"/>
        <v>1.6E-2</v>
      </c>
      <c r="N21" s="343" t="s">
        <v>197</v>
      </c>
    </row>
    <row r="22" spans="1:16">
      <c r="A22" s="111" t="s">
        <v>65</v>
      </c>
      <c r="B22" s="111" t="s">
        <v>200</v>
      </c>
      <c r="C22" s="259" t="s">
        <v>199</v>
      </c>
      <c r="F22" s="164">
        <f t="shared" ref="F22:M22" si="7">ENST</f>
        <v>120</v>
      </c>
      <c r="G22" s="164">
        <f t="shared" si="7"/>
        <v>120</v>
      </c>
      <c r="H22" s="164">
        <f t="shared" si="7"/>
        <v>120</v>
      </c>
      <c r="I22" s="164">
        <f t="shared" si="7"/>
        <v>120</v>
      </c>
      <c r="J22" s="164">
        <f t="shared" si="7"/>
        <v>120</v>
      </c>
      <c r="K22" s="164">
        <f t="shared" si="7"/>
        <v>120</v>
      </c>
      <c r="L22" s="164">
        <f t="shared" si="7"/>
        <v>120</v>
      </c>
      <c r="M22" s="164">
        <f t="shared" si="7"/>
        <v>120</v>
      </c>
      <c r="N22" s="343" t="s">
        <v>200</v>
      </c>
    </row>
    <row r="23" spans="1:16">
      <c r="A23" s="111" t="s">
        <v>66</v>
      </c>
      <c r="B23" s="111" t="s">
        <v>202</v>
      </c>
      <c r="C23" s="114" t="s">
        <v>495</v>
      </c>
      <c r="F23" s="164">
        <f t="shared" ref="F23:M23" si="8">ENSA</f>
        <v>0</v>
      </c>
      <c r="G23" s="164">
        <f t="shared" si="8"/>
        <v>0</v>
      </c>
      <c r="H23" s="164">
        <f t="shared" si="8"/>
        <v>0</v>
      </c>
      <c r="I23" s="164">
        <f t="shared" si="8"/>
        <v>0</v>
      </c>
      <c r="J23" s="164">
        <f t="shared" si="8"/>
        <v>0</v>
      </c>
      <c r="K23" s="164">
        <f t="shared" si="8"/>
        <v>0</v>
      </c>
      <c r="L23" s="164">
        <f t="shared" si="8"/>
        <v>0</v>
      </c>
      <c r="M23" s="164">
        <f t="shared" si="8"/>
        <v>0</v>
      </c>
      <c r="N23" s="343" t="s">
        <v>202</v>
      </c>
    </row>
    <row r="24" spans="1:16">
      <c r="A24" s="111" t="s">
        <v>344</v>
      </c>
      <c r="B24" s="111" t="s">
        <v>210</v>
      </c>
      <c r="C24" s="259" t="s">
        <v>105</v>
      </c>
      <c r="F24" s="236">
        <f t="shared" ref="F24:M24" si="9">PTIS</f>
        <v>0.64935064935064934</v>
      </c>
      <c r="G24" s="236">
        <f t="shared" si="9"/>
        <v>0.63291139240506322</v>
      </c>
      <c r="H24" s="236">
        <f t="shared" si="9"/>
        <v>0.625</v>
      </c>
      <c r="I24" s="236">
        <f t="shared" si="9"/>
        <v>0.625</v>
      </c>
      <c r="J24" s="236">
        <f t="shared" si="9"/>
        <v>0.61728395061728392</v>
      </c>
      <c r="K24" s="236">
        <f t="shared" si="9"/>
        <v>0.61728395061728392</v>
      </c>
      <c r="L24" s="236">
        <f t="shared" si="9"/>
        <v>0.61728395061728392</v>
      </c>
      <c r="M24" s="236">
        <f t="shared" si="9"/>
        <v>0.60240963855421692</v>
      </c>
      <c r="N24" s="343" t="s">
        <v>210</v>
      </c>
    </row>
    <row r="25" spans="1:16">
      <c r="A25" s="111" t="s">
        <v>64</v>
      </c>
      <c r="B25" s="111" t="s">
        <v>201</v>
      </c>
      <c r="C25" s="259" t="s">
        <v>105</v>
      </c>
      <c r="F25" s="235">
        <f t="shared" ref="F25:M25" si="10">RIDPA</f>
        <v>0.03</v>
      </c>
      <c r="G25" s="235">
        <f t="shared" si="10"/>
        <v>0.03</v>
      </c>
      <c r="H25" s="235">
        <f t="shared" si="10"/>
        <v>0.03</v>
      </c>
      <c r="I25" s="235">
        <f t="shared" si="10"/>
        <v>0.03</v>
      </c>
      <c r="J25" s="235">
        <f t="shared" si="10"/>
        <v>0.03</v>
      </c>
      <c r="K25" s="235">
        <f t="shared" si="10"/>
        <v>0.03</v>
      </c>
      <c r="L25" s="235">
        <f t="shared" si="10"/>
        <v>0.03</v>
      </c>
      <c r="M25" s="235">
        <f t="shared" si="10"/>
        <v>0.03</v>
      </c>
      <c r="N25" s="343" t="s">
        <v>201</v>
      </c>
    </row>
    <row r="26" spans="1:16">
      <c r="A26" s="111" t="s">
        <v>61</v>
      </c>
      <c r="B26" s="111" t="s">
        <v>297</v>
      </c>
      <c r="C26" s="259" t="s">
        <v>1</v>
      </c>
      <c r="F26" s="164">
        <f t="shared" ref="F26:M26" si="11">BR</f>
        <v>121.5805473654021</v>
      </c>
      <c r="G26" s="164">
        <f t="shared" si="11"/>
        <v>144.88183369376085</v>
      </c>
      <c r="H26" s="164">
        <f t="shared" si="11"/>
        <v>257.33707831815008</v>
      </c>
      <c r="I26" s="164">
        <f t="shared" si="11"/>
        <v>257.63707638924029</v>
      </c>
      <c r="J26" s="164">
        <f t="shared" si="11"/>
        <v>212.33853452570145</v>
      </c>
      <c r="K26" s="164">
        <f t="shared" si="11"/>
        <v>256.82229984453886</v>
      </c>
      <c r="L26" s="164">
        <f t="shared" si="11"/>
        <v>271.06517550609101</v>
      </c>
      <c r="M26" s="164">
        <f t="shared" si="11"/>
        <v>159.34814995953684</v>
      </c>
      <c r="N26" s="343" t="s">
        <v>297</v>
      </c>
    </row>
    <row r="27" spans="1:16">
      <c r="A27" s="111" t="s">
        <v>136</v>
      </c>
      <c r="B27" s="111" t="s">
        <v>136</v>
      </c>
      <c r="C27" s="259" t="s">
        <v>1</v>
      </c>
      <c r="F27" s="164">
        <f t="shared" ref="F27:M27" si="12">TIRG</f>
        <v>43.13029648352763</v>
      </c>
      <c r="G27" s="164">
        <f t="shared" si="12"/>
        <v>45.642498240794303</v>
      </c>
      <c r="H27" s="164">
        <f t="shared" si="12"/>
        <v>44.861665942027251</v>
      </c>
      <c r="I27" s="164">
        <f t="shared" si="12"/>
        <v>0</v>
      </c>
      <c r="J27" s="164">
        <f t="shared" si="12"/>
        <v>84.256191454810178</v>
      </c>
      <c r="K27" s="164">
        <f t="shared" si="12"/>
        <v>83.929406675831544</v>
      </c>
      <c r="L27" s="164">
        <f t="shared" si="12"/>
        <v>83.48339417561121</v>
      </c>
      <c r="M27" s="164">
        <f t="shared" si="12"/>
        <v>77.309616964781469</v>
      </c>
      <c r="N27" s="343" t="s">
        <v>136</v>
      </c>
      <c r="O27" s="332"/>
      <c r="P27" s="332"/>
    </row>
    <row r="28" spans="1:16">
      <c r="A28" s="111" t="s">
        <v>345</v>
      </c>
      <c r="B28" s="111" t="s">
        <v>122</v>
      </c>
      <c r="C28" s="259" t="s">
        <v>1</v>
      </c>
      <c r="F28" s="164">
        <f t="shared" ref="F28:M28" si="13">RPIA</f>
        <v>1.1666890673736021</v>
      </c>
      <c r="G28" s="164">
        <f t="shared" si="13"/>
        <v>1.1895563269638081</v>
      </c>
      <c r="H28" s="164">
        <f t="shared" si="13"/>
        <v>1.2023757108362261</v>
      </c>
      <c r="I28" s="164">
        <f t="shared" si="13"/>
        <v>1.2281396135646323</v>
      </c>
      <c r="J28" s="164">
        <f t="shared" si="13"/>
        <v>1.2740965949380583</v>
      </c>
      <c r="K28" s="164">
        <f t="shared" si="13"/>
        <v>1.309769334513619</v>
      </c>
      <c r="L28" s="164">
        <f t="shared" si="13"/>
        <v>1.3464431539577413</v>
      </c>
      <c r="M28" s="164">
        <f t="shared" si="13"/>
        <v>1.3841458610445527</v>
      </c>
      <c r="N28" s="343" t="s">
        <v>122</v>
      </c>
    </row>
    <row r="29" spans="1:16">
      <c r="A29" s="111" t="s">
        <v>190</v>
      </c>
      <c r="B29" s="111" t="s">
        <v>126</v>
      </c>
      <c r="C29" s="259" t="s">
        <v>117</v>
      </c>
      <c r="F29" s="164">
        <f t="shared" ref="F29:M29" si="14">PVF</f>
        <v>1.0476000000000001</v>
      </c>
      <c r="G29" s="164">
        <f t="shared" si="14"/>
        <v>1.0452999999999999</v>
      </c>
      <c r="H29" s="164">
        <f t="shared" si="14"/>
        <v>1.0432999999999999</v>
      </c>
      <c r="I29" s="164">
        <f t="shared" si="14"/>
        <v>1.0413000000000001</v>
      </c>
      <c r="J29" s="164">
        <f t="shared" si="14"/>
        <v>1.0398000000000001</v>
      </c>
      <c r="K29" s="164">
        <f t="shared" si="14"/>
        <v>1.0379</v>
      </c>
      <c r="L29" s="164">
        <f t="shared" si="14"/>
        <v>1.0369999999999999</v>
      </c>
      <c r="M29" s="164">
        <f t="shared" si="14"/>
        <v>1.0369999999999999</v>
      </c>
      <c r="N29" s="343" t="s">
        <v>126</v>
      </c>
    </row>
    <row r="30" spans="1:16">
      <c r="A30" s="111" t="s">
        <v>346</v>
      </c>
      <c r="B30" s="111" t="s">
        <v>116</v>
      </c>
      <c r="C30" s="259" t="s">
        <v>117</v>
      </c>
      <c r="F30" s="164">
        <f t="shared" ref="F30:M30" si="15">RPIF</f>
        <v>1.1630161697108456</v>
      </c>
      <c r="G30" s="164">
        <f t="shared" si="15"/>
        <v>1.2050819527256253</v>
      </c>
      <c r="H30" s="164">
        <f t="shared" si="15"/>
        <v>1.2266493019576674</v>
      </c>
      <c r="I30" s="164">
        <f t="shared" si="15"/>
        <v>1.2327329838381795</v>
      </c>
      <c r="J30" s="164">
        <f t="shared" si="15"/>
        <v>1.2709189417960116</v>
      </c>
      <c r="K30" s="164">
        <f t="shared" si="15"/>
        <v>1.3140238772935624</v>
      </c>
      <c r="L30" s="164">
        <f t="shared" si="15"/>
        <v>1.3585865587485577</v>
      </c>
      <c r="M30" s="164">
        <f t="shared" si="15"/>
        <v>1.309769334513619</v>
      </c>
      <c r="N30" s="343" t="s">
        <v>116</v>
      </c>
    </row>
    <row r="31" spans="1:16">
      <c r="A31" s="111" t="s">
        <v>27</v>
      </c>
      <c r="B31" s="111" t="s">
        <v>264</v>
      </c>
      <c r="C31" s="259" t="s">
        <v>1</v>
      </c>
      <c r="F31" s="225">
        <f>SUM(F20)</f>
        <v>0.47198999999999997</v>
      </c>
      <c r="G31" s="234"/>
      <c r="H31" s="225">
        <f>MAX(H21*(F22-F23)*F24,-H25*(F26+F27)/F28)*F29*G29*H30</f>
        <v>1.6747013254645526</v>
      </c>
      <c r="I31" s="225">
        <f t="shared" ref="I31:M31" si="16">MAX(I21*(G22-G23)*G24,-I25*(G26+G27)/G28)*G29*H29*I30</f>
        <v>1.6336661706856228</v>
      </c>
      <c r="J31" s="225">
        <f t="shared" si="16"/>
        <v>1.6568537470876541</v>
      </c>
      <c r="K31" s="225">
        <f t="shared" si="16"/>
        <v>1.7073013528201595</v>
      </c>
      <c r="L31" s="225">
        <f t="shared" si="16"/>
        <v>1.7377162115558735</v>
      </c>
      <c r="M31" s="225">
        <f t="shared" si="16"/>
        <v>1.6707647374298991</v>
      </c>
      <c r="N31" s="343" t="s">
        <v>264</v>
      </c>
    </row>
    <row r="32" spans="1:16">
      <c r="A32" s="145"/>
      <c r="C32" s="259"/>
      <c r="F32" s="118"/>
      <c r="G32" s="118"/>
      <c r="H32" s="118"/>
      <c r="I32" s="118"/>
      <c r="J32" s="118"/>
      <c r="K32" s="118"/>
      <c r="N32" s="332"/>
    </row>
    <row r="33" spans="1:15">
      <c r="A33" s="131"/>
      <c r="B33" s="131"/>
      <c r="C33" s="262"/>
      <c r="D33" s="131"/>
      <c r="E33" s="131"/>
      <c r="F33" s="118"/>
      <c r="G33" s="118"/>
      <c r="H33" s="234"/>
      <c r="I33" s="118"/>
      <c r="J33" s="118"/>
      <c r="K33" s="118"/>
      <c r="L33" s="131"/>
      <c r="M33" s="131"/>
      <c r="N33" s="332"/>
    </row>
    <row r="34" spans="1:15">
      <c r="A34" s="131" t="s">
        <v>401</v>
      </c>
      <c r="B34" s="131"/>
      <c r="C34" s="262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332"/>
    </row>
    <row r="35" spans="1:15" ht="14.25">
      <c r="A35" s="131"/>
      <c r="B35" s="131"/>
      <c r="C35" s="262"/>
      <c r="D35" s="131"/>
      <c r="E35" s="131"/>
      <c r="F35" s="146">
        <v>2014</v>
      </c>
      <c r="G35" s="131"/>
      <c r="H35" s="131"/>
      <c r="I35" s="131"/>
      <c r="J35" s="131"/>
      <c r="K35" s="131"/>
      <c r="L35" s="131"/>
      <c r="M35" s="131"/>
      <c r="N35" s="332"/>
    </row>
    <row r="36" spans="1:15" ht="13.5">
      <c r="A36" s="115" t="s">
        <v>61</v>
      </c>
      <c r="B36" s="115" t="s">
        <v>402</v>
      </c>
      <c r="C36" s="262" t="s">
        <v>1</v>
      </c>
      <c r="D36" s="115"/>
      <c r="E36" s="131"/>
      <c r="F36" s="237">
        <f>'R6 Base revenue'!F12</f>
        <v>121.5805473654021</v>
      </c>
      <c r="G36" s="113"/>
      <c r="H36" s="113"/>
      <c r="I36" s="131"/>
      <c r="J36" s="131"/>
      <c r="K36" s="131"/>
      <c r="L36" s="131"/>
      <c r="M36" s="131"/>
      <c r="N36" s="332"/>
    </row>
    <row r="37" spans="1:15" ht="13.5">
      <c r="A37" s="115" t="s">
        <v>403</v>
      </c>
      <c r="B37" s="115" t="s">
        <v>404</v>
      </c>
      <c r="C37" s="262" t="s">
        <v>1</v>
      </c>
      <c r="D37" s="115"/>
      <c r="E37" s="131"/>
      <c r="F37" s="237">
        <f>'R6 Base revenue'!E50</f>
        <v>94.397999999999996</v>
      </c>
      <c r="G37" s="113"/>
      <c r="H37" s="113"/>
      <c r="I37" s="131"/>
      <c r="J37" s="131"/>
      <c r="K37" s="131"/>
      <c r="L37" s="131"/>
      <c r="M37" s="131"/>
      <c r="N37" s="332"/>
    </row>
    <row r="38" spans="1:15" ht="13.5">
      <c r="A38" s="115"/>
      <c r="B38" s="115"/>
      <c r="C38" s="262"/>
      <c r="D38" s="115"/>
      <c r="E38" s="131"/>
      <c r="F38" s="238"/>
      <c r="G38" s="113"/>
      <c r="H38" s="113"/>
      <c r="I38" s="131"/>
      <c r="J38" s="131"/>
      <c r="K38" s="131"/>
      <c r="L38" s="131"/>
      <c r="M38" s="131"/>
      <c r="N38" s="332"/>
      <c r="O38" s="273"/>
    </row>
    <row r="39" spans="1:15" ht="13.5">
      <c r="A39" s="147" t="s">
        <v>405</v>
      </c>
      <c r="B39" s="115"/>
      <c r="C39" s="262"/>
      <c r="D39" s="115"/>
      <c r="E39" s="131"/>
      <c r="F39" s="238"/>
      <c r="G39" s="113"/>
      <c r="H39" s="113"/>
      <c r="I39" s="131"/>
      <c r="J39" s="131"/>
      <c r="K39" s="131"/>
      <c r="L39" s="131"/>
      <c r="M39" s="131"/>
      <c r="N39" s="332"/>
    </row>
    <row r="40" spans="1:15" ht="13.5">
      <c r="A40" s="115"/>
      <c r="B40" s="115"/>
      <c r="C40" s="262"/>
      <c r="D40" s="115"/>
      <c r="E40" s="131"/>
      <c r="F40" s="238"/>
      <c r="G40" s="113"/>
      <c r="H40" s="113"/>
      <c r="I40" s="131"/>
      <c r="J40" s="131"/>
      <c r="K40" s="131"/>
      <c r="L40" s="131"/>
      <c r="M40" s="131"/>
      <c r="N40" s="332"/>
    </row>
    <row r="41" spans="1:15" ht="13.5">
      <c r="A41" s="115" t="s">
        <v>406</v>
      </c>
      <c r="B41" s="115" t="s">
        <v>395</v>
      </c>
      <c r="C41" s="262" t="s">
        <v>105</v>
      </c>
      <c r="D41" s="148"/>
      <c r="E41" s="131"/>
      <c r="F41" s="374">
        <f>'R4 Licence Condition Values'!F31</f>
        <v>5.0000000000000001E-3</v>
      </c>
      <c r="G41" s="113"/>
      <c r="H41" s="113"/>
      <c r="I41" s="131"/>
      <c r="J41" s="131"/>
      <c r="K41" s="131"/>
      <c r="L41" s="131"/>
      <c r="M41" s="131"/>
      <c r="N41" s="332"/>
    </row>
    <row r="42" spans="1:15" ht="13.5">
      <c r="A42" s="115" t="s">
        <v>407</v>
      </c>
      <c r="B42" s="115" t="s">
        <v>201</v>
      </c>
      <c r="C42" s="262" t="s">
        <v>105</v>
      </c>
      <c r="D42" s="148"/>
      <c r="E42" s="131"/>
      <c r="F42" s="374">
        <f>'R4 Licence Condition Values'!F32</f>
        <v>-7.4999999999999997E-3</v>
      </c>
      <c r="G42" s="113"/>
      <c r="H42" s="113"/>
      <c r="I42" s="131"/>
      <c r="J42" s="131"/>
      <c r="K42" s="131"/>
      <c r="L42" s="131"/>
      <c r="M42" s="131"/>
      <c r="N42" s="332"/>
      <c r="O42" s="273"/>
    </row>
    <row r="43" spans="1:15" ht="13.5">
      <c r="A43" s="115" t="s">
        <v>408</v>
      </c>
      <c r="B43" s="115" t="s">
        <v>393</v>
      </c>
      <c r="C43" s="262" t="s">
        <v>415</v>
      </c>
      <c r="D43" s="148"/>
      <c r="E43" s="131"/>
      <c r="F43" s="149">
        <f>'R4 Licence Condition Values'!F29</f>
        <v>12</v>
      </c>
      <c r="G43" s="113"/>
      <c r="H43" s="113"/>
      <c r="I43" s="131"/>
      <c r="J43" s="131"/>
      <c r="K43" s="131"/>
      <c r="L43" s="131"/>
      <c r="M43" s="131"/>
      <c r="N43" s="332"/>
    </row>
    <row r="44" spans="1:15" ht="13.5">
      <c r="A44" s="115" t="s">
        <v>409</v>
      </c>
      <c r="B44" s="115" t="s">
        <v>398</v>
      </c>
      <c r="C44" s="262" t="s">
        <v>415</v>
      </c>
      <c r="D44" s="148"/>
      <c r="E44" s="131"/>
      <c r="F44" s="149">
        <f>'R4 Licence Condition Values'!F34</f>
        <v>27</v>
      </c>
      <c r="G44" s="113"/>
      <c r="H44" s="113"/>
      <c r="I44" s="131"/>
      <c r="J44" s="131"/>
      <c r="K44" s="131"/>
      <c r="L44" s="131"/>
      <c r="M44" s="131"/>
      <c r="N44" s="332"/>
    </row>
    <row r="45" spans="1:15" ht="13.5">
      <c r="A45" s="115" t="s">
        <v>410</v>
      </c>
      <c r="B45" s="115" t="s">
        <v>400</v>
      </c>
      <c r="C45" s="262" t="s">
        <v>415</v>
      </c>
      <c r="D45" s="148"/>
      <c r="E45" s="131"/>
      <c r="F45" s="149">
        <f>'R5 Input page'!F68</f>
        <v>0</v>
      </c>
      <c r="G45" s="113"/>
      <c r="H45" s="113"/>
      <c r="I45" s="131"/>
      <c r="J45" s="131"/>
      <c r="K45" s="131"/>
      <c r="L45" s="131"/>
      <c r="M45" s="131"/>
      <c r="N45" s="332"/>
    </row>
    <row r="46" spans="1:15" ht="13.5">
      <c r="A46" s="115" t="s">
        <v>411</v>
      </c>
      <c r="B46" s="115" t="s">
        <v>391</v>
      </c>
      <c r="C46" s="262" t="s">
        <v>415</v>
      </c>
      <c r="D46" s="148"/>
      <c r="E46" s="131"/>
      <c r="F46" s="149">
        <f>'R4 Licence Condition Values'!F28</f>
        <v>10</v>
      </c>
      <c r="G46" s="113"/>
      <c r="H46" s="113"/>
      <c r="I46" s="131"/>
      <c r="J46" s="131"/>
      <c r="K46" s="131"/>
      <c r="L46" s="131"/>
      <c r="M46" s="131"/>
      <c r="N46" s="332"/>
    </row>
    <row r="47" spans="1:15" ht="13.5">
      <c r="A47" s="115"/>
      <c r="B47" s="115"/>
      <c r="C47" s="262"/>
      <c r="D47" s="131"/>
      <c r="E47" s="131"/>
      <c r="F47" s="238"/>
      <c r="G47" s="113"/>
      <c r="H47" s="113"/>
      <c r="I47" s="131"/>
      <c r="J47" s="131"/>
      <c r="K47" s="131"/>
      <c r="L47" s="131"/>
      <c r="M47" s="131"/>
      <c r="N47" s="332"/>
    </row>
    <row r="48" spans="1:15" ht="13.5">
      <c r="A48" s="115"/>
      <c r="B48" s="115"/>
      <c r="C48" s="262"/>
      <c r="D48" s="148"/>
      <c r="E48" s="131"/>
      <c r="F48" s="238"/>
      <c r="L48" s="131"/>
      <c r="M48" s="131"/>
      <c r="N48" s="332"/>
    </row>
    <row r="49" spans="1:17" ht="13.15">
      <c r="A49" s="115" t="s">
        <v>412</v>
      </c>
      <c r="B49" s="115" t="s">
        <v>413</v>
      </c>
      <c r="C49" s="262" t="s">
        <v>105</v>
      </c>
      <c r="D49" s="148"/>
      <c r="E49" s="131"/>
      <c r="F49" s="239">
        <f>IF(F45&lt;F46,F41*((F46-F45)/F46),IF(F45&gt;F43,MAX(F42,F42*((F45-F43)/(F44-F43))),0))</f>
        <v>5.0000000000000001E-3</v>
      </c>
      <c r="L49" s="131"/>
      <c r="M49" s="131"/>
      <c r="N49" s="332"/>
    </row>
    <row r="50" spans="1:17" ht="13.5">
      <c r="A50" s="115"/>
      <c r="B50" s="115"/>
      <c r="C50" s="262"/>
      <c r="D50" s="148"/>
      <c r="E50" s="113"/>
      <c r="F50" s="224"/>
      <c r="G50" s="118"/>
      <c r="H50" s="118"/>
      <c r="I50" s="118"/>
      <c r="J50" s="118"/>
      <c r="K50" s="118"/>
      <c r="L50" s="131"/>
      <c r="M50" s="131"/>
      <c r="N50" s="332"/>
    </row>
    <row r="51" spans="1:17" ht="13.15">
      <c r="A51" s="115" t="s">
        <v>414</v>
      </c>
      <c r="B51" s="115" t="s">
        <v>264</v>
      </c>
      <c r="C51" s="261" t="s">
        <v>1</v>
      </c>
      <c r="D51" s="148"/>
      <c r="E51" s="131"/>
      <c r="F51" s="239">
        <f>F37*F49</f>
        <v>0.47198999999999997</v>
      </c>
      <c r="G51" s="118"/>
      <c r="H51" s="118"/>
      <c r="I51" s="118"/>
      <c r="J51" s="118"/>
      <c r="K51" s="118"/>
      <c r="L51" s="131"/>
      <c r="M51" s="131"/>
      <c r="N51" s="332"/>
    </row>
    <row r="52" spans="1:17">
      <c r="A52" s="131"/>
      <c r="B52" s="131"/>
      <c r="C52" s="262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332"/>
    </row>
    <row r="53" spans="1:17" ht="13.5">
      <c r="A53" s="116" t="s">
        <v>28</v>
      </c>
      <c r="B53" s="131"/>
      <c r="C53" s="262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332"/>
    </row>
    <row r="54" spans="1:17">
      <c r="A54" s="131"/>
      <c r="B54" s="131"/>
      <c r="C54" s="262"/>
      <c r="D54" s="131"/>
      <c r="E54" s="131"/>
      <c r="F54" s="131"/>
      <c r="G54" s="131"/>
      <c r="H54" s="131"/>
      <c r="I54" s="131"/>
      <c r="J54" s="131"/>
      <c r="K54" s="131"/>
      <c r="L54" s="118"/>
      <c r="M54" s="131"/>
      <c r="N54" s="332"/>
    </row>
    <row r="55" spans="1:17" ht="21.75" customHeight="1">
      <c r="A55" s="144" t="s">
        <v>347</v>
      </c>
      <c r="B55" s="131"/>
      <c r="C55" s="262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332"/>
    </row>
    <row r="56" spans="1:17" ht="14.25">
      <c r="A56" s="144" t="s">
        <v>464</v>
      </c>
      <c r="B56" s="131"/>
      <c r="C56" s="262"/>
      <c r="D56" s="131"/>
      <c r="E56" s="131"/>
      <c r="F56" s="112">
        <v>2014</v>
      </c>
      <c r="G56" s="112">
        <v>2015</v>
      </c>
      <c r="H56" s="112">
        <v>2016</v>
      </c>
      <c r="I56" s="112">
        <v>2017</v>
      </c>
      <c r="J56" s="112">
        <v>2018</v>
      </c>
      <c r="K56" s="112">
        <v>2019</v>
      </c>
      <c r="L56" s="112">
        <v>2020</v>
      </c>
      <c r="M56" s="112">
        <v>2021</v>
      </c>
      <c r="N56" s="332"/>
    </row>
    <row r="57" spans="1:17">
      <c r="A57" s="131" t="s">
        <v>43</v>
      </c>
      <c r="B57" s="131" t="s">
        <v>208</v>
      </c>
      <c r="C57" s="262"/>
      <c r="D57" s="131"/>
      <c r="E57" s="131"/>
      <c r="F57" s="240">
        <f t="shared" ref="F57:M57" si="17">IF(SER&lt;F68*SERLIMIT,SER,F68*SERLIMIT)</f>
        <v>0</v>
      </c>
      <c r="G57" s="240">
        <f t="shared" si="17"/>
        <v>0</v>
      </c>
      <c r="H57" s="240">
        <f t="shared" si="17"/>
        <v>0</v>
      </c>
      <c r="I57" s="240">
        <f t="shared" si="17"/>
        <v>0</v>
      </c>
      <c r="J57" s="240">
        <f t="shared" si="17"/>
        <v>0</v>
      </c>
      <c r="K57" s="240">
        <f t="shared" si="17"/>
        <v>0</v>
      </c>
      <c r="L57" s="240">
        <f t="shared" si="17"/>
        <v>0</v>
      </c>
      <c r="M57" s="240">
        <f t="shared" si="17"/>
        <v>0</v>
      </c>
      <c r="N57" s="343" t="s">
        <v>208</v>
      </c>
    </row>
    <row r="58" spans="1:17">
      <c r="A58" s="111" t="s">
        <v>44</v>
      </c>
      <c r="B58" s="111" t="s">
        <v>301</v>
      </c>
      <c r="C58" s="259"/>
      <c r="F58" s="164">
        <f>SSI</f>
        <v>0</v>
      </c>
      <c r="G58" s="164">
        <f t="shared" ref="G58:M58" si="18">SSI</f>
        <v>0</v>
      </c>
      <c r="H58" s="164">
        <f t="shared" si="18"/>
        <v>0</v>
      </c>
      <c r="I58" s="164">
        <f t="shared" si="18"/>
        <v>-2.3187336875031623</v>
      </c>
      <c r="J58" s="164">
        <f t="shared" si="18"/>
        <v>-2.6693525338246045</v>
      </c>
      <c r="K58" s="164">
        <f t="shared" si="18"/>
        <v>-3.0667653586833334</v>
      </c>
      <c r="L58" s="164">
        <f t="shared" si="18"/>
        <v>-3.19093712713532</v>
      </c>
      <c r="M58" s="164">
        <f t="shared" si="18"/>
        <v>-2.1299199023188646</v>
      </c>
      <c r="N58" s="343" t="s">
        <v>301</v>
      </c>
    </row>
    <row r="59" spans="1:17">
      <c r="A59" s="111" t="s">
        <v>207</v>
      </c>
      <c r="B59" s="111" t="s">
        <v>352</v>
      </c>
      <c r="C59" s="262" t="s">
        <v>105</v>
      </c>
      <c r="F59" s="164">
        <f>It</f>
        <v>0.5</v>
      </c>
      <c r="G59" s="164">
        <f t="shared" ref="G59:M59" si="19">It</f>
        <v>0.5</v>
      </c>
      <c r="H59" s="164">
        <f t="shared" si="19"/>
        <v>0.5</v>
      </c>
      <c r="I59" s="164">
        <f t="shared" si="19"/>
        <v>0.34</v>
      </c>
      <c r="J59" s="164">
        <f t="shared" si="19"/>
        <v>0.35</v>
      </c>
      <c r="K59" s="164">
        <f t="shared" si="19"/>
        <v>0.67</v>
      </c>
      <c r="L59" s="164">
        <f t="shared" si="19"/>
        <v>0</v>
      </c>
      <c r="M59" s="164">
        <f t="shared" si="19"/>
        <v>0</v>
      </c>
      <c r="N59" s="343" t="s">
        <v>32</v>
      </c>
      <c r="Q59" s="157"/>
    </row>
    <row r="60" spans="1:17">
      <c r="A60" s="111" t="s">
        <v>28</v>
      </c>
      <c r="B60" s="111" t="s">
        <v>348</v>
      </c>
      <c r="C60" s="259"/>
      <c r="F60" s="219"/>
      <c r="G60" s="219"/>
      <c r="H60" s="225">
        <f>SUM(F57:F58)*(1+F59/100)*(1+G59/100)</f>
        <v>0</v>
      </c>
      <c r="I60" s="225">
        <f t="shared" ref="I60:M60" si="20">SUM(G57:G58)*(1+G59/100)*(1+H59/100)</f>
        <v>0</v>
      </c>
      <c r="J60" s="225">
        <f t="shared" si="20"/>
        <v>0</v>
      </c>
      <c r="K60" s="225">
        <f t="shared" si="20"/>
        <v>-2.3347605428778153</v>
      </c>
      <c r="L60" s="225">
        <f t="shared" si="20"/>
        <v>-2.6966425259865336</v>
      </c>
      <c r="M60" s="225">
        <f t="shared" si="20"/>
        <v>-3.0873126865865115</v>
      </c>
      <c r="N60" s="343" t="s">
        <v>348</v>
      </c>
    </row>
    <row r="61" spans="1:17">
      <c r="C61" s="259"/>
      <c r="H61" s="118"/>
      <c r="N61" s="332"/>
    </row>
    <row r="62" spans="1:17">
      <c r="C62" s="259"/>
      <c r="H62" s="118"/>
      <c r="N62" s="332"/>
    </row>
    <row r="63" spans="1:17" s="273" customFormat="1" ht="17.649999999999999">
      <c r="A63" s="330" t="s">
        <v>302</v>
      </c>
      <c r="B63" s="131"/>
      <c r="C63" s="262"/>
      <c r="D63" s="319"/>
      <c r="E63" s="131"/>
      <c r="F63" s="320" t="s">
        <v>580</v>
      </c>
      <c r="L63" s="118"/>
      <c r="N63" s="332"/>
    </row>
    <row r="64" spans="1:17" s="273" customFormat="1">
      <c r="A64" s="330" t="s">
        <v>465</v>
      </c>
      <c r="B64" s="131"/>
      <c r="C64" s="262"/>
      <c r="D64" s="131"/>
      <c r="E64" s="131"/>
      <c r="F64" s="131"/>
      <c r="N64" s="332"/>
    </row>
    <row r="65" spans="1:15" s="273" customFormat="1" ht="14.25">
      <c r="A65" s="331"/>
      <c r="B65" s="131"/>
      <c r="C65" s="262"/>
      <c r="D65" s="131"/>
      <c r="E65" s="131"/>
      <c r="F65" s="146">
        <v>2014</v>
      </c>
      <c r="G65" s="112">
        <v>2015</v>
      </c>
      <c r="H65" s="112">
        <v>2016</v>
      </c>
      <c r="I65" s="112">
        <v>2017</v>
      </c>
      <c r="J65" s="112">
        <v>2018</v>
      </c>
      <c r="K65" s="112">
        <v>2019</v>
      </c>
      <c r="L65" s="112">
        <v>2020</v>
      </c>
      <c r="M65" s="112">
        <v>2021</v>
      </c>
      <c r="N65" s="332"/>
    </row>
    <row r="66" spans="1:15" s="273" customFormat="1">
      <c r="A66" s="331" t="s">
        <v>203</v>
      </c>
      <c r="B66" s="131" t="s">
        <v>297</v>
      </c>
      <c r="C66" s="276" t="s">
        <v>1</v>
      </c>
      <c r="D66" s="131"/>
      <c r="E66" s="131"/>
      <c r="F66" s="321">
        <f t="shared" ref="F66:M66" si="21">BR</f>
        <v>121.5805473654021</v>
      </c>
      <c r="G66" s="322">
        <f t="shared" si="21"/>
        <v>144.88183369376085</v>
      </c>
      <c r="H66" s="322">
        <f t="shared" si="21"/>
        <v>257.33707831815008</v>
      </c>
      <c r="I66" s="322">
        <f t="shared" si="21"/>
        <v>257.63707638924029</v>
      </c>
      <c r="J66" s="322">
        <f t="shared" si="21"/>
        <v>212.33853452570145</v>
      </c>
      <c r="K66" s="322">
        <f t="shared" si="21"/>
        <v>256.82229984453886</v>
      </c>
      <c r="L66" s="322">
        <f t="shared" si="21"/>
        <v>271.06517550609101</v>
      </c>
      <c r="M66" s="322">
        <f t="shared" si="21"/>
        <v>159.34814995953684</v>
      </c>
      <c r="N66" s="343" t="s">
        <v>297</v>
      </c>
    </row>
    <row r="67" spans="1:15" s="273" customFormat="1">
      <c r="A67" s="331" t="s">
        <v>204</v>
      </c>
      <c r="B67" s="131" t="s">
        <v>136</v>
      </c>
      <c r="C67" s="276" t="s">
        <v>1</v>
      </c>
      <c r="D67" s="131"/>
      <c r="E67" s="131"/>
      <c r="F67" s="321">
        <f t="shared" ref="F67:M67" si="22">TIRG</f>
        <v>43.13029648352763</v>
      </c>
      <c r="G67" s="322">
        <f t="shared" si="22"/>
        <v>45.642498240794303</v>
      </c>
      <c r="H67" s="322">
        <f t="shared" si="22"/>
        <v>44.861665942027251</v>
      </c>
      <c r="I67" s="322">
        <f t="shared" si="22"/>
        <v>0</v>
      </c>
      <c r="J67" s="322">
        <f t="shared" si="22"/>
        <v>84.256191454810178</v>
      </c>
      <c r="K67" s="322">
        <f t="shared" si="22"/>
        <v>83.929406675831544</v>
      </c>
      <c r="L67" s="322">
        <f t="shared" si="22"/>
        <v>83.48339417561121</v>
      </c>
      <c r="M67" s="322">
        <f t="shared" si="22"/>
        <v>77.309616964781469</v>
      </c>
      <c r="N67" s="343" t="s">
        <v>136</v>
      </c>
    </row>
    <row r="68" spans="1:15" s="273" customFormat="1">
      <c r="A68" s="331"/>
      <c r="B68" s="131" t="s">
        <v>85</v>
      </c>
      <c r="C68" s="276" t="s">
        <v>1</v>
      </c>
      <c r="D68" s="131"/>
      <c r="E68" s="131"/>
      <c r="F68" s="323">
        <f>F66+F67</f>
        <v>164.71084384892973</v>
      </c>
      <c r="G68" s="324">
        <f t="shared" ref="G68:M68" si="23">G66+G67</f>
        <v>190.52433193455516</v>
      </c>
      <c r="H68" s="324">
        <f t="shared" si="23"/>
        <v>302.19874426017731</v>
      </c>
      <c r="I68" s="324">
        <f t="shared" si="23"/>
        <v>257.63707638924029</v>
      </c>
      <c r="J68" s="324">
        <f t="shared" si="23"/>
        <v>296.59472598051161</v>
      </c>
      <c r="K68" s="324">
        <f t="shared" si="23"/>
        <v>340.75170652037042</v>
      </c>
      <c r="L68" s="324">
        <f t="shared" si="23"/>
        <v>354.54856968170225</v>
      </c>
      <c r="M68" s="324">
        <f t="shared" si="23"/>
        <v>236.65776692431831</v>
      </c>
      <c r="N68" s="343"/>
    </row>
    <row r="69" spans="1:15" s="273" customFormat="1">
      <c r="A69" s="331" t="s">
        <v>566</v>
      </c>
      <c r="B69" s="131" t="s">
        <v>547</v>
      </c>
      <c r="C69" s="276" t="s">
        <v>117</v>
      </c>
      <c r="D69" s="131"/>
      <c r="E69" s="131"/>
      <c r="F69" s="321">
        <f t="shared" ref="F69:M69" si="24">SSPRO</f>
        <v>0</v>
      </c>
      <c r="G69" s="321">
        <f t="shared" si="24"/>
        <v>0</v>
      </c>
      <c r="H69" s="321">
        <f t="shared" si="24"/>
        <v>0</v>
      </c>
      <c r="I69" s="321">
        <f t="shared" si="24"/>
        <v>0.6</v>
      </c>
      <c r="J69" s="321">
        <f t="shared" si="24"/>
        <v>0.6</v>
      </c>
      <c r="K69" s="321">
        <f t="shared" si="24"/>
        <v>0.6</v>
      </c>
      <c r="L69" s="321">
        <f t="shared" si="24"/>
        <v>0.6</v>
      </c>
      <c r="M69" s="321">
        <f t="shared" si="24"/>
        <v>0.6</v>
      </c>
      <c r="N69" s="343" t="s">
        <v>547</v>
      </c>
    </row>
    <row r="70" spans="1:15" s="273" customFormat="1">
      <c r="A70" s="331" t="s">
        <v>205</v>
      </c>
      <c r="B70" s="131" t="s">
        <v>303</v>
      </c>
      <c r="C70" s="276" t="s">
        <v>117</v>
      </c>
      <c r="D70" s="131"/>
      <c r="E70" s="131"/>
      <c r="F70" s="321">
        <f t="shared" ref="F70:M70" si="25">SS</f>
        <v>0</v>
      </c>
      <c r="G70" s="321">
        <f t="shared" si="25"/>
        <v>0</v>
      </c>
      <c r="H70" s="321">
        <f t="shared" si="25"/>
        <v>0</v>
      </c>
      <c r="I70" s="321">
        <f t="shared" si="25"/>
        <v>-1</v>
      </c>
      <c r="J70" s="321">
        <f t="shared" si="25"/>
        <v>-1</v>
      </c>
      <c r="K70" s="321">
        <f t="shared" si="25"/>
        <v>-1</v>
      </c>
      <c r="L70" s="321">
        <f t="shared" si="25"/>
        <v>-1</v>
      </c>
      <c r="M70" s="321">
        <f t="shared" si="25"/>
        <v>-1</v>
      </c>
      <c r="N70" s="343" t="s">
        <v>303</v>
      </c>
    </row>
    <row r="71" spans="1:15" s="273" customFormat="1">
      <c r="A71" s="331"/>
      <c r="B71" s="131" t="s">
        <v>206</v>
      </c>
      <c r="C71" s="276" t="s">
        <v>117</v>
      </c>
      <c r="D71" s="131"/>
      <c r="E71" s="131"/>
      <c r="F71" s="325">
        <f>F69*F70</f>
        <v>0</v>
      </c>
      <c r="G71" s="326">
        <f t="shared" ref="G71:M71" si="26">G69*G70</f>
        <v>0</v>
      </c>
      <c r="H71" s="326">
        <f t="shared" si="26"/>
        <v>0</v>
      </c>
      <c r="I71" s="326">
        <f t="shared" si="26"/>
        <v>-0.6</v>
      </c>
      <c r="J71" s="326">
        <f t="shared" si="26"/>
        <v>-0.6</v>
      </c>
      <c r="K71" s="326">
        <f t="shared" si="26"/>
        <v>-0.6</v>
      </c>
      <c r="L71" s="326">
        <f t="shared" si="26"/>
        <v>-0.6</v>
      </c>
      <c r="M71" s="326">
        <f t="shared" si="26"/>
        <v>-0.6</v>
      </c>
      <c r="N71" s="343"/>
    </row>
    <row r="72" spans="1:15" s="273" customFormat="1">
      <c r="A72" s="331" t="s">
        <v>566</v>
      </c>
      <c r="B72" s="131" t="s">
        <v>561</v>
      </c>
      <c r="C72" s="276" t="s">
        <v>117</v>
      </c>
      <c r="D72" s="131"/>
      <c r="E72" s="131"/>
      <c r="F72" s="321">
        <f t="shared" ref="F72:M72" si="27">SKPIPRO</f>
        <v>0</v>
      </c>
      <c r="G72" s="321">
        <f t="shared" si="27"/>
        <v>0</v>
      </c>
      <c r="H72" s="321">
        <f t="shared" si="27"/>
        <v>0</v>
      </c>
      <c r="I72" s="321">
        <f t="shared" si="27"/>
        <v>0.3</v>
      </c>
      <c r="J72" s="321">
        <f t="shared" si="27"/>
        <v>0.3</v>
      </c>
      <c r="K72" s="321">
        <f t="shared" si="27"/>
        <v>0.3</v>
      </c>
      <c r="L72" s="321">
        <f t="shared" si="27"/>
        <v>0.3</v>
      </c>
      <c r="M72" s="321">
        <f t="shared" si="27"/>
        <v>0.3</v>
      </c>
      <c r="N72" s="343" t="s">
        <v>561</v>
      </c>
    </row>
    <row r="73" spans="1:15" s="273" customFormat="1">
      <c r="A73" s="331" t="s">
        <v>205</v>
      </c>
      <c r="B73" s="131" t="s">
        <v>304</v>
      </c>
      <c r="C73" s="276" t="s">
        <v>117</v>
      </c>
      <c r="D73" s="131"/>
      <c r="E73" s="131"/>
      <c r="F73" s="321">
        <f t="shared" ref="F73:M73" si="28">SKPI</f>
        <v>0</v>
      </c>
      <c r="G73" s="321">
        <f t="shared" si="28"/>
        <v>0</v>
      </c>
      <c r="H73" s="321">
        <f t="shared" si="28"/>
        <v>0</v>
      </c>
      <c r="I73" s="321">
        <f t="shared" si="28"/>
        <v>-1</v>
      </c>
      <c r="J73" s="321">
        <f t="shared" si="28"/>
        <v>-1</v>
      </c>
      <c r="K73" s="321">
        <f t="shared" si="28"/>
        <v>-1</v>
      </c>
      <c r="L73" s="321">
        <f t="shared" si="28"/>
        <v>-1</v>
      </c>
      <c r="M73" s="321">
        <f t="shared" si="28"/>
        <v>-1</v>
      </c>
      <c r="N73" s="343" t="s">
        <v>304</v>
      </c>
    </row>
    <row r="74" spans="1:15" s="273" customFormat="1">
      <c r="A74" s="331"/>
      <c r="B74" s="131" t="s">
        <v>206</v>
      </c>
      <c r="C74" s="276" t="s">
        <v>117</v>
      </c>
      <c r="D74" s="131"/>
      <c r="E74" s="131"/>
      <c r="F74" s="325">
        <f>F72*F73</f>
        <v>0</v>
      </c>
      <c r="G74" s="326">
        <f t="shared" ref="G74:M74" si="29">G72*G73</f>
        <v>0</v>
      </c>
      <c r="H74" s="326">
        <f t="shared" si="29"/>
        <v>0</v>
      </c>
      <c r="I74" s="326">
        <f t="shared" si="29"/>
        <v>-0.3</v>
      </c>
      <c r="J74" s="326">
        <f t="shared" si="29"/>
        <v>-0.3</v>
      </c>
      <c r="K74" s="326">
        <f t="shared" si="29"/>
        <v>-0.3</v>
      </c>
      <c r="L74" s="326">
        <f t="shared" si="29"/>
        <v>-0.3</v>
      </c>
      <c r="M74" s="326">
        <f t="shared" si="29"/>
        <v>-0.3</v>
      </c>
      <c r="N74" s="343"/>
    </row>
    <row r="75" spans="1:15" s="273" customFormat="1">
      <c r="A75" s="331" t="s">
        <v>566</v>
      </c>
      <c r="B75" s="131" t="s">
        <v>563</v>
      </c>
      <c r="C75" s="276" t="s">
        <v>117</v>
      </c>
      <c r="D75" s="131"/>
      <c r="E75" s="131"/>
      <c r="F75" s="321">
        <f t="shared" ref="F75:M75" si="30">SEAPRO</f>
        <v>0.1</v>
      </c>
      <c r="G75" s="321">
        <f t="shared" si="30"/>
        <v>0.1</v>
      </c>
      <c r="H75" s="321">
        <f t="shared" si="30"/>
        <v>0.1</v>
      </c>
      <c r="I75" s="321">
        <f t="shared" si="30"/>
        <v>0.1</v>
      </c>
      <c r="J75" s="321">
        <f t="shared" si="30"/>
        <v>0.1</v>
      </c>
      <c r="K75" s="321">
        <f t="shared" si="30"/>
        <v>0.1</v>
      </c>
      <c r="L75" s="321">
        <f t="shared" si="30"/>
        <v>0.1</v>
      </c>
      <c r="M75" s="321">
        <f t="shared" si="30"/>
        <v>0.1</v>
      </c>
      <c r="N75" s="343" t="s">
        <v>563</v>
      </c>
    </row>
    <row r="76" spans="1:15" s="273" customFormat="1">
      <c r="A76" s="331" t="s">
        <v>205</v>
      </c>
      <c r="B76" s="131" t="s">
        <v>305</v>
      </c>
      <c r="C76" s="276" t="s">
        <v>117</v>
      </c>
      <c r="D76" s="131"/>
      <c r="E76" s="131"/>
      <c r="F76" s="321">
        <f t="shared" ref="F76:M76" si="31">SEA</f>
        <v>0</v>
      </c>
      <c r="G76" s="321">
        <f t="shared" si="31"/>
        <v>0</v>
      </c>
      <c r="H76" s="321">
        <f t="shared" si="31"/>
        <v>0</v>
      </c>
      <c r="I76" s="321">
        <f t="shared" si="31"/>
        <v>0</v>
      </c>
      <c r="J76" s="321">
        <f t="shared" si="31"/>
        <v>0</v>
      </c>
      <c r="K76" s="321">
        <f t="shared" si="31"/>
        <v>0</v>
      </c>
      <c r="L76" s="321">
        <f t="shared" si="31"/>
        <v>0</v>
      </c>
      <c r="M76" s="321">
        <f t="shared" si="31"/>
        <v>0</v>
      </c>
      <c r="N76" s="343" t="s">
        <v>305</v>
      </c>
    </row>
    <row r="77" spans="1:15" s="273" customFormat="1">
      <c r="A77" s="331"/>
      <c r="B77" s="131" t="s">
        <v>206</v>
      </c>
      <c r="C77" s="276" t="s">
        <v>117</v>
      </c>
      <c r="D77" s="131"/>
      <c r="E77" s="131"/>
      <c r="F77" s="325">
        <f>F75*F76</f>
        <v>0</v>
      </c>
      <c r="G77" s="326">
        <f t="shared" ref="G77:M77" si="32">G75*G76</f>
        <v>0</v>
      </c>
      <c r="H77" s="326">
        <f t="shared" si="32"/>
        <v>0</v>
      </c>
      <c r="I77" s="326">
        <f t="shared" si="32"/>
        <v>0</v>
      </c>
      <c r="J77" s="326">
        <f t="shared" si="32"/>
        <v>0</v>
      </c>
      <c r="K77" s="326">
        <f t="shared" si="32"/>
        <v>0</v>
      </c>
      <c r="L77" s="326">
        <f t="shared" si="32"/>
        <v>0</v>
      </c>
      <c r="M77" s="326">
        <f t="shared" si="32"/>
        <v>0</v>
      </c>
      <c r="N77" s="332"/>
    </row>
    <row r="78" spans="1:15" s="273" customFormat="1">
      <c r="A78" s="331" t="s">
        <v>44</v>
      </c>
      <c r="B78" s="131" t="s">
        <v>301</v>
      </c>
      <c r="C78" s="276"/>
      <c r="D78" s="131"/>
      <c r="E78" s="131"/>
      <c r="F78" s="325">
        <f>0.01*(F71+F74+F77)*(F66+F67)</f>
        <v>0</v>
      </c>
      <c r="G78" s="326">
        <f>0.01*(G71+G74+G77)*(G66+G67)</f>
        <v>0</v>
      </c>
      <c r="H78" s="326">
        <f t="shared" ref="H78:M78" si="33">0.01*(H71+H74+H77)*(H66+H67)</f>
        <v>0</v>
      </c>
      <c r="I78" s="326">
        <f t="shared" si="33"/>
        <v>-2.3187336875031623</v>
      </c>
      <c r="J78" s="326">
        <f t="shared" si="33"/>
        <v>-2.6693525338246045</v>
      </c>
      <c r="K78" s="326">
        <f t="shared" si="33"/>
        <v>-3.0667653586833334</v>
      </c>
      <c r="L78" s="326">
        <f t="shared" si="33"/>
        <v>-3.19093712713532</v>
      </c>
      <c r="M78" s="326">
        <f t="shared" si="33"/>
        <v>-2.1299199023188646</v>
      </c>
      <c r="N78" s="343" t="s">
        <v>301</v>
      </c>
    </row>
    <row r="79" spans="1:15" s="273" customFormat="1">
      <c r="A79" s="331"/>
      <c r="B79" s="131"/>
      <c r="C79" s="262"/>
      <c r="D79" s="131"/>
      <c r="E79" s="131"/>
      <c r="F79" s="234"/>
      <c r="G79" s="234"/>
      <c r="H79" s="234"/>
      <c r="I79" s="234"/>
      <c r="J79" s="234"/>
      <c r="K79" s="234"/>
      <c r="L79" s="234"/>
      <c r="M79" s="234"/>
      <c r="N79" s="343"/>
    </row>
    <row r="80" spans="1:15" s="273" customFormat="1" ht="17.649999999999999">
      <c r="A80" s="331"/>
      <c r="B80" s="131"/>
      <c r="C80" s="262"/>
      <c r="D80" s="131"/>
      <c r="E80" s="131"/>
      <c r="F80" s="231" t="s">
        <v>590</v>
      </c>
      <c r="K80" s="231" t="s">
        <v>591</v>
      </c>
      <c r="N80" s="343"/>
      <c r="O80" s="332"/>
    </row>
    <row r="81" spans="1:15" s="273" customFormat="1" ht="17.649999999999999">
      <c r="A81" s="330" t="s">
        <v>567</v>
      </c>
      <c r="B81" s="131"/>
      <c r="C81" s="262"/>
      <c r="D81" s="131"/>
      <c r="E81" s="131"/>
      <c r="F81" s="155" t="s">
        <v>592</v>
      </c>
      <c r="K81" s="155" t="s">
        <v>597</v>
      </c>
      <c r="N81" s="343"/>
      <c r="O81" s="332"/>
    </row>
    <row r="82" spans="1:15" s="273" customFormat="1" ht="15.4">
      <c r="A82" s="330" t="s">
        <v>568</v>
      </c>
      <c r="B82" s="131"/>
      <c r="C82" s="262"/>
      <c r="D82" s="131"/>
      <c r="E82" s="131"/>
      <c r="F82" s="155"/>
      <c r="N82" s="343"/>
      <c r="O82" s="332"/>
    </row>
    <row r="83" spans="1:15" s="273" customFormat="1" ht="15.4">
      <c r="A83" s="331"/>
      <c r="B83" s="131"/>
      <c r="C83" s="262"/>
      <c r="D83" s="131"/>
      <c r="E83" s="131"/>
      <c r="F83" s="155"/>
      <c r="N83" s="331"/>
      <c r="O83" s="332"/>
    </row>
    <row r="84" spans="1:15" s="273" customFormat="1">
      <c r="A84" s="331" t="s">
        <v>535</v>
      </c>
      <c r="B84" s="121" t="s">
        <v>536</v>
      </c>
      <c r="C84" s="273" t="s">
        <v>537</v>
      </c>
      <c r="F84" s="139">
        <f t="shared" ref="F84:M84" si="34">SST</f>
        <v>0</v>
      </c>
      <c r="G84" s="139">
        <f t="shared" si="34"/>
        <v>0</v>
      </c>
      <c r="H84" s="139">
        <f t="shared" si="34"/>
        <v>0</v>
      </c>
      <c r="I84" s="139">
        <f t="shared" si="34"/>
        <v>7.4</v>
      </c>
      <c r="J84" s="139">
        <f t="shared" si="34"/>
        <v>7.4</v>
      </c>
      <c r="K84" s="139">
        <f t="shared" si="34"/>
        <v>7.4</v>
      </c>
      <c r="L84" s="139">
        <f t="shared" si="34"/>
        <v>7.4</v>
      </c>
      <c r="M84" s="139">
        <f t="shared" si="34"/>
        <v>7.4</v>
      </c>
      <c r="N84" s="378" t="s">
        <v>536</v>
      </c>
      <c r="O84" s="332"/>
    </row>
    <row r="85" spans="1:15" s="273" customFormat="1">
      <c r="A85" s="331" t="s">
        <v>538</v>
      </c>
      <c r="B85" s="121" t="s">
        <v>539</v>
      </c>
      <c r="C85" s="273" t="s">
        <v>537</v>
      </c>
      <c r="F85" s="139">
        <f t="shared" ref="F85:M85" si="35">SSCAP</f>
        <v>0</v>
      </c>
      <c r="G85" s="139">
        <f t="shared" si="35"/>
        <v>0</v>
      </c>
      <c r="H85" s="139">
        <f t="shared" si="35"/>
        <v>0</v>
      </c>
      <c r="I85" s="139">
        <f t="shared" si="35"/>
        <v>9</v>
      </c>
      <c r="J85" s="139">
        <f t="shared" si="35"/>
        <v>9</v>
      </c>
      <c r="K85" s="139">
        <f t="shared" si="35"/>
        <v>9</v>
      </c>
      <c r="L85" s="139">
        <f t="shared" si="35"/>
        <v>9</v>
      </c>
      <c r="M85" s="139">
        <f t="shared" si="35"/>
        <v>9</v>
      </c>
      <c r="N85" s="378" t="s">
        <v>539</v>
      </c>
      <c r="O85" s="332"/>
    </row>
    <row r="86" spans="1:15" s="273" customFormat="1">
      <c r="A86" s="331" t="s">
        <v>542</v>
      </c>
      <c r="B86" s="131" t="s">
        <v>543</v>
      </c>
      <c r="C86" s="273" t="s">
        <v>572</v>
      </c>
      <c r="F86" s="139">
        <f t="shared" ref="F86:M86" si="36">SSUPA</f>
        <v>1</v>
      </c>
      <c r="G86" s="139">
        <f t="shared" si="36"/>
        <v>1</v>
      </c>
      <c r="H86" s="139">
        <f t="shared" si="36"/>
        <v>1</v>
      </c>
      <c r="I86" s="139">
        <f t="shared" si="36"/>
        <v>1</v>
      </c>
      <c r="J86" s="139">
        <f t="shared" si="36"/>
        <v>1</v>
      </c>
      <c r="K86" s="139">
        <f t="shared" si="36"/>
        <v>1</v>
      </c>
      <c r="L86" s="139">
        <f t="shared" si="36"/>
        <v>1</v>
      </c>
      <c r="M86" s="139">
        <f t="shared" si="36"/>
        <v>1</v>
      </c>
      <c r="N86" s="343" t="s">
        <v>543</v>
      </c>
      <c r="O86" s="332"/>
    </row>
    <row r="87" spans="1:15" s="273" customFormat="1">
      <c r="A87" s="331" t="s">
        <v>540</v>
      </c>
      <c r="B87" s="121" t="s">
        <v>541</v>
      </c>
      <c r="C87" s="273" t="s">
        <v>537</v>
      </c>
      <c r="F87" s="139">
        <f t="shared" ref="F87:M87" si="37">SSCOL</f>
        <v>0</v>
      </c>
      <c r="G87" s="139">
        <f t="shared" si="37"/>
        <v>0</v>
      </c>
      <c r="H87" s="139">
        <f t="shared" si="37"/>
        <v>0</v>
      </c>
      <c r="I87" s="139">
        <f t="shared" si="37"/>
        <v>5.8</v>
      </c>
      <c r="J87" s="139">
        <f t="shared" si="37"/>
        <v>5.8</v>
      </c>
      <c r="K87" s="139">
        <f t="shared" si="37"/>
        <v>5.8</v>
      </c>
      <c r="L87" s="139">
        <f t="shared" si="37"/>
        <v>5.8</v>
      </c>
      <c r="M87" s="139">
        <f t="shared" si="37"/>
        <v>5.8</v>
      </c>
      <c r="N87" s="378" t="s">
        <v>541</v>
      </c>
      <c r="O87" s="332"/>
    </row>
    <row r="88" spans="1:15" s="273" customFormat="1">
      <c r="A88" s="331" t="s">
        <v>544</v>
      </c>
      <c r="B88" s="121" t="s">
        <v>545</v>
      </c>
      <c r="C88" s="273" t="s">
        <v>572</v>
      </c>
      <c r="F88" s="139">
        <f t="shared" ref="F88:M88" si="38">SSDPA</f>
        <v>-1</v>
      </c>
      <c r="G88" s="139">
        <f t="shared" si="38"/>
        <v>-1</v>
      </c>
      <c r="H88" s="139">
        <f t="shared" si="38"/>
        <v>-1</v>
      </c>
      <c r="I88" s="139">
        <f t="shared" si="38"/>
        <v>-1</v>
      </c>
      <c r="J88" s="139">
        <f t="shared" si="38"/>
        <v>-1</v>
      </c>
      <c r="K88" s="139">
        <f t="shared" si="38"/>
        <v>-1</v>
      </c>
      <c r="L88" s="139">
        <f t="shared" si="38"/>
        <v>-1</v>
      </c>
      <c r="M88" s="139">
        <f t="shared" si="38"/>
        <v>-1</v>
      </c>
      <c r="N88" s="378" t="s">
        <v>545</v>
      </c>
      <c r="O88" s="332"/>
    </row>
    <row r="89" spans="1:15" s="273" customFormat="1">
      <c r="A89" s="331" t="s">
        <v>569</v>
      </c>
      <c r="B89" s="121" t="s">
        <v>350</v>
      </c>
      <c r="C89" s="273" t="s">
        <v>537</v>
      </c>
      <c r="F89" s="139">
        <f t="shared" ref="F89:M89" si="39">SSC</f>
        <v>0</v>
      </c>
      <c r="G89" s="139">
        <f t="shared" si="39"/>
        <v>0</v>
      </c>
      <c r="H89" s="139">
        <f t="shared" si="39"/>
        <v>0</v>
      </c>
      <c r="I89" s="139">
        <f t="shared" si="39"/>
        <v>0</v>
      </c>
      <c r="J89" s="139">
        <f t="shared" si="39"/>
        <v>0</v>
      </c>
      <c r="K89" s="139">
        <f t="shared" si="39"/>
        <v>0</v>
      </c>
      <c r="L89" s="139">
        <f t="shared" si="39"/>
        <v>0</v>
      </c>
      <c r="M89" s="139">
        <f t="shared" si="39"/>
        <v>0</v>
      </c>
      <c r="N89" s="343" t="s">
        <v>350</v>
      </c>
      <c r="O89" s="332"/>
    </row>
    <row r="90" spans="1:15" s="273" customFormat="1">
      <c r="A90" s="331"/>
      <c r="B90" s="121" t="s">
        <v>303</v>
      </c>
      <c r="C90" s="273" t="s">
        <v>117</v>
      </c>
      <c r="D90" s="160"/>
      <c r="E90" s="160"/>
      <c r="F90" s="399"/>
      <c r="G90" s="399"/>
      <c r="H90" s="400"/>
      <c r="I90" s="327">
        <f t="shared" ref="I90:M90" si="40">IF(I89&gt;I84,MIN(I86,I86*(I89-I84)/(I85-I84)),IF(I89&lt;I84,MAX(I88,I88*(I84-I89)/(I84-I87)),0))</f>
        <v>-1</v>
      </c>
      <c r="J90" s="327">
        <f>IF(J89&gt;J84,MIN(J86,J86*(J89-J84)/(J85-J84)),IF(J89&lt;J84,MAX(J88,J88*(J84-J89)/(J84-J87)),0))</f>
        <v>-1</v>
      </c>
      <c r="K90" s="327">
        <f t="shared" si="40"/>
        <v>-1</v>
      </c>
      <c r="L90" s="327">
        <f t="shared" si="40"/>
        <v>-1</v>
      </c>
      <c r="M90" s="327">
        <f t="shared" si="40"/>
        <v>-1</v>
      </c>
      <c r="N90" s="343" t="s">
        <v>303</v>
      </c>
      <c r="O90" s="332"/>
    </row>
    <row r="91" spans="1:15" s="273" customFormat="1" ht="15.4">
      <c r="A91" s="331"/>
      <c r="B91" s="131"/>
      <c r="C91" s="262"/>
      <c r="D91" s="131"/>
      <c r="E91" s="131"/>
      <c r="F91" s="155"/>
      <c r="N91" s="343"/>
    </row>
    <row r="92" spans="1:15" s="273" customFormat="1" ht="15.4">
      <c r="A92" s="332"/>
      <c r="B92" s="131"/>
      <c r="C92" s="262"/>
      <c r="D92" s="131"/>
      <c r="E92" s="131"/>
      <c r="F92" s="155"/>
      <c r="N92" s="343"/>
    </row>
    <row r="93" spans="1:15" s="273" customFormat="1" ht="17.649999999999999">
      <c r="A93" s="330" t="s">
        <v>570</v>
      </c>
      <c r="B93" s="131"/>
      <c r="C93" s="262"/>
      <c r="D93" s="131"/>
      <c r="E93" s="131"/>
      <c r="F93" s="231" t="s">
        <v>593</v>
      </c>
      <c r="G93" s="383"/>
      <c r="H93" s="383"/>
      <c r="I93" s="383"/>
      <c r="J93" s="384"/>
      <c r="K93" s="383"/>
      <c r="L93" s="231" t="s">
        <v>595</v>
      </c>
      <c r="N93" s="332"/>
      <c r="O93" s="332"/>
    </row>
    <row r="94" spans="1:15" s="273" customFormat="1" ht="17.649999999999999">
      <c r="A94" s="330" t="s">
        <v>568</v>
      </c>
      <c r="B94" s="131"/>
      <c r="C94" s="262"/>
      <c r="D94" s="131"/>
      <c r="E94" s="131"/>
      <c r="F94" s="155" t="s">
        <v>594</v>
      </c>
      <c r="G94" s="383"/>
      <c r="H94" s="383"/>
      <c r="I94" s="383"/>
      <c r="J94" s="383"/>
      <c r="K94" s="383"/>
      <c r="L94" s="155" t="s">
        <v>596</v>
      </c>
      <c r="N94" s="332"/>
      <c r="O94" s="332"/>
    </row>
    <row r="95" spans="1:15" s="273" customFormat="1">
      <c r="A95" s="331"/>
      <c r="B95" s="131"/>
      <c r="C95" s="262"/>
      <c r="D95" s="131"/>
      <c r="E95" s="131"/>
      <c r="F95" s="131"/>
      <c r="N95" s="331"/>
      <c r="O95" s="332"/>
    </row>
    <row r="96" spans="1:15" s="273" customFormat="1">
      <c r="A96" s="331" t="s">
        <v>550</v>
      </c>
      <c r="B96" s="121" t="s">
        <v>551</v>
      </c>
      <c r="C96" s="273" t="s">
        <v>537</v>
      </c>
      <c r="F96" s="139">
        <f t="shared" ref="F96:M96" si="41">SKPIT</f>
        <v>0</v>
      </c>
      <c r="G96" s="139">
        <f t="shared" si="41"/>
        <v>0</v>
      </c>
      <c r="H96" s="139">
        <f t="shared" si="41"/>
        <v>0</v>
      </c>
      <c r="I96" s="139">
        <f t="shared" si="41"/>
        <v>89</v>
      </c>
      <c r="J96" s="139">
        <f t="shared" si="41"/>
        <v>89</v>
      </c>
      <c r="K96" s="139">
        <f t="shared" si="41"/>
        <v>89</v>
      </c>
      <c r="L96" s="139">
        <f t="shared" si="41"/>
        <v>89</v>
      </c>
      <c r="M96" s="139">
        <f t="shared" si="41"/>
        <v>89</v>
      </c>
      <c r="N96" s="343" t="s">
        <v>551</v>
      </c>
      <c r="O96" s="332"/>
    </row>
    <row r="97" spans="1:15" s="273" customFormat="1">
      <c r="A97" s="331" t="s">
        <v>552</v>
      </c>
      <c r="B97" s="121" t="s">
        <v>553</v>
      </c>
      <c r="C97" s="273" t="s">
        <v>537</v>
      </c>
      <c r="F97" s="139">
        <f t="shared" ref="F97:M97" si="42">SKPICAP</f>
        <v>0</v>
      </c>
      <c r="G97" s="139">
        <f t="shared" si="42"/>
        <v>0</v>
      </c>
      <c r="H97" s="139">
        <f t="shared" si="42"/>
        <v>0</v>
      </c>
      <c r="I97" s="139">
        <f t="shared" si="42"/>
        <v>100</v>
      </c>
      <c r="J97" s="139">
        <f t="shared" si="42"/>
        <v>100</v>
      </c>
      <c r="K97" s="139">
        <f t="shared" si="42"/>
        <v>100</v>
      </c>
      <c r="L97" s="139">
        <f t="shared" si="42"/>
        <v>100</v>
      </c>
      <c r="M97" s="139">
        <f t="shared" si="42"/>
        <v>100</v>
      </c>
      <c r="N97" s="343" t="s">
        <v>553</v>
      </c>
      <c r="O97" s="332"/>
    </row>
    <row r="98" spans="1:15" s="273" customFormat="1">
      <c r="A98" s="331" t="s">
        <v>554</v>
      </c>
      <c r="B98" s="131" t="s">
        <v>555</v>
      </c>
      <c r="C98" s="273" t="s">
        <v>572</v>
      </c>
      <c r="F98" s="139">
        <f t="shared" ref="F98:M98" si="43">SKPIUPA</f>
        <v>1</v>
      </c>
      <c r="G98" s="139">
        <f t="shared" si="43"/>
        <v>1</v>
      </c>
      <c r="H98" s="139">
        <f t="shared" si="43"/>
        <v>1</v>
      </c>
      <c r="I98" s="139">
        <f t="shared" si="43"/>
        <v>1</v>
      </c>
      <c r="J98" s="139">
        <f t="shared" si="43"/>
        <v>1</v>
      </c>
      <c r="K98" s="139">
        <f t="shared" si="43"/>
        <v>1</v>
      </c>
      <c r="L98" s="139">
        <f t="shared" si="43"/>
        <v>1</v>
      </c>
      <c r="M98" s="139">
        <f t="shared" si="43"/>
        <v>1</v>
      </c>
      <c r="N98" s="343" t="s">
        <v>555</v>
      </c>
      <c r="O98" s="332"/>
    </row>
    <row r="99" spans="1:15" s="273" customFormat="1">
      <c r="A99" s="331" t="s">
        <v>556</v>
      </c>
      <c r="B99" s="121" t="s">
        <v>557</v>
      </c>
      <c r="C99" s="273" t="s">
        <v>537</v>
      </c>
      <c r="F99" s="139">
        <f t="shared" ref="F99:M99" si="44">SKPICOL</f>
        <v>0</v>
      </c>
      <c r="G99" s="139">
        <f t="shared" si="44"/>
        <v>0</v>
      </c>
      <c r="H99" s="139">
        <f t="shared" si="44"/>
        <v>0</v>
      </c>
      <c r="I99" s="139">
        <f t="shared" si="44"/>
        <v>78</v>
      </c>
      <c r="J99" s="139">
        <f t="shared" si="44"/>
        <v>78</v>
      </c>
      <c r="K99" s="139">
        <f t="shared" si="44"/>
        <v>78</v>
      </c>
      <c r="L99" s="139">
        <f t="shared" si="44"/>
        <v>78</v>
      </c>
      <c r="M99" s="139">
        <f t="shared" si="44"/>
        <v>78</v>
      </c>
      <c r="N99" s="343" t="s">
        <v>557</v>
      </c>
      <c r="O99" s="332"/>
    </row>
    <row r="100" spans="1:15" s="273" customFormat="1">
      <c r="A100" s="331" t="s">
        <v>558</v>
      </c>
      <c r="B100" s="121" t="s">
        <v>559</v>
      </c>
      <c r="C100" s="273" t="s">
        <v>572</v>
      </c>
      <c r="F100" s="139">
        <f t="shared" ref="F100:M100" si="45">SKPIDPA</f>
        <v>-1</v>
      </c>
      <c r="G100" s="139">
        <f t="shared" si="45"/>
        <v>-1</v>
      </c>
      <c r="H100" s="139">
        <f t="shared" si="45"/>
        <v>-1</v>
      </c>
      <c r="I100" s="139">
        <f t="shared" si="45"/>
        <v>-1</v>
      </c>
      <c r="J100" s="139">
        <f t="shared" si="45"/>
        <v>-1</v>
      </c>
      <c r="K100" s="139">
        <f t="shared" si="45"/>
        <v>-1</v>
      </c>
      <c r="L100" s="139">
        <f t="shared" si="45"/>
        <v>-1</v>
      </c>
      <c r="M100" s="139">
        <f t="shared" si="45"/>
        <v>-1</v>
      </c>
      <c r="N100" s="343" t="s">
        <v>559</v>
      </c>
      <c r="O100" s="332"/>
    </row>
    <row r="101" spans="1:15" s="273" customFormat="1">
      <c r="A101" s="331" t="s">
        <v>571</v>
      </c>
      <c r="B101" s="121" t="s">
        <v>565</v>
      </c>
      <c r="C101" s="273" t="s">
        <v>537</v>
      </c>
      <c r="F101" s="139">
        <f t="shared" ref="F101:M101" si="46">SKPIC</f>
        <v>0</v>
      </c>
      <c r="G101" s="139">
        <f t="shared" si="46"/>
        <v>0</v>
      </c>
      <c r="H101" s="139">
        <f t="shared" si="46"/>
        <v>0</v>
      </c>
      <c r="I101" s="139">
        <f t="shared" si="46"/>
        <v>0</v>
      </c>
      <c r="J101" s="139">
        <f t="shared" si="46"/>
        <v>0</v>
      </c>
      <c r="K101" s="139">
        <f t="shared" si="46"/>
        <v>0</v>
      </c>
      <c r="L101" s="139">
        <f t="shared" si="46"/>
        <v>0</v>
      </c>
      <c r="M101" s="139">
        <f t="shared" si="46"/>
        <v>0</v>
      </c>
      <c r="N101" s="343" t="s">
        <v>565</v>
      </c>
      <c r="O101" s="332"/>
    </row>
    <row r="102" spans="1:15" s="273" customFormat="1">
      <c r="A102" s="331"/>
      <c r="B102" s="121" t="s">
        <v>304</v>
      </c>
      <c r="C102" s="273" t="s">
        <v>117</v>
      </c>
      <c r="D102" s="160"/>
      <c r="E102" s="160"/>
      <c r="F102" s="399"/>
      <c r="G102" s="399"/>
      <c r="H102" s="400"/>
      <c r="I102" s="327">
        <f t="shared" ref="I102" si="47">IF(I101&gt;I96,MIN(I98,I98*(I101-I96)/(I97-I96)),IF(I101&lt;I96,MAX(I100,I100*(I96-I101)/(I96-I99)),0))</f>
        <v>-1</v>
      </c>
      <c r="J102" s="327">
        <f>IF(J101&gt;J96,MIN(J98,J98*(J101-J96)/(J97-J96)),IF(J101&lt;J96,MAX(J100,J100*(J96-J101)/(J96-J99)),0))</f>
        <v>-1</v>
      </c>
      <c r="K102" s="327">
        <f t="shared" ref="K102:L102" si="48">IF(K101&gt;K96,MIN(K98,K98*(K101-K96)/(K97-K96)),IF(K101&lt;K96,MAX(K100,K100*(K96-K101)/(K96-K99)),0))</f>
        <v>-1</v>
      </c>
      <c r="L102" s="327">
        <f t="shared" si="48"/>
        <v>-1</v>
      </c>
      <c r="M102" s="327">
        <f>IF(M101&gt;M96,MIN(M98,M98*(M101-M96)/(M97-M96)),IF(M101&lt;M96,MAX(M100,M100*(M96-M101)/(M96-M99)),0))</f>
        <v>-1</v>
      </c>
      <c r="N102" s="343" t="s">
        <v>304</v>
      </c>
      <c r="O102" s="332"/>
    </row>
    <row r="103" spans="1:15" s="273" customFormat="1">
      <c r="A103" s="131"/>
      <c r="B103" s="131"/>
      <c r="C103" s="262"/>
      <c r="D103" s="131"/>
      <c r="E103" s="131"/>
      <c r="F103" s="131"/>
      <c r="N103" s="332"/>
    </row>
    <row r="104" spans="1:15">
      <c r="C104" s="259"/>
      <c r="F104" s="118"/>
      <c r="G104" s="242"/>
      <c r="H104" s="242"/>
      <c r="I104" s="242"/>
      <c r="J104" s="118"/>
      <c r="N104" s="332"/>
    </row>
    <row r="105" spans="1:15" ht="13.5">
      <c r="A105" s="152" t="s">
        <v>209</v>
      </c>
      <c r="C105" s="259"/>
      <c r="N105" s="332"/>
    </row>
    <row r="106" spans="1:15">
      <c r="A106" s="110"/>
      <c r="C106" s="259"/>
      <c r="N106" s="332"/>
    </row>
    <row r="107" spans="1:15" ht="17.649999999999999">
      <c r="A107" s="110" t="s">
        <v>45</v>
      </c>
      <c r="C107" s="259"/>
      <c r="F107" s="129" t="s">
        <v>356</v>
      </c>
      <c r="M107" s="118"/>
      <c r="N107" s="332"/>
    </row>
    <row r="108" spans="1:15" ht="14.25">
      <c r="A108" s="110" t="s">
        <v>468</v>
      </c>
      <c r="C108" s="259"/>
      <c r="F108" s="112">
        <v>2014</v>
      </c>
      <c r="G108" s="112">
        <v>2015</v>
      </c>
      <c r="H108" s="112">
        <v>2016</v>
      </c>
      <c r="I108" s="112">
        <v>2017</v>
      </c>
      <c r="J108" s="112">
        <v>2018</v>
      </c>
      <c r="K108" s="112">
        <v>2019</v>
      </c>
      <c r="L108" s="112">
        <v>2020</v>
      </c>
      <c r="M108" s="112">
        <v>2021</v>
      </c>
      <c r="N108" s="332"/>
    </row>
    <row r="109" spans="1:15">
      <c r="A109" s="111" t="s">
        <v>47</v>
      </c>
      <c r="B109" s="111" t="s">
        <v>306</v>
      </c>
      <c r="C109" s="259" t="s">
        <v>447</v>
      </c>
      <c r="F109" s="230">
        <f>F187</f>
        <v>150.69999999999999</v>
      </c>
      <c r="G109" s="230">
        <f>G187</f>
        <v>173.1</v>
      </c>
      <c r="H109" s="230">
        <f t="shared" ref="H109:M109" si="49">CTE</f>
        <v>210.7</v>
      </c>
      <c r="I109" s="230">
        <f t="shared" si="49"/>
        <v>226.1</v>
      </c>
      <c r="J109" s="230">
        <f t="shared" si="49"/>
        <v>245.3</v>
      </c>
      <c r="K109" s="230">
        <f t="shared" si="49"/>
        <v>261.39999999999998</v>
      </c>
      <c r="L109" s="230">
        <f t="shared" si="49"/>
        <v>270.89999999999998</v>
      </c>
      <c r="M109" s="230">
        <f t="shared" si="49"/>
        <v>274.7</v>
      </c>
      <c r="N109" s="343" t="s">
        <v>306</v>
      </c>
    </row>
    <row r="110" spans="1:15">
      <c r="A110" s="111" t="s">
        <v>48</v>
      </c>
      <c r="B110" s="111" t="s">
        <v>218</v>
      </c>
      <c r="C110" s="259" t="s">
        <v>447</v>
      </c>
      <c r="F110" s="230">
        <f t="shared" ref="F110:M110" si="50">ALE</f>
        <v>0</v>
      </c>
      <c r="G110" s="230">
        <f t="shared" si="50"/>
        <v>0</v>
      </c>
      <c r="H110" s="230">
        <f t="shared" si="50"/>
        <v>0</v>
      </c>
      <c r="I110" s="230">
        <f t="shared" si="50"/>
        <v>0</v>
      </c>
      <c r="J110" s="230">
        <f t="shared" si="50"/>
        <v>0</v>
      </c>
      <c r="K110" s="230">
        <f t="shared" si="50"/>
        <v>0</v>
      </c>
      <c r="L110" s="230">
        <f t="shared" si="50"/>
        <v>0</v>
      </c>
      <c r="M110" s="230">
        <f t="shared" si="50"/>
        <v>0</v>
      </c>
      <c r="N110" s="343" t="s">
        <v>218</v>
      </c>
    </row>
    <row r="111" spans="1:15">
      <c r="A111" s="111" t="s">
        <v>49</v>
      </c>
      <c r="B111" s="111" t="s">
        <v>46</v>
      </c>
      <c r="C111" s="259" t="s">
        <v>117</v>
      </c>
      <c r="E111" s="131"/>
      <c r="F111" s="228">
        <f t="shared" ref="F111:M111" si="51">CF</f>
        <v>23.9</v>
      </c>
      <c r="G111" s="228">
        <f t="shared" si="51"/>
        <v>23.9</v>
      </c>
      <c r="H111" s="228">
        <f t="shared" si="51"/>
        <v>23.9</v>
      </c>
      <c r="I111" s="228">
        <f t="shared" si="51"/>
        <v>23.9</v>
      </c>
      <c r="J111" s="228">
        <f t="shared" si="51"/>
        <v>23.9</v>
      </c>
      <c r="K111" s="228">
        <f t="shared" si="51"/>
        <v>23.9</v>
      </c>
      <c r="L111" s="228">
        <f t="shared" si="51"/>
        <v>23.9</v>
      </c>
      <c r="M111" s="228">
        <f t="shared" si="51"/>
        <v>23.9</v>
      </c>
      <c r="N111" s="343" t="s">
        <v>46</v>
      </c>
    </row>
    <row r="112" spans="1:15">
      <c r="A112" s="111" t="s">
        <v>50</v>
      </c>
      <c r="B112" s="111" t="s">
        <v>219</v>
      </c>
      <c r="C112" s="259" t="s">
        <v>581</v>
      </c>
      <c r="F112" s="230">
        <f t="shared" ref="F112:M112" si="52">NTPC/1000000</f>
        <v>5.0000000000000002E-5</v>
      </c>
      <c r="G112" s="230">
        <f t="shared" si="52"/>
        <v>5.1E-5</v>
      </c>
      <c r="H112" s="230">
        <f t="shared" si="52"/>
        <v>5.1999999999999997E-5</v>
      </c>
      <c r="I112" s="230">
        <f t="shared" si="52"/>
        <v>5.3000000000000001E-5</v>
      </c>
      <c r="J112" s="230">
        <f t="shared" si="52"/>
        <v>5.3999999999999998E-5</v>
      </c>
      <c r="K112" s="230">
        <f t="shared" si="52"/>
        <v>5.5000000000000002E-5</v>
      </c>
      <c r="L112" s="230">
        <f t="shared" si="52"/>
        <v>5.5999999999999999E-5</v>
      </c>
      <c r="M112" s="230">
        <f t="shared" si="52"/>
        <v>5.7000000000000003E-5</v>
      </c>
      <c r="N112" s="343" t="s">
        <v>219</v>
      </c>
    </row>
    <row r="113" spans="1:15">
      <c r="A113" s="111" t="s">
        <v>216</v>
      </c>
      <c r="B113" s="111" t="s">
        <v>210</v>
      </c>
      <c r="C113" s="259" t="s">
        <v>117</v>
      </c>
      <c r="F113" s="230">
        <f>F124</f>
        <v>0.64935064935064934</v>
      </c>
      <c r="G113" s="230">
        <f t="shared" ref="G113:M113" si="53">G124</f>
        <v>0.63291139240506322</v>
      </c>
      <c r="H113" s="230">
        <f t="shared" si="53"/>
        <v>0.625</v>
      </c>
      <c r="I113" s="230">
        <f t="shared" si="53"/>
        <v>0.625</v>
      </c>
      <c r="J113" s="230">
        <f t="shared" si="53"/>
        <v>0.61728395061728392</v>
      </c>
      <c r="K113" s="230">
        <f t="shared" si="53"/>
        <v>0.61728395061728392</v>
      </c>
      <c r="L113" s="230">
        <f t="shared" si="53"/>
        <v>0.61728395061728392</v>
      </c>
      <c r="M113" s="230">
        <f t="shared" si="53"/>
        <v>0.60240963855421692</v>
      </c>
      <c r="N113" s="343" t="s">
        <v>210</v>
      </c>
    </row>
    <row r="114" spans="1:15">
      <c r="A114" s="111" t="s">
        <v>190</v>
      </c>
      <c r="B114" s="111" t="s">
        <v>126</v>
      </c>
      <c r="C114" s="259" t="s">
        <v>117</v>
      </c>
      <c r="F114" s="230">
        <f t="shared" ref="F114:M114" si="54">PVF</f>
        <v>1.0476000000000001</v>
      </c>
      <c r="G114" s="230">
        <f t="shared" si="54"/>
        <v>1.0452999999999999</v>
      </c>
      <c r="H114" s="230">
        <f t="shared" si="54"/>
        <v>1.0432999999999999</v>
      </c>
      <c r="I114" s="230">
        <f t="shared" si="54"/>
        <v>1.0413000000000001</v>
      </c>
      <c r="J114" s="230">
        <f t="shared" si="54"/>
        <v>1.0398000000000001</v>
      </c>
      <c r="K114" s="230">
        <f t="shared" si="54"/>
        <v>1.0379</v>
      </c>
      <c r="L114" s="230">
        <f t="shared" si="54"/>
        <v>1.0369999999999999</v>
      </c>
      <c r="M114" s="230">
        <f t="shared" si="54"/>
        <v>1.0369999999999999</v>
      </c>
      <c r="N114" s="343" t="s">
        <v>126</v>
      </c>
    </row>
    <row r="115" spans="1:15">
      <c r="A115" s="111" t="s">
        <v>211</v>
      </c>
      <c r="B115" s="111" t="s">
        <v>116</v>
      </c>
      <c r="C115" s="259" t="s">
        <v>117</v>
      </c>
      <c r="F115" s="230">
        <f t="shared" ref="F115:M115" si="55">RPIF</f>
        <v>1.1630161697108456</v>
      </c>
      <c r="G115" s="230">
        <f t="shared" si="55"/>
        <v>1.2050819527256253</v>
      </c>
      <c r="H115" s="230">
        <f t="shared" si="55"/>
        <v>1.2266493019576674</v>
      </c>
      <c r="I115" s="230">
        <f t="shared" si="55"/>
        <v>1.2327329838381795</v>
      </c>
      <c r="J115" s="230">
        <f t="shared" si="55"/>
        <v>1.2709189417960116</v>
      </c>
      <c r="K115" s="230">
        <f t="shared" si="55"/>
        <v>1.3140238772935624</v>
      </c>
      <c r="L115" s="230">
        <f t="shared" si="55"/>
        <v>1.3585865587485577</v>
      </c>
      <c r="M115" s="230">
        <f t="shared" si="55"/>
        <v>1.309769334513619</v>
      </c>
      <c r="N115" s="343" t="s">
        <v>116</v>
      </c>
    </row>
    <row r="116" spans="1:15">
      <c r="A116" s="111" t="s">
        <v>29</v>
      </c>
      <c r="B116" s="111" t="s">
        <v>221</v>
      </c>
      <c r="C116" s="259" t="s">
        <v>447</v>
      </c>
      <c r="F116" s="245"/>
      <c r="G116" s="245"/>
      <c r="H116" s="229">
        <f>(F109-F110)*H111*F112*F113*F114*G114*H115</f>
        <v>0.15707869804597507</v>
      </c>
      <c r="I116" s="229">
        <f t="shared" ref="I116:M116" si="56">(G109-G110)*I111*G112*G113*G114*H114*I115</f>
        <v>0.17952594941779731</v>
      </c>
      <c r="J116" s="229">
        <f>(H109-H110)*J111*H112*H113*H114*I114*J115</f>
        <v>0.22596892824517137</v>
      </c>
      <c r="K116" s="229">
        <f t="shared" si="56"/>
        <v>0.25467322541659937</v>
      </c>
      <c r="L116" s="229">
        <f t="shared" si="56"/>
        <v>0.28652784474381388</v>
      </c>
      <c r="M116" s="229">
        <f t="shared" si="56"/>
        <v>0.29900623575922336</v>
      </c>
      <c r="N116" s="343" t="s">
        <v>221</v>
      </c>
    </row>
    <row r="117" spans="1:15">
      <c r="C117" s="259"/>
      <c r="F117" s="118"/>
      <c r="G117" s="242"/>
      <c r="H117" s="242"/>
      <c r="I117" s="242"/>
      <c r="J117" s="118"/>
      <c r="N117" s="343"/>
    </row>
    <row r="118" spans="1:15">
      <c r="C118" s="259"/>
      <c r="N118" s="343"/>
    </row>
    <row r="119" spans="1:15">
      <c r="C119" s="259"/>
      <c r="F119" s="296"/>
      <c r="J119" s="118"/>
      <c r="N119" s="332"/>
    </row>
    <row r="120" spans="1:15" ht="15.4">
      <c r="A120" s="110" t="s">
        <v>343</v>
      </c>
      <c r="C120" s="259"/>
      <c r="F120" s="151" t="s">
        <v>520</v>
      </c>
      <c r="N120" s="332"/>
    </row>
    <row r="121" spans="1:15" ht="14.25">
      <c r="A121" s="110" t="s">
        <v>469</v>
      </c>
      <c r="C121" s="259"/>
      <c r="F121" s="112">
        <v>2014</v>
      </c>
      <c r="G121" s="112">
        <v>2015</v>
      </c>
      <c r="H121" s="112">
        <v>2016</v>
      </c>
      <c r="I121" s="112">
        <v>2017</v>
      </c>
      <c r="J121" s="112">
        <v>2018</v>
      </c>
      <c r="K121" s="112">
        <v>2019</v>
      </c>
      <c r="L121" s="112">
        <v>2020</v>
      </c>
      <c r="M121" s="112">
        <v>2021</v>
      </c>
      <c r="N121" s="332"/>
    </row>
    <row r="122" spans="1:15">
      <c r="A122" s="111" t="s">
        <v>213</v>
      </c>
      <c r="B122" s="111" t="s">
        <v>212</v>
      </c>
      <c r="C122" s="259" t="s">
        <v>105</v>
      </c>
      <c r="F122" s="243">
        <f t="shared" ref="F122:M122" si="57">TIS</f>
        <v>0.5</v>
      </c>
      <c r="G122" s="243">
        <f t="shared" si="57"/>
        <v>0.5</v>
      </c>
      <c r="H122" s="243">
        <f t="shared" si="57"/>
        <v>0.5</v>
      </c>
      <c r="I122" s="243">
        <f t="shared" si="57"/>
        <v>0.5</v>
      </c>
      <c r="J122" s="243">
        <f t="shared" si="57"/>
        <v>0.5</v>
      </c>
      <c r="K122" s="243">
        <f t="shared" si="57"/>
        <v>0.5</v>
      </c>
      <c r="L122" s="243">
        <f t="shared" si="57"/>
        <v>0.5</v>
      </c>
      <c r="M122" s="243">
        <f t="shared" si="57"/>
        <v>0.5</v>
      </c>
      <c r="N122" s="343" t="s">
        <v>212</v>
      </c>
    </row>
    <row r="123" spans="1:15">
      <c r="A123" s="111" t="s">
        <v>215</v>
      </c>
      <c r="B123" s="111" t="s">
        <v>214</v>
      </c>
      <c r="C123" s="259" t="s">
        <v>105</v>
      </c>
      <c r="F123" s="230">
        <f t="shared" ref="F123:M123" si="58">TR</f>
        <v>0.23</v>
      </c>
      <c r="G123" s="230">
        <f t="shared" si="58"/>
        <v>0.21</v>
      </c>
      <c r="H123" s="230">
        <f t="shared" si="58"/>
        <v>0.2</v>
      </c>
      <c r="I123" s="230">
        <f t="shared" si="58"/>
        <v>0.2</v>
      </c>
      <c r="J123" s="230">
        <f t="shared" si="58"/>
        <v>0.19</v>
      </c>
      <c r="K123" s="230">
        <f t="shared" si="58"/>
        <v>0.19</v>
      </c>
      <c r="L123" s="230">
        <f t="shared" si="58"/>
        <v>0.19</v>
      </c>
      <c r="M123" s="230">
        <f t="shared" si="58"/>
        <v>0.17</v>
      </c>
      <c r="N123" s="343" t="s">
        <v>214</v>
      </c>
    </row>
    <row r="124" spans="1:15">
      <c r="A124" s="111" t="s">
        <v>344</v>
      </c>
      <c r="B124" s="111" t="s">
        <v>210</v>
      </c>
      <c r="C124" s="259" t="s">
        <v>117</v>
      </c>
      <c r="F124" s="229">
        <f>F122/(1-F123)</f>
        <v>0.64935064935064934</v>
      </c>
      <c r="G124" s="229">
        <f>G122/(1-G123)</f>
        <v>0.63291139240506322</v>
      </c>
      <c r="H124" s="229">
        <f>H122/(1-H123)</f>
        <v>0.625</v>
      </c>
      <c r="I124" s="229">
        <f t="shared" ref="I124:M124" si="59">I122/(1-I123)</f>
        <v>0.625</v>
      </c>
      <c r="J124" s="229">
        <f t="shared" si="59"/>
        <v>0.61728395061728392</v>
      </c>
      <c r="K124" s="229">
        <f t="shared" si="59"/>
        <v>0.61728395061728392</v>
      </c>
      <c r="L124" s="229">
        <f t="shared" si="59"/>
        <v>0.61728395061728392</v>
      </c>
      <c r="M124" s="229">
        <f t="shared" si="59"/>
        <v>0.60240963855421692</v>
      </c>
      <c r="N124" s="343" t="s">
        <v>210</v>
      </c>
      <c r="O124" s="332"/>
    </row>
    <row r="125" spans="1:15">
      <c r="C125" s="259"/>
      <c r="F125" s="118"/>
      <c r="G125" s="242"/>
      <c r="H125" s="242"/>
      <c r="I125" s="242"/>
      <c r="J125" s="118"/>
      <c r="N125" s="332"/>
    </row>
    <row r="126" spans="1:15">
      <c r="C126" s="259"/>
      <c r="N126" s="332"/>
    </row>
    <row r="127" spans="1:15">
      <c r="C127" s="259"/>
      <c r="N127" s="332"/>
    </row>
    <row r="128" spans="1:15" ht="17.649999999999999">
      <c r="A128" s="110" t="s">
        <v>223</v>
      </c>
      <c r="C128" s="259"/>
      <c r="F128" s="155" t="s">
        <v>222</v>
      </c>
      <c r="J128" s="118"/>
      <c r="N128" s="332"/>
    </row>
    <row r="129" spans="1:14" ht="14.25">
      <c r="A129" s="110" t="s">
        <v>470</v>
      </c>
      <c r="C129" s="259"/>
      <c r="F129" s="112">
        <v>2014</v>
      </c>
      <c r="G129" s="112">
        <v>2015</v>
      </c>
      <c r="H129" s="112">
        <v>2016</v>
      </c>
      <c r="I129" s="112">
        <v>2017</v>
      </c>
      <c r="J129" s="112">
        <v>2018</v>
      </c>
      <c r="K129" s="112">
        <v>2019</v>
      </c>
      <c r="L129" s="112">
        <v>2020</v>
      </c>
      <c r="M129" s="112">
        <v>2021</v>
      </c>
      <c r="N129" s="332"/>
    </row>
    <row r="130" spans="1:14" ht="15.4">
      <c r="A130" s="111" t="s">
        <v>227</v>
      </c>
      <c r="B130" s="111" t="s">
        <v>521</v>
      </c>
      <c r="C130" s="259" t="s">
        <v>1</v>
      </c>
      <c r="F130" s="164">
        <f t="shared" ref="F130:M130" si="60">EDRO</f>
        <v>0</v>
      </c>
      <c r="G130" s="164">
        <f t="shared" si="60"/>
        <v>0</v>
      </c>
      <c r="H130" s="164">
        <f t="shared" si="60"/>
        <v>0</v>
      </c>
      <c r="I130" s="164">
        <f t="shared" si="60"/>
        <v>0</v>
      </c>
      <c r="J130" s="164">
        <f t="shared" si="60"/>
        <v>0</v>
      </c>
      <c r="K130" s="164">
        <f t="shared" si="60"/>
        <v>0</v>
      </c>
      <c r="L130" s="164">
        <f t="shared" si="60"/>
        <v>0</v>
      </c>
      <c r="M130" s="164">
        <f t="shared" si="60"/>
        <v>0</v>
      </c>
      <c r="N130" s="343" t="s">
        <v>226</v>
      </c>
    </row>
    <row r="131" spans="1:14" ht="15.4">
      <c r="A131" s="111" t="s">
        <v>207</v>
      </c>
      <c r="B131" s="111" t="s">
        <v>224</v>
      </c>
      <c r="C131" s="259" t="s">
        <v>105</v>
      </c>
      <c r="F131" s="164">
        <f t="shared" ref="F131:M131" si="61">It</f>
        <v>0.5</v>
      </c>
      <c r="G131" s="164">
        <f t="shared" si="61"/>
        <v>0.5</v>
      </c>
      <c r="H131" s="164">
        <f t="shared" si="61"/>
        <v>0.5</v>
      </c>
      <c r="I131" s="164">
        <f t="shared" si="61"/>
        <v>0.34</v>
      </c>
      <c r="J131" s="164">
        <f t="shared" si="61"/>
        <v>0.35</v>
      </c>
      <c r="K131" s="164">
        <f t="shared" si="61"/>
        <v>0.67</v>
      </c>
      <c r="L131" s="164">
        <f t="shared" si="61"/>
        <v>0</v>
      </c>
      <c r="M131" s="164">
        <f t="shared" si="61"/>
        <v>0</v>
      </c>
      <c r="N131" s="343" t="s">
        <v>352</v>
      </c>
    </row>
    <row r="132" spans="1:14" ht="15.4">
      <c r="A132" s="111" t="s">
        <v>30</v>
      </c>
      <c r="B132" s="111" t="s">
        <v>225</v>
      </c>
      <c r="C132" s="259" t="s">
        <v>1</v>
      </c>
      <c r="F132" s="219"/>
      <c r="G132" s="219"/>
      <c r="H132" s="225">
        <f>F130*(1+F131/100)*(1+G131/100)</f>
        <v>0</v>
      </c>
      <c r="I132" s="225">
        <f t="shared" ref="I132:M132" si="62">G130*(1+G131/100)*(1+H131/100)</f>
        <v>0</v>
      </c>
      <c r="J132" s="225">
        <f t="shared" si="62"/>
        <v>0</v>
      </c>
      <c r="K132" s="225">
        <f t="shared" si="62"/>
        <v>0</v>
      </c>
      <c r="L132" s="225">
        <f t="shared" si="62"/>
        <v>0</v>
      </c>
      <c r="M132" s="225">
        <f t="shared" si="62"/>
        <v>0</v>
      </c>
      <c r="N132" s="343" t="s">
        <v>349</v>
      </c>
    </row>
    <row r="133" spans="1:14">
      <c r="C133" s="259"/>
      <c r="F133" s="118"/>
      <c r="G133" s="242"/>
      <c r="H133" s="242"/>
      <c r="I133" s="242"/>
      <c r="J133" s="118"/>
      <c r="N133" s="332"/>
    </row>
    <row r="134" spans="1:14">
      <c r="C134" s="259"/>
      <c r="N134" s="332"/>
    </row>
    <row r="135" spans="1:14">
      <c r="C135" s="259"/>
      <c r="N135" s="332"/>
    </row>
    <row r="136" spans="1:14">
      <c r="C136" s="259"/>
      <c r="N136" s="332"/>
    </row>
    <row r="137" spans="1:14">
      <c r="A137" s="110" t="s">
        <v>293</v>
      </c>
      <c r="C137" s="259"/>
      <c r="J137" s="118"/>
      <c r="N137" s="332"/>
    </row>
    <row r="138" spans="1:14">
      <c r="A138" s="110" t="s">
        <v>471</v>
      </c>
      <c r="C138" s="259"/>
      <c r="N138" s="332"/>
    </row>
    <row r="139" spans="1:14" ht="14.25">
      <c r="C139" s="259"/>
      <c r="F139" s="112">
        <v>2014</v>
      </c>
      <c r="G139" s="112">
        <v>2015</v>
      </c>
      <c r="H139" s="112">
        <v>2016</v>
      </c>
      <c r="I139" s="112">
        <v>2017</v>
      </c>
      <c r="J139" s="112">
        <v>2018</v>
      </c>
      <c r="K139" s="112">
        <v>2019</v>
      </c>
      <c r="L139" s="112">
        <v>2020</v>
      </c>
      <c r="M139" s="112">
        <v>2021</v>
      </c>
      <c r="N139" s="332"/>
    </row>
    <row r="140" spans="1:14">
      <c r="A140" s="111" t="s">
        <v>294</v>
      </c>
      <c r="B140" s="111" t="s">
        <v>299</v>
      </c>
      <c r="C140" s="259" t="s">
        <v>1</v>
      </c>
      <c r="F140" s="164">
        <f t="shared" ref="F140:M140" si="63">UNTO</f>
        <v>0</v>
      </c>
      <c r="G140" s="164">
        <f t="shared" si="63"/>
        <v>0</v>
      </c>
      <c r="H140" s="164">
        <f t="shared" si="63"/>
        <v>0</v>
      </c>
      <c r="I140" s="164">
        <f t="shared" si="63"/>
        <v>0</v>
      </c>
      <c r="J140" s="164">
        <f t="shared" si="63"/>
        <v>0</v>
      </c>
      <c r="K140" s="164">
        <f t="shared" si="63"/>
        <v>0</v>
      </c>
      <c r="L140" s="164">
        <f t="shared" si="63"/>
        <v>0</v>
      </c>
      <c r="M140" s="164">
        <f t="shared" si="63"/>
        <v>0</v>
      </c>
      <c r="N140" s="343" t="s">
        <v>299</v>
      </c>
    </row>
    <row r="141" spans="1:14">
      <c r="A141" s="111" t="s">
        <v>295</v>
      </c>
      <c r="B141" s="111" t="s">
        <v>300</v>
      </c>
      <c r="C141" s="259" t="s">
        <v>1</v>
      </c>
      <c r="F141" s="164">
        <f t="shared" ref="F141:M141" si="64">TOTO</f>
        <v>0</v>
      </c>
      <c r="G141" s="164">
        <f t="shared" si="64"/>
        <v>0</v>
      </c>
      <c r="H141" s="164">
        <f t="shared" si="64"/>
        <v>0</v>
      </c>
      <c r="I141" s="164">
        <f t="shared" si="64"/>
        <v>0</v>
      </c>
      <c r="J141" s="164">
        <f t="shared" si="64"/>
        <v>0</v>
      </c>
      <c r="K141" s="164">
        <f t="shared" si="64"/>
        <v>0</v>
      </c>
      <c r="L141" s="164">
        <f t="shared" si="64"/>
        <v>0</v>
      </c>
      <c r="M141" s="164">
        <f t="shared" si="64"/>
        <v>0</v>
      </c>
      <c r="N141" s="343" t="s">
        <v>300</v>
      </c>
    </row>
    <row r="142" spans="1:14">
      <c r="A142" s="111" t="s">
        <v>296</v>
      </c>
      <c r="B142" s="111" t="s">
        <v>297</v>
      </c>
      <c r="C142" s="259" t="s">
        <v>1</v>
      </c>
      <c r="F142" s="164">
        <f t="shared" ref="F142:M142" si="65">BR</f>
        <v>121.5805473654021</v>
      </c>
      <c r="G142" s="164">
        <f t="shared" si="65"/>
        <v>144.88183369376085</v>
      </c>
      <c r="H142" s="164">
        <f t="shared" si="65"/>
        <v>257.33707831815008</v>
      </c>
      <c r="I142" s="164">
        <f t="shared" si="65"/>
        <v>257.63707638924029</v>
      </c>
      <c r="J142" s="164">
        <f t="shared" si="65"/>
        <v>212.33853452570145</v>
      </c>
      <c r="K142" s="164">
        <f t="shared" si="65"/>
        <v>256.82229984453886</v>
      </c>
      <c r="L142" s="164">
        <f t="shared" si="65"/>
        <v>271.06517550609101</v>
      </c>
      <c r="M142" s="164">
        <f t="shared" si="65"/>
        <v>159.34814995953684</v>
      </c>
      <c r="N142" s="343" t="s">
        <v>297</v>
      </c>
    </row>
    <row r="143" spans="1:14">
      <c r="A143" s="111" t="s">
        <v>204</v>
      </c>
      <c r="B143" s="111" t="s">
        <v>136</v>
      </c>
      <c r="C143" s="259" t="s">
        <v>1</v>
      </c>
      <c r="F143" s="164">
        <f t="shared" ref="F143:M143" si="66">TIRG</f>
        <v>43.13029648352763</v>
      </c>
      <c r="G143" s="164">
        <f t="shared" si="66"/>
        <v>45.642498240794303</v>
      </c>
      <c r="H143" s="164">
        <f t="shared" si="66"/>
        <v>44.861665942027251</v>
      </c>
      <c r="I143" s="164">
        <f t="shared" si="66"/>
        <v>0</v>
      </c>
      <c r="J143" s="164">
        <f t="shared" si="66"/>
        <v>84.256191454810178</v>
      </c>
      <c r="K143" s="164">
        <f t="shared" si="66"/>
        <v>83.929406675831544</v>
      </c>
      <c r="L143" s="164">
        <f t="shared" si="66"/>
        <v>83.48339417561121</v>
      </c>
      <c r="M143" s="164">
        <f t="shared" si="66"/>
        <v>77.309616964781469</v>
      </c>
      <c r="N143" s="343" t="s">
        <v>136</v>
      </c>
    </row>
    <row r="144" spans="1:14">
      <c r="A144" s="111" t="s">
        <v>117</v>
      </c>
      <c r="C144" s="259" t="s">
        <v>117</v>
      </c>
      <c r="F144" s="233">
        <v>5.0000000000000001E-3</v>
      </c>
      <c r="G144" s="233">
        <v>5.0000000000000001E-3</v>
      </c>
      <c r="H144" s="233">
        <v>5.0000000000000001E-3</v>
      </c>
      <c r="I144" s="233">
        <v>5.0000000000000001E-3</v>
      </c>
      <c r="J144" s="233">
        <v>5.0000000000000001E-3</v>
      </c>
      <c r="K144" s="233">
        <v>5.0000000000000001E-3</v>
      </c>
      <c r="L144" s="233">
        <v>5.0000000000000001E-3</v>
      </c>
      <c r="M144" s="233">
        <v>5.0000000000000001E-3</v>
      </c>
      <c r="N144" s="343"/>
    </row>
    <row r="145" spans="1:14">
      <c r="A145" s="111" t="s">
        <v>298</v>
      </c>
      <c r="B145" s="111" t="s">
        <v>32</v>
      </c>
      <c r="C145" s="259" t="s">
        <v>105</v>
      </c>
      <c r="F145" s="164">
        <f t="shared" ref="F145:M145" si="67">It</f>
        <v>0.5</v>
      </c>
      <c r="G145" s="164">
        <f t="shared" si="67"/>
        <v>0.5</v>
      </c>
      <c r="H145" s="164">
        <f t="shared" si="67"/>
        <v>0.5</v>
      </c>
      <c r="I145" s="164">
        <f t="shared" si="67"/>
        <v>0.34</v>
      </c>
      <c r="J145" s="164">
        <f t="shared" si="67"/>
        <v>0.35</v>
      </c>
      <c r="K145" s="164">
        <f t="shared" si="67"/>
        <v>0.67</v>
      </c>
      <c r="L145" s="164">
        <f t="shared" si="67"/>
        <v>0</v>
      </c>
      <c r="M145" s="164">
        <f t="shared" si="67"/>
        <v>0</v>
      </c>
      <c r="N145" s="343" t="s">
        <v>352</v>
      </c>
    </row>
    <row r="146" spans="1:14">
      <c r="B146" s="111" t="s">
        <v>444</v>
      </c>
      <c r="C146" s="259" t="s">
        <v>1</v>
      </c>
      <c r="F146" s="219"/>
      <c r="G146" s="219"/>
      <c r="H146" s="225">
        <f>IF(F141&gt;0,(F140/F141)*F144*(F142+F143)*(1+F145/100)*(1+G145/100),0)</f>
        <v>0</v>
      </c>
      <c r="I146" s="225">
        <f t="shared" ref="I146:M146" si="68">IF(G141&gt;0,(G140/G141)*G144*(G142+G143)*(1+G145/100)*(1+H145/100),0)</f>
        <v>0</v>
      </c>
      <c r="J146" s="225">
        <f t="shared" si="68"/>
        <v>0</v>
      </c>
      <c r="K146" s="225">
        <f t="shared" si="68"/>
        <v>0</v>
      </c>
      <c r="L146" s="225">
        <f t="shared" si="68"/>
        <v>0</v>
      </c>
      <c r="M146" s="225">
        <f t="shared" si="68"/>
        <v>0</v>
      </c>
      <c r="N146" s="343" t="s">
        <v>291</v>
      </c>
    </row>
    <row r="147" spans="1:14">
      <c r="C147" s="259"/>
      <c r="G147" s="118"/>
      <c r="H147" s="242"/>
      <c r="I147" s="242"/>
      <c r="J147" s="242"/>
      <c r="K147" s="118"/>
      <c r="N147" s="332"/>
    </row>
    <row r="148" spans="1:14">
      <c r="C148" s="259"/>
      <c r="N148" s="332"/>
    </row>
    <row r="149" spans="1:14">
      <c r="C149" s="259"/>
      <c r="N149" s="332"/>
    </row>
    <row r="150" spans="1:14">
      <c r="C150" s="259"/>
      <c r="N150" s="332"/>
    </row>
    <row r="151" spans="1:14">
      <c r="C151" s="259"/>
      <c r="N151" s="332"/>
    </row>
    <row r="152" spans="1:14">
      <c r="A152" s="110" t="s">
        <v>317</v>
      </c>
      <c r="C152" s="259"/>
      <c r="N152" s="332"/>
    </row>
    <row r="153" spans="1:14">
      <c r="C153" s="259"/>
      <c r="N153" s="332"/>
    </row>
    <row r="154" spans="1:14" ht="17.649999999999999">
      <c r="A154" s="110" t="s">
        <v>472</v>
      </c>
      <c r="B154" s="129" t="s">
        <v>318</v>
      </c>
      <c r="C154" s="259"/>
      <c r="H154" s="118"/>
      <c r="N154" s="332"/>
    </row>
    <row r="155" spans="1:14" ht="14.25">
      <c r="C155" s="259"/>
      <c r="F155" s="112">
        <v>2014</v>
      </c>
      <c r="G155" s="112">
        <v>2015</v>
      </c>
      <c r="H155" s="112">
        <v>2016</v>
      </c>
      <c r="I155" s="112">
        <v>2017</v>
      </c>
      <c r="J155" s="112">
        <v>2018</v>
      </c>
      <c r="K155" s="112">
        <v>2019</v>
      </c>
      <c r="L155" s="112">
        <v>2020</v>
      </c>
      <c r="M155" s="112">
        <v>2021</v>
      </c>
      <c r="N155" s="332"/>
    </row>
    <row r="156" spans="1:14">
      <c r="A156" s="111" t="s">
        <v>321</v>
      </c>
      <c r="B156" s="111" t="s">
        <v>319</v>
      </c>
      <c r="C156" s="259" t="s">
        <v>1</v>
      </c>
      <c r="F156" s="164">
        <f t="shared" ref="F156:M156" si="69">DCP</f>
        <v>0</v>
      </c>
      <c r="G156" s="164">
        <f t="shared" si="69"/>
        <v>0</v>
      </c>
      <c r="H156" s="164">
        <f t="shared" si="69"/>
        <v>0</v>
      </c>
      <c r="I156" s="164">
        <f t="shared" si="69"/>
        <v>0</v>
      </c>
      <c r="J156" s="164">
        <f t="shared" si="69"/>
        <v>0</v>
      </c>
      <c r="K156" s="164">
        <f t="shared" si="69"/>
        <v>0</v>
      </c>
      <c r="L156" s="164">
        <f t="shared" si="69"/>
        <v>0</v>
      </c>
      <c r="M156" s="164">
        <f t="shared" si="69"/>
        <v>0</v>
      </c>
      <c r="N156" s="343" t="s">
        <v>319</v>
      </c>
    </row>
    <row r="157" spans="1:14">
      <c r="A157" s="111" t="s">
        <v>322</v>
      </c>
      <c r="B157" s="111" t="s">
        <v>320</v>
      </c>
      <c r="C157" s="259" t="s">
        <v>1</v>
      </c>
      <c r="F157" s="164">
        <f t="shared" ref="F157:M157" si="70">CCP</f>
        <v>0</v>
      </c>
      <c r="G157" s="164">
        <f t="shared" si="70"/>
        <v>0</v>
      </c>
      <c r="H157" s="164">
        <f t="shared" si="70"/>
        <v>0</v>
      </c>
      <c r="I157" s="164">
        <f t="shared" si="70"/>
        <v>0</v>
      </c>
      <c r="J157" s="164">
        <f t="shared" si="70"/>
        <v>0</v>
      </c>
      <c r="K157" s="164">
        <f t="shared" si="70"/>
        <v>0</v>
      </c>
      <c r="L157" s="164">
        <f t="shared" si="70"/>
        <v>0</v>
      </c>
      <c r="M157" s="164">
        <f t="shared" si="70"/>
        <v>0</v>
      </c>
      <c r="N157" s="343" t="s">
        <v>320</v>
      </c>
    </row>
    <row r="158" spans="1:14">
      <c r="A158" s="111" t="s">
        <v>190</v>
      </c>
      <c r="B158" s="111" t="s">
        <v>126</v>
      </c>
      <c r="C158" s="259" t="s">
        <v>117</v>
      </c>
      <c r="F158" s="164">
        <f>PVF</f>
        <v>1.0476000000000001</v>
      </c>
      <c r="G158" s="164">
        <f t="shared" ref="G158:M158" si="71">PVF</f>
        <v>1.0452999999999999</v>
      </c>
      <c r="H158" s="164">
        <f t="shared" si="71"/>
        <v>1.0432999999999999</v>
      </c>
      <c r="I158" s="164">
        <f t="shared" si="71"/>
        <v>1.0413000000000001</v>
      </c>
      <c r="J158" s="164">
        <f t="shared" si="71"/>
        <v>1.0398000000000001</v>
      </c>
      <c r="K158" s="164">
        <f t="shared" si="71"/>
        <v>1.0379</v>
      </c>
      <c r="L158" s="164">
        <f t="shared" si="71"/>
        <v>1.0369999999999999</v>
      </c>
      <c r="M158" s="164">
        <f t="shared" si="71"/>
        <v>1.0369999999999999</v>
      </c>
      <c r="N158" s="343" t="s">
        <v>126</v>
      </c>
    </row>
    <row r="159" spans="1:14">
      <c r="A159" s="111" t="s">
        <v>211</v>
      </c>
      <c r="B159" s="111" t="s">
        <v>116</v>
      </c>
      <c r="C159" s="259" t="s">
        <v>117</v>
      </c>
      <c r="F159" s="164">
        <f t="shared" ref="F159:M159" si="72">RPIF</f>
        <v>1.1630161697108456</v>
      </c>
      <c r="G159" s="164">
        <f t="shared" si="72"/>
        <v>1.2050819527256253</v>
      </c>
      <c r="H159" s="164">
        <f t="shared" si="72"/>
        <v>1.2266493019576674</v>
      </c>
      <c r="I159" s="164">
        <f t="shared" si="72"/>
        <v>1.2327329838381795</v>
      </c>
      <c r="J159" s="164">
        <f t="shared" si="72"/>
        <v>1.2709189417960116</v>
      </c>
      <c r="K159" s="164">
        <f t="shared" si="72"/>
        <v>1.3140238772935624</v>
      </c>
      <c r="L159" s="164">
        <f t="shared" si="72"/>
        <v>1.3585865587485577</v>
      </c>
      <c r="M159" s="164">
        <f t="shared" si="72"/>
        <v>1.309769334513619</v>
      </c>
      <c r="N159" s="343" t="s">
        <v>116</v>
      </c>
    </row>
    <row r="160" spans="1:14">
      <c r="A160" s="111" t="s">
        <v>317</v>
      </c>
      <c r="B160" s="111" t="s">
        <v>309</v>
      </c>
      <c r="C160" s="259" t="s">
        <v>1</v>
      </c>
      <c r="F160" s="219"/>
      <c r="G160" s="219"/>
      <c r="H160" s="225">
        <f>(F156+F157)*F158*G158*H159</f>
        <v>0</v>
      </c>
      <c r="I160" s="225">
        <f t="shared" ref="I160:M160" si="73">(G156+G157)*G158*H158*I159</f>
        <v>0</v>
      </c>
      <c r="J160" s="225">
        <f t="shared" si="73"/>
        <v>0</v>
      </c>
      <c r="K160" s="225">
        <f t="shared" si="73"/>
        <v>0</v>
      </c>
      <c r="L160" s="225">
        <f t="shared" si="73"/>
        <v>0</v>
      </c>
      <c r="M160" s="225">
        <f t="shared" si="73"/>
        <v>0</v>
      </c>
      <c r="N160" s="343" t="s">
        <v>309</v>
      </c>
    </row>
    <row r="161" spans="1:14">
      <c r="C161" s="259"/>
      <c r="G161" s="118"/>
      <c r="H161" s="242"/>
      <c r="I161" s="242"/>
      <c r="J161" s="242"/>
      <c r="K161" s="118"/>
      <c r="N161" s="343"/>
    </row>
    <row r="162" spans="1:14">
      <c r="C162" s="259"/>
      <c r="N162" s="343"/>
    </row>
    <row r="163" spans="1:14">
      <c r="C163" s="259"/>
      <c r="N163" s="343"/>
    </row>
    <row r="164" spans="1:14" ht="15.4">
      <c r="A164" s="111" t="s">
        <v>335</v>
      </c>
      <c r="C164" s="150"/>
      <c r="I164" s="118"/>
      <c r="N164" s="343"/>
    </row>
    <row r="165" spans="1:14" ht="15.4">
      <c r="A165" s="110" t="s">
        <v>473</v>
      </c>
      <c r="C165" s="258"/>
      <c r="F165" s="112">
        <v>2014</v>
      </c>
      <c r="G165" s="112">
        <v>2015</v>
      </c>
      <c r="H165" s="112">
        <v>2016</v>
      </c>
      <c r="I165" s="112">
        <v>2017</v>
      </c>
      <c r="J165" s="112">
        <v>2018</v>
      </c>
      <c r="K165" s="112">
        <v>2019</v>
      </c>
      <c r="L165" s="112">
        <v>2020</v>
      </c>
      <c r="M165" s="112">
        <v>2021</v>
      </c>
      <c r="N165" s="343"/>
    </row>
    <row r="166" spans="1:14">
      <c r="A166" s="111" t="s">
        <v>333</v>
      </c>
      <c r="B166" s="111" t="s">
        <v>323</v>
      </c>
      <c r="C166" s="95" t="s">
        <v>494</v>
      </c>
      <c r="F166" s="230">
        <f t="shared" ref="F166:M166" si="74">DCOS</f>
        <v>0</v>
      </c>
      <c r="G166" s="230">
        <f t="shared" si="74"/>
        <v>0</v>
      </c>
      <c r="H166" s="230">
        <f t="shared" si="74"/>
        <v>0</v>
      </c>
      <c r="I166" s="230">
        <f t="shared" si="74"/>
        <v>0</v>
      </c>
      <c r="J166" s="230">
        <f t="shared" si="74"/>
        <v>0</v>
      </c>
      <c r="K166" s="230">
        <f t="shared" si="74"/>
        <v>0</v>
      </c>
      <c r="L166" s="230">
        <f t="shared" si="74"/>
        <v>0</v>
      </c>
      <c r="M166" s="230">
        <f t="shared" si="74"/>
        <v>0</v>
      </c>
      <c r="N166" s="343" t="s">
        <v>323</v>
      </c>
    </row>
    <row r="167" spans="1:14" ht="24.75">
      <c r="A167" s="111" t="s">
        <v>331</v>
      </c>
      <c r="B167" s="111" t="s">
        <v>324</v>
      </c>
      <c r="C167" s="95" t="s">
        <v>515</v>
      </c>
      <c r="F167" s="230">
        <f t="shared" ref="F167:M167" si="75">DC</f>
        <v>0</v>
      </c>
      <c r="G167" s="230">
        <f t="shared" si="75"/>
        <v>0</v>
      </c>
      <c r="H167" s="230">
        <f t="shared" si="75"/>
        <v>0</v>
      </c>
      <c r="I167" s="230">
        <f t="shared" si="75"/>
        <v>0</v>
      </c>
      <c r="J167" s="230">
        <f t="shared" si="75"/>
        <v>0</v>
      </c>
      <c r="K167" s="230">
        <f t="shared" si="75"/>
        <v>0</v>
      </c>
      <c r="L167" s="230">
        <f t="shared" si="75"/>
        <v>0</v>
      </c>
      <c r="M167" s="230">
        <f t="shared" si="75"/>
        <v>0</v>
      </c>
      <c r="N167" s="343" t="s">
        <v>324</v>
      </c>
    </row>
    <row r="168" spans="1:14">
      <c r="A168" s="111" t="s">
        <v>332</v>
      </c>
      <c r="B168" s="111" t="s">
        <v>325</v>
      </c>
      <c r="C168" s="95" t="s">
        <v>494</v>
      </c>
      <c r="F168" s="230">
        <f t="shared" ref="F168:M168" si="76">EDCOS</f>
        <v>0</v>
      </c>
      <c r="G168" s="230">
        <f t="shared" si="76"/>
        <v>0</v>
      </c>
      <c r="H168" s="230">
        <f t="shared" si="76"/>
        <v>0</v>
      </c>
      <c r="I168" s="230">
        <f t="shared" si="76"/>
        <v>0</v>
      </c>
      <c r="J168" s="230">
        <f t="shared" si="76"/>
        <v>0</v>
      </c>
      <c r="K168" s="230">
        <f t="shared" si="76"/>
        <v>0</v>
      </c>
      <c r="L168" s="230">
        <f t="shared" si="76"/>
        <v>0</v>
      </c>
      <c r="M168" s="230">
        <f t="shared" si="76"/>
        <v>0</v>
      </c>
      <c r="N168" s="343" t="s">
        <v>325</v>
      </c>
    </row>
    <row r="169" spans="1:14" ht="24.75">
      <c r="A169" s="111" t="s">
        <v>334</v>
      </c>
      <c r="B169" s="111" t="s">
        <v>326</v>
      </c>
      <c r="C169" s="95" t="s">
        <v>515</v>
      </c>
      <c r="F169" s="230">
        <f t="shared" ref="F169:M169" si="77">EDC</f>
        <v>0</v>
      </c>
      <c r="G169" s="230">
        <f t="shared" si="77"/>
        <v>0</v>
      </c>
      <c r="H169" s="230">
        <f t="shared" si="77"/>
        <v>0</v>
      </c>
      <c r="I169" s="230">
        <f t="shared" si="77"/>
        <v>0</v>
      </c>
      <c r="J169" s="230">
        <f t="shared" si="77"/>
        <v>0</v>
      </c>
      <c r="K169" s="230">
        <f t="shared" si="77"/>
        <v>0</v>
      </c>
      <c r="L169" s="230">
        <f t="shared" si="77"/>
        <v>0</v>
      </c>
      <c r="M169" s="230">
        <f t="shared" si="77"/>
        <v>0</v>
      </c>
      <c r="N169" s="343" t="s">
        <v>326</v>
      </c>
    </row>
    <row r="170" spans="1:14">
      <c r="A170" s="111" t="s">
        <v>321</v>
      </c>
      <c r="B170" s="111" t="s">
        <v>319</v>
      </c>
      <c r="C170" s="259" t="s">
        <v>1</v>
      </c>
      <c r="F170" s="229">
        <f>((F166*F167)+(F168*F169))/1000000</f>
        <v>0</v>
      </c>
      <c r="G170" s="229">
        <f>((G166*G167)+(G168*G169))/1000000</f>
        <v>0</v>
      </c>
      <c r="H170" s="229">
        <f t="shared" ref="H170:M170" si="78">((H166*H167)+(H168*H169))/1000000</f>
        <v>0</v>
      </c>
      <c r="I170" s="229">
        <f t="shared" si="78"/>
        <v>0</v>
      </c>
      <c r="J170" s="229">
        <f t="shared" si="78"/>
        <v>0</v>
      </c>
      <c r="K170" s="229">
        <f t="shared" si="78"/>
        <v>0</v>
      </c>
      <c r="L170" s="229">
        <f t="shared" si="78"/>
        <v>0</v>
      </c>
      <c r="M170" s="229">
        <f t="shared" si="78"/>
        <v>0</v>
      </c>
      <c r="N170" s="343" t="s">
        <v>319</v>
      </c>
    </row>
    <row r="171" spans="1:14">
      <c r="C171" s="259"/>
      <c r="F171" s="118"/>
      <c r="G171" s="242"/>
      <c r="H171" s="242"/>
      <c r="I171" s="242"/>
      <c r="J171" s="118"/>
      <c r="N171" s="343"/>
    </row>
    <row r="172" spans="1:14">
      <c r="C172" s="259"/>
      <c r="N172" s="343"/>
    </row>
    <row r="173" spans="1:14">
      <c r="C173" s="259"/>
      <c r="N173" s="343"/>
    </row>
    <row r="174" spans="1:14" ht="15.4">
      <c r="A174" s="111" t="s">
        <v>336</v>
      </c>
      <c r="C174" s="150"/>
      <c r="I174" s="118"/>
      <c r="N174" s="343"/>
    </row>
    <row r="175" spans="1:14" ht="15.4">
      <c r="A175" s="110" t="s">
        <v>474</v>
      </c>
      <c r="C175" s="258"/>
      <c r="F175" s="112">
        <v>2014</v>
      </c>
      <c r="G175" s="112">
        <v>2015</v>
      </c>
      <c r="H175" s="112">
        <v>2016</v>
      </c>
      <c r="I175" s="112">
        <v>2017</v>
      </c>
      <c r="J175" s="112">
        <v>2018</v>
      </c>
      <c r="K175" s="112">
        <v>2019</v>
      </c>
      <c r="L175" s="112">
        <v>2020</v>
      </c>
      <c r="M175" s="112">
        <v>2021</v>
      </c>
      <c r="N175" s="343"/>
    </row>
    <row r="176" spans="1:14">
      <c r="A176" s="111" t="s">
        <v>579</v>
      </c>
      <c r="B176" s="111" t="s">
        <v>327</v>
      </c>
      <c r="C176" s="95" t="s">
        <v>494</v>
      </c>
      <c r="F176" s="133">
        <f t="shared" ref="F176:M176" si="79">CCOS</f>
        <v>0</v>
      </c>
      <c r="G176" s="133">
        <f t="shared" si="79"/>
        <v>0</v>
      </c>
      <c r="H176" s="133">
        <f t="shared" si="79"/>
        <v>0</v>
      </c>
      <c r="I176" s="133">
        <f t="shared" si="79"/>
        <v>0</v>
      </c>
      <c r="J176" s="133">
        <f t="shared" si="79"/>
        <v>0</v>
      </c>
      <c r="K176" s="133">
        <f t="shared" si="79"/>
        <v>0</v>
      </c>
      <c r="L176" s="133">
        <f t="shared" si="79"/>
        <v>0</v>
      </c>
      <c r="M176" s="133">
        <f t="shared" si="79"/>
        <v>0</v>
      </c>
      <c r="N176" s="343" t="s">
        <v>327</v>
      </c>
    </row>
    <row r="177" spans="1:15" ht="24.75">
      <c r="A177" s="111" t="s">
        <v>331</v>
      </c>
      <c r="B177" s="111" t="s">
        <v>328</v>
      </c>
      <c r="C177" s="95" t="s">
        <v>515</v>
      </c>
      <c r="F177" s="133">
        <f t="shared" ref="F177:M177" si="80">CC</f>
        <v>0</v>
      </c>
      <c r="G177" s="133">
        <f t="shared" si="80"/>
        <v>0</v>
      </c>
      <c r="H177" s="133">
        <f t="shared" si="80"/>
        <v>0</v>
      </c>
      <c r="I177" s="133">
        <f t="shared" si="80"/>
        <v>0</v>
      </c>
      <c r="J177" s="133">
        <f t="shared" si="80"/>
        <v>0</v>
      </c>
      <c r="K177" s="133">
        <f t="shared" si="80"/>
        <v>0</v>
      </c>
      <c r="L177" s="133">
        <f t="shared" si="80"/>
        <v>0</v>
      </c>
      <c r="M177" s="133">
        <f t="shared" si="80"/>
        <v>0</v>
      </c>
      <c r="N177" s="343" t="s">
        <v>328</v>
      </c>
    </row>
    <row r="178" spans="1:15">
      <c r="A178" s="111" t="s">
        <v>338</v>
      </c>
      <c r="B178" s="111" t="s">
        <v>329</v>
      </c>
      <c r="C178" s="95" t="s">
        <v>494</v>
      </c>
      <c r="F178" s="133">
        <f t="shared" ref="F178:M178" si="81">ECCOS</f>
        <v>0</v>
      </c>
      <c r="G178" s="133">
        <f t="shared" si="81"/>
        <v>0</v>
      </c>
      <c r="H178" s="133">
        <f t="shared" si="81"/>
        <v>0</v>
      </c>
      <c r="I178" s="133">
        <f t="shared" si="81"/>
        <v>0</v>
      </c>
      <c r="J178" s="133">
        <f t="shared" si="81"/>
        <v>0</v>
      </c>
      <c r="K178" s="133">
        <f t="shared" si="81"/>
        <v>0</v>
      </c>
      <c r="L178" s="133">
        <f t="shared" si="81"/>
        <v>0</v>
      </c>
      <c r="M178" s="133">
        <f t="shared" si="81"/>
        <v>0</v>
      </c>
      <c r="N178" s="343" t="s">
        <v>329</v>
      </c>
    </row>
    <row r="179" spans="1:15" ht="24.75">
      <c r="A179" s="111" t="s">
        <v>334</v>
      </c>
      <c r="B179" s="111" t="s">
        <v>330</v>
      </c>
      <c r="C179" s="95" t="s">
        <v>515</v>
      </c>
      <c r="F179" s="133">
        <f t="shared" ref="F179:M179" si="82">ECC</f>
        <v>0</v>
      </c>
      <c r="G179" s="133">
        <f t="shared" si="82"/>
        <v>0</v>
      </c>
      <c r="H179" s="133">
        <f t="shared" si="82"/>
        <v>0</v>
      </c>
      <c r="I179" s="133">
        <f t="shared" si="82"/>
        <v>0</v>
      </c>
      <c r="J179" s="133">
        <f t="shared" si="82"/>
        <v>0</v>
      </c>
      <c r="K179" s="133">
        <f t="shared" si="82"/>
        <v>0</v>
      </c>
      <c r="L179" s="133">
        <f t="shared" si="82"/>
        <v>0</v>
      </c>
      <c r="M179" s="133">
        <f t="shared" si="82"/>
        <v>0</v>
      </c>
      <c r="N179" s="343" t="s">
        <v>330</v>
      </c>
    </row>
    <row r="180" spans="1:15">
      <c r="A180" s="111" t="s">
        <v>322</v>
      </c>
      <c r="B180" s="111" t="s">
        <v>320</v>
      </c>
      <c r="C180" s="259" t="s">
        <v>1</v>
      </c>
      <c r="F180" s="136">
        <f>((F176*F177)+(F178*F179))/1000000</f>
        <v>0</v>
      </c>
      <c r="G180" s="136">
        <f>((G176*G177)+(G178*G179))/1000000</f>
        <v>0</v>
      </c>
      <c r="H180" s="136">
        <f t="shared" ref="H180:M180" si="83">((H176*H177)+(H178*H179))/1000000</f>
        <v>0</v>
      </c>
      <c r="I180" s="136">
        <f t="shared" si="83"/>
        <v>0</v>
      </c>
      <c r="J180" s="136">
        <f t="shared" si="83"/>
        <v>0</v>
      </c>
      <c r="K180" s="136">
        <f t="shared" si="83"/>
        <v>0</v>
      </c>
      <c r="L180" s="136">
        <f t="shared" si="83"/>
        <v>0</v>
      </c>
      <c r="M180" s="136">
        <f t="shared" si="83"/>
        <v>0</v>
      </c>
      <c r="N180" s="343" t="s">
        <v>320</v>
      </c>
    </row>
    <row r="181" spans="1:15">
      <c r="C181" s="259"/>
      <c r="F181" s="118"/>
      <c r="G181" s="242"/>
      <c r="H181" s="242"/>
      <c r="I181" s="242"/>
      <c r="J181" s="118"/>
      <c r="N181" s="332"/>
    </row>
    <row r="182" spans="1:15">
      <c r="C182" s="259"/>
      <c r="N182" s="332"/>
    </row>
    <row r="183" spans="1:15">
      <c r="C183" s="259"/>
      <c r="N183" s="332"/>
    </row>
    <row r="184" spans="1:15">
      <c r="A184" s="144" t="s">
        <v>376</v>
      </c>
      <c r="C184" s="259"/>
      <c r="N184" s="332"/>
    </row>
    <row r="185" spans="1:15">
      <c r="A185" s="110" t="s">
        <v>475</v>
      </c>
      <c r="B185" s="131"/>
      <c r="C185" s="262"/>
      <c r="D185" s="131"/>
      <c r="E185" s="131"/>
      <c r="F185" s="131"/>
      <c r="G185" s="131"/>
      <c r="H185" s="131"/>
      <c r="N185" s="332"/>
    </row>
    <row r="186" spans="1:15" ht="14.25">
      <c r="A186" s="131" t="s">
        <v>377</v>
      </c>
      <c r="B186" s="131"/>
      <c r="C186" s="262"/>
      <c r="D186" s="131"/>
      <c r="E186" s="131"/>
      <c r="F186" s="112">
        <v>2014</v>
      </c>
      <c r="G186" s="112">
        <v>2015</v>
      </c>
      <c r="H186" s="112">
        <v>2016</v>
      </c>
      <c r="I186" s="112">
        <v>2017</v>
      </c>
      <c r="J186" s="112">
        <v>2018</v>
      </c>
      <c r="K186" s="112">
        <v>2019</v>
      </c>
      <c r="L186" s="112">
        <v>2020</v>
      </c>
      <c r="M186" s="112">
        <v>2021</v>
      </c>
      <c r="N186" s="332"/>
    </row>
    <row r="187" spans="1:15">
      <c r="A187" s="121" t="s">
        <v>217</v>
      </c>
      <c r="B187" s="96" t="s">
        <v>51</v>
      </c>
      <c r="C187" s="262" t="s">
        <v>447</v>
      </c>
      <c r="D187" s="131"/>
      <c r="E187" s="131"/>
      <c r="F187" s="248">
        <f>'R4 Licence Condition Values'!F63</f>
        <v>150.69999999999999</v>
      </c>
      <c r="G187" s="248">
        <f>'R4 Licence Condition Values'!G63</f>
        <v>173.1</v>
      </c>
      <c r="H187" s="248">
        <f>'R4 Licence Condition Values'!H63</f>
        <v>210.7</v>
      </c>
      <c r="I187" s="248">
        <f>'R4 Licence Condition Values'!I63</f>
        <v>226.1</v>
      </c>
      <c r="J187" s="248">
        <f>'R4 Licence Condition Values'!J63</f>
        <v>245.3</v>
      </c>
      <c r="K187" s="248">
        <f>'R4 Licence Condition Values'!K63</f>
        <v>261.39999999999998</v>
      </c>
      <c r="L187" s="248">
        <f>'R4 Licence Condition Values'!L63</f>
        <v>270.89999999999998</v>
      </c>
      <c r="M187" s="248">
        <f>'R4 Licence Condition Values'!M63</f>
        <v>274.7</v>
      </c>
      <c r="N187" s="343" t="s">
        <v>51</v>
      </c>
      <c r="O187" s="332"/>
    </row>
    <row r="188" spans="1:15">
      <c r="A188" s="121" t="s">
        <v>443</v>
      </c>
      <c r="B188" s="208" t="s">
        <v>442</v>
      </c>
      <c r="C188" s="262" t="s">
        <v>447</v>
      </c>
      <c r="D188" s="204"/>
      <c r="E188" s="131"/>
      <c r="F188" s="131"/>
      <c r="G188" s="131"/>
      <c r="H188" s="228">
        <f>H198</f>
        <v>0</v>
      </c>
      <c r="I188" s="249">
        <f>I208</f>
        <v>0</v>
      </c>
      <c r="J188" s="249">
        <f t="shared" ref="J188:M188" si="84">J208</f>
        <v>0</v>
      </c>
      <c r="K188" s="249">
        <f t="shared" si="84"/>
        <v>0</v>
      </c>
      <c r="L188" s="249">
        <f t="shared" si="84"/>
        <v>0</v>
      </c>
      <c r="M188" s="228">
        <f t="shared" si="84"/>
        <v>0</v>
      </c>
      <c r="N188" s="343"/>
    </row>
    <row r="189" spans="1:15">
      <c r="A189" s="121" t="s">
        <v>47</v>
      </c>
      <c r="B189" s="96" t="s">
        <v>306</v>
      </c>
      <c r="C189" s="262" t="s">
        <v>447</v>
      </c>
      <c r="D189" s="131"/>
      <c r="E189" s="131"/>
      <c r="F189" s="131"/>
      <c r="G189" s="131"/>
      <c r="H189" s="250">
        <f>H187+H188</f>
        <v>210.7</v>
      </c>
      <c r="I189" s="250">
        <f t="shared" ref="I189:M189" si="85">I187+I188</f>
        <v>226.1</v>
      </c>
      <c r="J189" s="250">
        <f t="shared" si="85"/>
        <v>245.3</v>
      </c>
      <c r="K189" s="250">
        <f t="shared" si="85"/>
        <v>261.39999999999998</v>
      </c>
      <c r="L189" s="250">
        <f t="shared" si="85"/>
        <v>270.89999999999998</v>
      </c>
      <c r="M189" s="250">
        <f t="shared" si="85"/>
        <v>274.7</v>
      </c>
      <c r="N189" s="343" t="s">
        <v>306</v>
      </c>
    </row>
    <row r="190" spans="1:15">
      <c r="C190" s="259"/>
      <c r="N190" s="332"/>
    </row>
    <row r="191" spans="1:15">
      <c r="C191" s="259"/>
      <c r="N191" s="332"/>
    </row>
    <row r="192" spans="1:15">
      <c r="C192" s="259"/>
      <c r="F192" s="111" t="s">
        <v>522</v>
      </c>
      <c r="N192" s="332"/>
    </row>
    <row r="193" spans="1:14">
      <c r="A193" s="110" t="s">
        <v>466</v>
      </c>
      <c r="C193" s="259"/>
      <c r="J193" s="118"/>
      <c r="N193" s="332"/>
    </row>
    <row r="194" spans="1:14" ht="24" customHeight="1">
      <c r="C194" s="259"/>
      <c r="N194" s="332"/>
    </row>
    <row r="195" spans="1:14" ht="14.25">
      <c r="C195" s="259"/>
      <c r="F195" s="301"/>
      <c r="G195" s="304"/>
      <c r="H195" s="298">
        <v>2016</v>
      </c>
      <c r="N195" s="332"/>
    </row>
    <row r="196" spans="1:14">
      <c r="A196" s="111" t="s">
        <v>445</v>
      </c>
      <c r="B196" s="111" t="s">
        <v>445</v>
      </c>
      <c r="C196" s="259" t="s">
        <v>447</v>
      </c>
      <c r="F196" s="302"/>
      <c r="G196" s="305"/>
      <c r="H196" s="299">
        <f>SWWE</f>
        <v>0</v>
      </c>
      <c r="I196" s="343" t="s">
        <v>445</v>
      </c>
      <c r="J196" s="343"/>
      <c r="K196" s="332"/>
      <c r="L196" s="332"/>
      <c r="M196" s="332"/>
      <c r="N196" s="332"/>
    </row>
    <row r="197" spans="1:14">
      <c r="A197" s="111" t="s">
        <v>448</v>
      </c>
      <c r="B197" s="111" t="s">
        <v>446</v>
      </c>
      <c r="C197" s="259" t="s">
        <v>117</v>
      </c>
      <c r="F197" s="302"/>
      <c r="G197" s="305"/>
      <c r="H197" s="299">
        <f>TF</f>
        <v>0</v>
      </c>
      <c r="I197" s="343" t="s">
        <v>446</v>
      </c>
      <c r="J197" s="332"/>
      <c r="K197" s="332"/>
      <c r="L197" s="332"/>
      <c r="M197" s="332"/>
      <c r="N197" s="332"/>
    </row>
    <row r="198" spans="1:14">
      <c r="A198" s="111" t="s">
        <v>443</v>
      </c>
      <c r="B198" s="111" t="s">
        <v>442</v>
      </c>
      <c r="C198" s="259" t="s">
        <v>447</v>
      </c>
      <c r="F198" s="303"/>
      <c r="G198" s="306"/>
      <c r="H198" s="300">
        <f>H196*H197</f>
        <v>0</v>
      </c>
      <c r="I198" s="332"/>
      <c r="J198" s="343"/>
      <c r="K198" s="332"/>
      <c r="L198" s="332"/>
      <c r="M198" s="332"/>
      <c r="N198" s="332"/>
    </row>
    <row r="199" spans="1:14" s="241" customFormat="1">
      <c r="C199" s="264"/>
      <c r="H199" s="246"/>
      <c r="I199" s="246"/>
      <c r="J199" s="246"/>
      <c r="K199" s="246"/>
      <c r="L199" s="246"/>
      <c r="M199" s="246"/>
      <c r="N199" s="332"/>
    </row>
    <row r="200" spans="1:14">
      <c r="C200" s="259"/>
      <c r="N200" s="332"/>
    </row>
    <row r="201" spans="1:14">
      <c r="C201" s="259"/>
      <c r="F201" s="111" t="s">
        <v>523</v>
      </c>
      <c r="N201" s="332"/>
    </row>
    <row r="202" spans="1:14">
      <c r="A202" s="110" t="s">
        <v>466</v>
      </c>
      <c r="C202" s="259"/>
      <c r="N202" s="332"/>
    </row>
    <row r="203" spans="1:14">
      <c r="C203" s="259"/>
      <c r="N203" s="332"/>
    </row>
    <row r="204" spans="1:14" ht="14.25">
      <c r="C204" s="259"/>
      <c r="F204" s="118"/>
      <c r="I204" s="112">
        <v>2017</v>
      </c>
      <c r="J204" s="112">
        <v>2018</v>
      </c>
      <c r="K204" s="112">
        <v>2019</v>
      </c>
      <c r="L204" s="112">
        <v>2020</v>
      </c>
      <c r="M204" s="112">
        <v>2021</v>
      </c>
      <c r="N204" s="332"/>
    </row>
    <row r="205" spans="1:14">
      <c r="A205" s="111" t="s">
        <v>445</v>
      </c>
      <c r="B205" s="111" t="s">
        <v>445</v>
      </c>
      <c r="C205" s="259" t="s">
        <v>447</v>
      </c>
      <c r="I205" s="156">
        <f>SWWE</f>
        <v>0</v>
      </c>
      <c r="J205" s="156">
        <f>SWWE</f>
        <v>0</v>
      </c>
      <c r="K205" s="156">
        <f>SWWE</f>
        <v>0</v>
      </c>
      <c r="L205" s="156">
        <f>SWWE</f>
        <v>0</v>
      </c>
      <c r="M205" s="139">
        <f>SWWE</f>
        <v>0</v>
      </c>
      <c r="N205" s="343" t="s">
        <v>445</v>
      </c>
    </row>
    <row r="206" spans="1:14">
      <c r="A206" s="111" t="s">
        <v>448</v>
      </c>
      <c r="B206" s="111" t="s">
        <v>446</v>
      </c>
      <c r="C206" s="259" t="s">
        <v>117</v>
      </c>
      <c r="I206" s="156">
        <f>TF</f>
        <v>0</v>
      </c>
      <c r="J206" s="156">
        <f>TF</f>
        <v>0</v>
      </c>
      <c r="K206" s="156">
        <f>TF</f>
        <v>0</v>
      </c>
      <c r="L206" s="156">
        <f>TF</f>
        <v>0</v>
      </c>
      <c r="M206" s="139">
        <f>TF</f>
        <v>0</v>
      </c>
      <c r="N206" s="343" t="s">
        <v>446</v>
      </c>
    </row>
    <row r="207" spans="1:14">
      <c r="A207" s="111" t="s">
        <v>449</v>
      </c>
      <c r="B207" s="111" t="s">
        <v>449</v>
      </c>
      <c r="C207" s="259" t="s">
        <v>447</v>
      </c>
      <c r="F207" s="118"/>
      <c r="I207" s="156">
        <f>ASWWE</f>
        <v>0</v>
      </c>
      <c r="J207" s="156">
        <f>ASWWE</f>
        <v>0</v>
      </c>
      <c r="K207" s="156">
        <f>ASWWE</f>
        <v>0</v>
      </c>
      <c r="L207" s="156">
        <f>ASWWE</f>
        <v>0</v>
      </c>
      <c r="M207" s="139">
        <f>ASWWE</f>
        <v>0</v>
      </c>
      <c r="N207" s="343" t="s">
        <v>449</v>
      </c>
    </row>
    <row r="208" spans="1:14">
      <c r="A208" s="111" t="s">
        <v>443</v>
      </c>
      <c r="B208" s="111" t="s">
        <v>442</v>
      </c>
      <c r="C208" s="259" t="s">
        <v>447</v>
      </c>
      <c r="I208" s="158">
        <f>I205*I206+I207</f>
        <v>0</v>
      </c>
      <c r="J208" s="158">
        <f t="shared" ref="J208:M208" si="86">J205*J206+J207</f>
        <v>0</v>
      </c>
      <c r="K208" s="158">
        <f t="shared" si="86"/>
        <v>0</v>
      </c>
      <c r="L208" s="158">
        <f t="shared" si="86"/>
        <v>0</v>
      </c>
      <c r="M208" s="158">
        <f t="shared" si="86"/>
        <v>0</v>
      </c>
      <c r="N208" s="332"/>
    </row>
    <row r="209" spans="6:14">
      <c r="F209" s="118"/>
      <c r="N209" s="332"/>
    </row>
    <row r="210" spans="6:14">
      <c r="N210" s="332"/>
    </row>
    <row r="211" spans="6:14">
      <c r="N211" s="332"/>
    </row>
    <row r="212" spans="6:14">
      <c r="N212" s="332"/>
    </row>
    <row r="213" spans="6:14">
      <c r="N213" s="332"/>
    </row>
    <row r="214" spans="6:14">
      <c r="N214" s="332"/>
    </row>
    <row r="215" spans="6:14">
      <c r="N215" s="332"/>
    </row>
    <row r="216" spans="6:14">
      <c r="N216" s="332"/>
    </row>
    <row r="217" spans="6:14">
      <c r="N217" s="332"/>
    </row>
    <row r="218" spans="6:14">
      <c r="N218" s="332"/>
    </row>
    <row r="219" spans="6:14">
      <c r="N219" s="332"/>
    </row>
    <row r="220" spans="6:14">
      <c r="N220" s="332"/>
    </row>
    <row r="221" spans="6:14">
      <c r="N221" s="332"/>
    </row>
    <row r="222" spans="6:14">
      <c r="N222" s="332"/>
    </row>
    <row r="223" spans="6:14">
      <c r="N223" s="332"/>
    </row>
    <row r="224" spans="6:14">
      <c r="N224" s="332"/>
    </row>
    <row r="225" spans="14:14">
      <c r="N225" s="332"/>
    </row>
    <row r="226" spans="14:14">
      <c r="N226" s="332"/>
    </row>
    <row r="227" spans="14:14">
      <c r="N227" s="332"/>
    </row>
    <row r="228" spans="14:14">
      <c r="N228" s="332"/>
    </row>
    <row r="229" spans="14:14">
      <c r="N229" s="332"/>
    </row>
    <row r="230" spans="14:14">
      <c r="N230" s="332"/>
    </row>
    <row r="231" spans="14:14">
      <c r="N231" s="332"/>
    </row>
    <row r="232" spans="14:14">
      <c r="N232" s="332"/>
    </row>
    <row r="233" spans="14:14">
      <c r="N233" s="332"/>
    </row>
    <row r="234" spans="14:14">
      <c r="N234" s="332"/>
    </row>
    <row r="235" spans="14:14">
      <c r="N235" s="332"/>
    </row>
    <row r="236" spans="14:14">
      <c r="N236" s="332"/>
    </row>
    <row r="237" spans="14:14">
      <c r="N237" s="332"/>
    </row>
    <row r="238" spans="14:14">
      <c r="N238" s="332"/>
    </row>
    <row r="239" spans="14:14">
      <c r="N239" s="332"/>
    </row>
    <row r="240" spans="14:14">
      <c r="N240" s="332"/>
    </row>
    <row r="241" spans="14:14">
      <c r="N241" s="332"/>
    </row>
    <row r="242" spans="14:14">
      <c r="N242" s="332"/>
    </row>
    <row r="243" spans="14:14">
      <c r="N243" s="332"/>
    </row>
    <row r="244" spans="14:14">
      <c r="N244" s="332"/>
    </row>
    <row r="245" spans="14:14">
      <c r="N245" s="332"/>
    </row>
    <row r="246" spans="14:14">
      <c r="N246" s="332"/>
    </row>
    <row r="247" spans="14:14">
      <c r="N247" s="332"/>
    </row>
    <row r="248" spans="14:14">
      <c r="N248" s="332"/>
    </row>
    <row r="249" spans="14:14">
      <c r="N249" s="332"/>
    </row>
    <row r="250" spans="14:14">
      <c r="N250" s="332"/>
    </row>
    <row r="251" spans="14:14">
      <c r="N251" s="332"/>
    </row>
    <row r="252" spans="14:14">
      <c r="N252" s="332"/>
    </row>
    <row r="253" spans="14:14">
      <c r="N253" s="332"/>
    </row>
    <row r="254" spans="14:14">
      <c r="N254" s="332"/>
    </row>
    <row r="255" spans="14:14">
      <c r="N255" s="332"/>
    </row>
    <row r="256" spans="14:14">
      <c r="N256" s="332"/>
    </row>
    <row r="257" spans="14:14">
      <c r="N257" s="332"/>
    </row>
    <row r="258" spans="14:14">
      <c r="N258" s="332"/>
    </row>
    <row r="259" spans="14:14">
      <c r="N259" s="332"/>
    </row>
    <row r="260" spans="14:14">
      <c r="N260" s="332"/>
    </row>
    <row r="261" spans="14:14">
      <c r="N261" s="332"/>
    </row>
    <row r="262" spans="14:14">
      <c r="N262" s="332"/>
    </row>
    <row r="263" spans="14:14">
      <c r="N263" s="332"/>
    </row>
    <row r="264" spans="14:14">
      <c r="N264" s="332"/>
    </row>
    <row r="265" spans="14:14">
      <c r="N265" s="332"/>
    </row>
    <row r="266" spans="14:14">
      <c r="N266" s="332"/>
    </row>
    <row r="267" spans="14:14">
      <c r="N267" s="332"/>
    </row>
    <row r="268" spans="14:14">
      <c r="N268" s="332"/>
    </row>
    <row r="269" spans="14:14">
      <c r="N269" s="332"/>
    </row>
    <row r="270" spans="14:14">
      <c r="N270" s="332"/>
    </row>
    <row r="271" spans="14:14">
      <c r="N271" s="332"/>
    </row>
    <row r="272" spans="14:14">
      <c r="N272" s="332"/>
    </row>
    <row r="273" spans="14:14">
      <c r="N273" s="332"/>
    </row>
    <row r="274" spans="14:14">
      <c r="N274" s="332"/>
    </row>
    <row r="275" spans="14:14">
      <c r="N275" s="332"/>
    </row>
    <row r="276" spans="14:14">
      <c r="N276" s="332"/>
    </row>
    <row r="277" spans="14:14">
      <c r="N277" s="332"/>
    </row>
    <row r="278" spans="14:14">
      <c r="N278" s="332"/>
    </row>
    <row r="279" spans="14:14">
      <c r="N279" s="332"/>
    </row>
    <row r="280" spans="14:14">
      <c r="N280" s="332"/>
    </row>
    <row r="281" spans="14:14">
      <c r="N281" s="332"/>
    </row>
    <row r="282" spans="14:14">
      <c r="N282" s="332"/>
    </row>
    <row r="283" spans="14:14">
      <c r="N283" s="332"/>
    </row>
    <row r="284" spans="14:14">
      <c r="N284" s="332"/>
    </row>
    <row r="285" spans="14:14">
      <c r="N285" s="332"/>
    </row>
    <row r="286" spans="14:14">
      <c r="N286" s="332"/>
    </row>
    <row r="287" spans="14:14">
      <c r="N287" s="332"/>
    </row>
    <row r="288" spans="14:14">
      <c r="N288" s="332"/>
    </row>
    <row r="289" spans="14:14">
      <c r="N289" s="332"/>
    </row>
    <row r="290" spans="14:14">
      <c r="N290" s="332"/>
    </row>
    <row r="291" spans="14:14">
      <c r="N291" s="332"/>
    </row>
    <row r="292" spans="14:14">
      <c r="N292" s="332"/>
    </row>
    <row r="293" spans="14:14">
      <c r="N293" s="332"/>
    </row>
    <row r="294" spans="14:14">
      <c r="N294" s="332"/>
    </row>
    <row r="295" spans="14:14">
      <c r="N295" s="332"/>
    </row>
    <row r="296" spans="14:14">
      <c r="N296" s="332"/>
    </row>
    <row r="297" spans="14:14">
      <c r="N297" s="332"/>
    </row>
    <row r="298" spans="14:14">
      <c r="N298" s="332"/>
    </row>
    <row r="299" spans="14:14">
      <c r="N299" s="332"/>
    </row>
    <row r="300" spans="14:14">
      <c r="N300" s="332"/>
    </row>
    <row r="301" spans="14:14">
      <c r="N301" s="332"/>
    </row>
    <row r="302" spans="14:14">
      <c r="N302" s="332"/>
    </row>
    <row r="303" spans="14:14">
      <c r="N303" s="332"/>
    </row>
    <row r="304" spans="14:14">
      <c r="N304" s="332"/>
    </row>
    <row r="305" spans="14:14">
      <c r="N305" s="332"/>
    </row>
    <row r="306" spans="14:14">
      <c r="N306" s="332"/>
    </row>
    <row r="307" spans="14:14">
      <c r="N307" s="332"/>
    </row>
    <row r="308" spans="14:14">
      <c r="N308" s="332"/>
    </row>
    <row r="309" spans="14:14">
      <c r="N309" s="332"/>
    </row>
    <row r="310" spans="14:14">
      <c r="N310" s="332"/>
    </row>
    <row r="311" spans="14:14">
      <c r="N311" s="332"/>
    </row>
    <row r="312" spans="14:14">
      <c r="N312" s="332"/>
    </row>
    <row r="313" spans="14:14">
      <c r="N313" s="332"/>
    </row>
    <row r="314" spans="14:14">
      <c r="N314" s="332"/>
    </row>
    <row r="315" spans="14:14">
      <c r="N315" s="332"/>
    </row>
    <row r="316" spans="14:14">
      <c r="N316" s="332"/>
    </row>
    <row r="317" spans="14:14">
      <c r="N317" s="332"/>
    </row>
    <row r="318" spans="14:14">
      <c r="N318" s="332"/>
    </row>
    <row r="319" spans="14:14">
      <c r="N319" s="332"/>
    </row>
    <row r="320" spans="14:14">
      <c r="N320" s="332"/>
    </row>
    <row r="321" spans="14:14">
      <c r="N321" s="332"/>
    </row>
    <row r="322" spans="14:14">
      <c r="N322" s="332"/>
    </row>
    <row r="323" spans="14:14">
      <c r="N323" s="332"/>
    </row>
    <row r="324" spans="14:14">
      <c r="N324" s="332"/>
    </row>
    <row r="325" spans="14:14">
      <c r="N325" s="332"/>
    </row>
    <row r="326" spans="14:14">
      <c r="N326" s="332"/>
    </row>
    <row r="327" spans="14:14">
      <c r="N327" s="332"/>
    </row>
    <row r="328" spans="14:14">
      <c r="N328" s="332"/>
    </row>
    <row r="329" spans="14:14">
      <c r="N329" s="332"/>
    </row>
    <row r="330" spans="14:14">
      <c r="N330" s="332"/>
    </row>
    <row r="331" spans="14:14">
      <c r="N331" s="332"/>
    </row>
    <row r="332" spans="14:14">
      <c r="N332" s="332"/>
    </row>
    <row r="333" spans="14:14">
      <c r="N333" s="332"/>
    </row>
    <row r="334" spans="14:14">
      <c r="N334" s="332"/>
    </row>
    <row r="335" spans="14:14">
      <c r="N335" s="332"/>
    </row>
    <row r="336" spans="14:14">
      <c r="N336" s="332"/>
    </row>
    <row r="337" spans="14:14">
      <c r="N337" s="332"/>
    </row>
    <row r="338" spans="14:14">
      <c r="N338" s="332"/>
    </row>
    <row r="339" spans="14:14">
      <c r="N339" s="332"/>
    </row>
    <row r="340" spans="14:14">
      <c r="N340" s="332"/>
    </row>
    <row r="341" spans="14:14">
      <c r="N341" s="332"/>
    </row>
    <row r="342" spans="14:14">
      <c r="N342" s="332"/>
    </row>
    <row r="343" spans="14:14">
      <c r="N343" s="332"/>
    </row>
    <row r="344" spans="14:14">
      <c r="N344" s="332"/>
    </row>
    <row r="345" spans="14:14">
      <c r="N345" s="332"/>
    </row>
    <row r="346" spans="14:14">
      <c r="N346" s="332"/>
    </row>
    <row r="347" spans="14:14">
      <c r="N347" s="332"/>
    </row>
    <row r="348" spans="14:14">
      <c r="N348" s="332"/>
    </row>
    <row r="349" spans="14:14">
      <c r="N349" s="332"/>
    </row>
    <row r="350" spans="14:14">
      <c r="N350" s="332"/>
    </row>
    <row r="351" spans="14:14">
      <c r="N351" s="332"/>
    </row>
    <row r="352" spans="14:14">
      <c r="N352" s="332"/>
    </row>
    <row r="353" spans="14:14">
      <c r="N353" s="332"/>
    </row>
    <row r="354" spans="14:14">
      <c r="N354" s="332"/>
    </row>
    <row r="355" spans="14:14">
      <c r="N355" s="332"/>
    </row>
    <row r="356" spans="14:14">
      <c r="N356" s="332"/>
    </row>
    <row r="357" spans="14:14">
      <c r="N357" s="332"/>
    </row>
    <row r="358" spans="14:14">
      <c r="N358" s="332"/>
    </row>
    <row r="359" spans="14:14">
      <c r="N359" s="332"/>
    </row>
    <row r="360" spans="14:14">
      <c r="N360" s="332"/>
    </row>
    <row r="361" spans="14:14">
      <c r="N361" s="332"/>
    </row>
    <row r="362" spans="14:14">
      <c r="N362" s="332"/>
    </row>
    <row r="363" spans="14:14">
      <c r="N363" s="332"/>
    </row>
    <row r="364" spans="14:14">
      <c r="N364" s="332"/>
    </row>
    <row r="365" spans="14:14">
      <c r="N365" s="332"/>
    </row>
    <row r="366" spans="14:14">
      <c r="N366" s="332"/>
    </row>
    <row r="367" spans="14:14">
      <c r="N367" s="332"/>
    </row>
    <row r="368" spans="14:14">
      <c r="N368" s="332"/>
    </row>
    <row r="369" spans="14:14">
      <c r="N369" s="332"/>
    </row>
    <row r="370" spans="14:14">
      <c r="N370" s="332"/>
    </row>
    <row r="371" spans="14:14">
      <c r="N371" s="332"/>
    </row>
    <row r="372" spans="14:14">
      <c r="N372" s="332"/>
    </row>
    <row r="373" spans="14:14">
      <c r="N373" s="332"/>
    </row>
    <row r="374" spans="14:14">
      <c r="N374" s="332"/>
    </row>
    <row r="375" spans="14:14">
      <c r="N375" s="332"/>
    </row>
    <row r="376" spans="14:14">
      <c r="N376" s="332"/>
    </row>
    <row r="377" spans="14:14">
      <c r="N377" s="332"/>
    </row>
    <row r="378" spans="14:14">
      <c r="N378" s="332"/>
    </row>
    <row r="379" spans="14:14">
      <c r="N379" s="332"/>
    </row>
    <row r="380" spans="14:14">
      <c r="N380" s="332"/>
    </row>
    <row r="381" spans="14:14">
      <c r="N381" s="332"/>
    </row>
    <row r="382" spans="14:14">
      <c r="N382" s="332"/>
    </row>
    <row r="383" spans="14:14">
      <c r="N383" s="332"/>
    </row>
    <row r="384" spans="14:14">
      <c r="N384" s="332"/>
    </row>
    <row r="385" spans="14:14">
      <c r="N385" s="332"/>
    </row>
    <row r="386" spans="14:14">
      <c r="N386" s="332"/>
    </row>
    <row r="387" spans="14:14">
      <c r="N387" s="332"/>
    </row>
    <row r="388" spans="14:14">
      <c r="N388" s="332"/>
    </row>
    <row r="389" spans="14:14">
      <c r="N389" s="332"/>
    </row>
    <row r="390" spans="14:14">
      <c r="N390" s="332"/>
    </row>
    <row r="391" spans="14:14">
      <c r="N391" s="332"/>
    </row>
    <row r="392" spans="14:14">
      <c r="N392" s="332"/>
    </row>
    <row r="393" spans="14:14">
      <c r="N393" s="332"/>
    </row>
    <row r="394" spans="14:14">
      <c r="N394" s="332"/>
    </row>
    <row r="395" spans="14:14">
      <c r="N395" s="332"/>
    </row>
    <row r="396" spans="14:14">
      <c r="N396" s="332"/>
    </row>
    <row r="397" spans="14:14">
      <c r="N397" s="332"/>
    </row>
    <row r="398" spans="14:14">
      <c r="N398" s="332"/>
    </row>
    <row r="399" spans="14:14">
      <c r="N399" s="332"/>
    </row>
    <row r="400" spans="14:14">
      <c r="N400" s="332"/>
    </row>
    <row r="401" spans="14:14">
      <c r="N401" s="332"/>
    </row>
    <row r="402" spans="14:14">
      <c r="N402" s="332"/>
    </row>
    <row r="403" spans="14:14">
      <c r="N403" s="332"/>
    </row>
    <row r="404" spans="14:14">
      <c r="N404" s="332"/>
    </row>
    <row r="405" spans="14:14">
      <c r="N405" s="332"/>
    </row>
    <row r="406" spans="14:14">
      <c r="N406" s="332"/>
    </row>
    <row r="407" spans="14:14">
      <c r="N407" s="332"/>
    </row>
    <row r="408" spans="14:14">
      <c r="N408" s="332"/>
    </row>
    <row r="409" spans="14:14">
      <c r="N409" s="332"/>
    </row>
    <row r="410" spans="14:14">
      <c r="N410" s="332"/>
    </row>
    <row r="411" spans="14:14">
      <c r="N411" s="332"/>
    </row>
    <row r="412" spans="14:14">
      <c r="N412" s="332"/>
    </row>
    <row r="413" spans="14:14">
      <c r="N413" s="332"/>
    </row>
    <row r="414" spans="14:14">
      <c r="N414" s="332"/>
    </row>
    <row r="415" spans="14:14">
      <c r="N415" s="332"/>
    </row>
    <row r="416" spans="14:14">
      <c r="N416" s="332"/>
    </row>
    <row r="417" spans="14:14">
      <c r="N417" s="332"/>
    </row>
    <row r="418" spans="14:14">
      <c r="N418" s="332"/>
    </row>
    <row r="419" spans="14:14">
      <c r="N419" s="332"/>
    </row>
    <row r="420" spans="14:14">
      <c r="N420" s="332"/>
    </row>
    <row r="421" spans="14:14">
      <c r="N421" s="332"/>
    </row>
    <row r="422" spans="14:14">
      <c r="N422" s="332"/>
    </row>
    <row r="423" spans="14:14">
      <c r="N423" s="332"/>
    </row>
    <row r="424" spans="14:14">
      <c r="N424" s="332"/>
    </row>
    <row r="425" spans="14:14">
      <c r="N425" s="332"/>
    </row>
    <row r="426" spans="14:14">
      <c r="N426" s="332"/>
    </row>
    <row r="427" spans="14:14">
      <c r="N427" s="332"/>
    </row>
    <row r="428" spans="14:14">
      <c r="N428" s="332"/>
    </row>
    <row r="429" spans="14:14">
      <c r="N429" s="332"/>
    </row>
    <row r="430" spans="14:14">
      <c r="N430" s="332"/>
    </row>
    <row r="431" spans="14:14">
      <c r="N431" s="332"/>
    </row>
    <row r="432" spans="14:14">
      <c r="N432" s="332"/>
    </row>
    <row r="433" spans="14:14">
      <c r="N433" s="332"/>
    </row>
    <row r="434" spans="14:14">
      <c r="N434" s="332"/>
    </row>
    <row r="435" spans="14:14">
      <c r="N435" s="332"/>
    </row>
    <row r="436" spans="14:14">
      <c r="N436" s="332"/>
    </row>
    <row r="437" spans="14:14">
      <c r="N437" s="332"/>
    </row>
    <row r="438" spans="14:14">
      <c r="N438" s="332"/>
    </row>
    <row r="439" spans="14:14">
      <c r="N439" s="332"/>
    </row>
    <row r="440" spans="14:14">
      <c r="N440" s="332"/>
    </row>
    <row r="441" spans="14:14">
      <c r="N441" s="332"/>
    </row>
    <row r="442" spans="14:14">
      <c r="N442" s="332"/>
    </row>
    <row r="443" spans="14:14">
      <c r="N443" s="332"/>
    </row>
    <row r="444" spans="14:14">
      <c r="N444" s="332"/>
    </row>
    <row r="445" spans="14:14">
      <c r="N445" s="332"/>
    </row>
    <row r="446" spans="14:14">
      <c r="N446" s="332"/>
    </row>
    <row r="447" spans="14:14">
      <c r="N447" s="332"/>
    </row>
    <row r="448" spans="14:14">
      <c r="N448" s="332"/>
    </row>
    <row r="449" spans="14:14">
      <c r="N449" s="332"/>
    </row>
    <row r="450" spans="14:14">
      <c r="N450" s="332"/>
    </row>
    <row r="451" spans="14:14">
      <c r="N451" s="332"/>
    </row>
    <row r="452" spans="14:14">
      <c r="N452" s="332"/>
    </row>
    <row r="453" spans="14:14">
      <c r="N453" s="332"/>
    </row>
    <row r="454" spans="14:14">
      <c r="N454" s="332"/>
    </row>
    <row r="455" spans="14:14">
      <c r="N455" s="332"/>
    </row>
    <row r="456" spans="14:14">
      <c r="N456" s="332"/>
    </row>
    <row r="457" spans="14:14">
      <c r="N457" s="332"/>
    </row>
    <row r="458" spans="14:14">
      <c r="N458" s="332"/>
    </row>
    <row r="459" spans="14:14">
      <c r="N459" s="332"/>
    </row>
    <row r="460" spans="14:14">
      <c r="N460" s="332"/>
    </row>
    <row r="461" spans="14:14">
      <c r="N461" s="332"/>
    </row>
    <row r="462" spans="14:14">
      <c r="N462" s="332"/>
    </row>
    <row r="463" spans="14:14">
      <c r="N463" s="332"/>
    </row>
    <row r="464" spans="14:14">
      <c r="N464" s="332"/>
    </row>
    <row r="465" spans="14:14">
      <c r="N465" s="332"/>
    </row>
    <row r="466" spans="14:14">
      <c r="N466" s="332"/>
    </row>
    <row r="467" spans="14:14">
      <c r="N467" s="332"/>
    </row>
    <row r="468" spans="14:14">
      <c r="N468" s="332"/>
    </row>
    <row r="469" spans="14:14">
      <c r="N469" s="332"/>
    </row>
    <row r="470" spans="14:14">
      <c r="N470" s="332"/>
    </row>
    <row r="471" spans="14:14">
      <c r="N471" s="332"/>
    </row>
    <row r="472" spans="14:14">
      <c r="N472" s="332"/>
    </row>
    <row r="473" spans="14:14">
      <c r="N473" s="332"/>
    </row>
    <row r="474" spans="14:14">
      <c r="N474" s="332"/>
    </row>
    <row r="475" spans="14:14">
      <c r="N475" s="332"/>
    </row>
    <row r="476" spans="14:14">
      <c r="N476" s="332"/>
    </row>
    <row r="477" spans="14:14">
      <c r="N477" s="332"/>
    </row>
    <row r="478" spans="14:14">
      <c r="N478" s="332"/>
    </row>
    <row r="479" spans="14:14">
      <c r="N479" s="332"/>
    </row>
    <row r="480" spans="14:14">
      <c r="N480" s="332"/>
    </row>
    <row r="481" spans="14:14">
      <c r="N481" s="332"/>
    </row>
    <row r="482" spans="14:14">
      <c r="N482" s="332"/>
    </row>
    <row r="483" spans="14:14">
      <c r="N483" s="332"/>
    </row>
    <row r="900140" spans="1:1">
      <c r="A900140" s="111" t="s">
        <v>7</v>
      </c>
    </row>
    <row r="900141" spans="1:1">
      <c r="A900141" s="111" t="s">
        <v>2</v>
      </c>
    </row>
    <row r="900142" spans="1:1">
      <c r="A900142" s="111" t="s">
        <v>6</v>
      </c>
    </row>
    <row r="900143" spans="1:1">
      <c r="A900143" s="111" t="s">
        <v>3</v>
      </c>
    </row>
    <row r="900144" spans="1:1">
      <c r="A900144" s="111" t="s">
        <v>4</v>
      </c>
    </row>
    <row r="900145" spans="1:1">
      <c r="A900145" s="111" t="s">
        <v>5</v>
      </c>
    </row>
  </sheetData>
  <mergeCells count="3">
    <mergeCell ref="E17:F17"/>
    <mergeCell ref="F90:H90"/>
    <mergeCell ref="F102:H102"/>
  </mergeCells>
  <pageMargins left="0.19685039370078741" right="0.19685039370078741" top="0.39370078740157483" bottom="0.53" header="0.19685039370078741" footer="0.23622047244094491"/>
  <pageSetup paperSize="8" scale="62" orientation="portrait" r:id="rId1"/>
  <headerFooter>
    <oddFooter>&amp;C&amp;D&amp;R&amp;F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999982"/>
  <sheetViews>
    <sheetView showGridLines="0" zoomScale="85" zoomScaleNormal="85" workbookViewId="0"/>
  </sheetViews>
  <sheetFormatPr defaultColWidth="9" defaultRowHeight="12.4"/>
  <cols>
    <col min="1" max="1" width="28" style="111" customWidth="1"/>
    <col min="2" max="2" width="10.46875" style="111" customWidth="1"/>
    <col min="3" max="3" width="6.46875" style="111" customWidth="1"/>
    <col min="4" max="4" width="15.3515625" style="111" customWidth="1"/>
    <col min="5" max="5" width="3.64453125" style="111" customWidth="1"/>
    <col min="6" max="13" width="11.87890625" style="111" bestFit="1" customWidth="1"/>
    <col min="14" max="14" width="12.17578125" style="111" customWidth="1"/>
    <col min="15" max="16384" width="9" style="111"/>
  </cols>
  <sheetData>
    <row r="1" spans="1:19" s="121" customFormat="1" ht="14.65">
      <c r="A1" s="126" t="s">
        <v>133</v>
      </c>
      <c r="N1" s="346"/>
    </row>
    <row r="2" spans="1:19" s="121" customFormat="1" ht="14.65">
      <c r="A2" s="126" t="str">
        <f>CompName</f>
        <v>Scottish Hydro Electric Transmission Plc</v>
      </c>
      <c r="N2" s="346"/>
    </row>
    <row r="3" spans="1:19" s="121" customFormat="1">
      <c r="A3" s="128" t="str">
        <f>RegYr</f>
        <v>Regulatory Year ending 31 March 2019</v>
      </c>
      <c r="N3" s="346"/>
    </row>
    <row r="4" spans="1:19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347"/>
      <c r="O4" s="137"/>
      <c r="P4" s="137"/>
      <c r="Q4" s="137"/>
      <c r="R4" s="137"/>
      <c r="S4" s="137"/>
    </row>
    <row r="5" spans="1:19" ht="14.65">
      <c r="A5" s="159" t="s">
        <v>31</v>
      </c>
      <c r="B5" s="130"/>
      <c r="C5" s="130"/>
      <c r="D5" s="130"/>
      <c r="E5" s="130"/>
      <c r="F5" s="130"/>
      <c r="G5" s="130"/>
      <c r="H5" s="130"/>
      <c r="I5" s="130"/>
      <c r="N5" s="332"/>
    </row>
    <row r="6" spans="1:19" ht="13.5">
      <c r="B6" s="113"/>
      <c r="C6" s="113"/>
      <c r="D6" s="113"/>
      <c r="E6" s="113"/>
      <c r="F6" s="113"/>
      <c r="G6" s="113"/>
      <c r="H6" s="113"/>
      <c r="I6" s="113"/>
      <c r="N6" s="332"/>
    </row>
    <row r="7" spans="1:19" ht="16.5" customHeight="1">
      <c r="A7" s="110" t="s">
        <v>533</v>
      </c>
      <c r="D7" s="113"/>
      <c r="E7" s="113"/>
      <c r="F7" s="112">
        <v>2014</v>
      </c>
      <c r="G7" s="112">
        <v>2015</v>
      </c>
      <c r="H7" s="112">
        <v>2016</v>
      </c>
      <c r="I7" s="112">
        <v>2017</v>
      </c>
      <c r="J7" s="112">
        <v>2018</v>
      </c>
      <c r="K7" s="112">
        <v>2019</v>
      </c>
      <c r="L7" s="112">
        <v>2020</v>
      </c>
      <c r="M7" s="112">
        <v>2021</v>
      </c>
      <c r="N7" s="332"/>
    </row>
    <row r="8" spans="1:19" ht="13.5">
      <c r="A8" s="111" t="s">
        <v>36</v>
      </c>
      <c r="B8" s="111" t="s">
        <v>231</v>
      </c>
      <c r="C8" s="259" t="s">
        <v>1</v>
      </c>
      <c r="D8" s="113"/>
      <c r="E8" s="113"/>
      <c r="F8" s="230">
        <f t="shared" ref="F8:M8" si="0">NIA</f>
        <v>0</v>
      </c>
      <c r="G8" s="230">
        <f t="shared" si="0"/>
        <v>0</v>
      </c>
      <c r="H8" s="230">
        <f t="shared" si="0"/>
        <v>0</v>
      </c>
      <c r="I8" s="230">
        <f t="shared" si="0"/>
        <v>0</v>
      </c>
      <c r="J8" s="230">
        <f t="shared" si="0"/>
        <v>0</v>
      </c>
      <c r="K8" s="230">
        <f t="shared" si="0"/>
        <v>0</v>
      </c>
      <c r="L8" s="230">
        <f t="shared" si="0"/>
        <v>0</v>
      </c>
      <c r="M8" s="230">
        <f t="shared" si="0"/>
        <v>0</v>
      </c>
      <c r="N8" s="343" t="s">
        <v>231</v>
      </c>
    </row>
    <row r="9" spans="1:19">
      <c r="A9" s="273" t="s">
        <v>531</v>
      </c>
      <c r="B9" s="273" t="s">
        <v>532</v>
      </c>
      <c r="C9" s="276" t="s">
        <v>1</v>
      </c>
      <c r="D9" s="273"/>
      <c r="E9" s="273"/>
      <c r="F9" s="230">
        <f t="shared" ref="F9:M9" si="1">NICF</f>
        <v>0</v>
      </c>
      <c r="G9" s="230">
        <f t="shared" si="1"/>
        <v>0</v>
      </c>
      <c r="H9" s="230">
        <f t="shared" si="1"/>
        <v>0</v>
      </c>
      <c r="I9" s="230">
        <f t="shared" si="1"/>
        <v>0</v>
      </c>
      <c r="J9" s="230">
        <f t="shared" si="1"/>
        <v>0</v>
      </c>
      <c r="K9" s="230">
        <f t="shared" si="1"/>
        <v>0</v>
      </c>
      <c r="L9" s="230">
        <f t="shared" si="1"/>
        <v>0</v>
      </c>
      <c r="M9" s="230">
        <f t="shared" si="1"/>
        <v>0</v>
      </c>
      <c r="N9" s="343" t="s">
        <v>532</v>
      </c>
    </row>
    <row r="10" spans="1:19">
      <c r="C10" s="259"/>
      <c r="N10" s="332"/>
    </row>
    <row r="11" spans="1:19" ht="17.649999999999999">
      <c r="A11" s="110" t="s">
        <v>52</v>
      </c>
      <c r="C11" s="259"/>
      <c r="E11" s="129" t="s">
        <v>228</v>
      </c>
      <c r="H11" s="118"/>
      <c r="N11" s="332"/>
    </row>
    <row r="12" spans="1:19" ht="14.25">
      <c r="A12" s="110" t="s">
        <v>461</v>
      </c>
      <c r="C12" s="259"/>
      <c r="F12" s="112">
        <v>2014</v>
      </c>
      <c r="G12" s="112">
        <v>2015</v>
      </c>
      <c r="H12" s="112">
        <v>2016</v>
      </c>
      <c r="I12" s="112">
        <v>2017</v>
      </c>
      <c r="J12" s="112">
        <v>2018</v>
      </c>
      <c r="K12" s="112">
        <v>2019</v>
      </c>
      <c r="L12" s="112">
        <v>2020</v>
      </c>
      <c r="M12" s="112">
        <v>2021</v>
      </c>
      <c r="N12" s="332"/>
    </row>
    <row r="13" spans="1:19">
      <c r="A13" s="111" t="s">
        <v>53</v>
      </c>
      <c r="B13" s="111" t="s">
        <v>353</v>
      </c>
      <c r="C13" s="259" t="s">
        <v>1</v>
      </c>
      <c r="F13" s="230">
        <f t="shared" ref="F13:M13" si="2">ANIA</f>
        <v>0</v>
      </c>
      <c r="G13" s="230">
        <f t="shared" si="2"/>
        <v>0</v>
      </c>
      <c r="H13" s="230">
        <f t="shared" si="2"/>
        <v>0</v>
      </c>
      <c r="I13" s="230">
        <f t="shared" si="2"/>
        <v>0</v>
      </c>
      <c r="J13" s="230">
        <f t="shared" si="2"/>
        <v>0</v>
      </c>
      <c r="K13" s="230">
        <f t="shared" si="2"/>
        <v>0</v>
      </c>
      <c r="L13" s="230">
        <f t="shared" si="2"/>
        <v>0</v>
      </c>
      <c r="M13" s="230">
        <f t="shared" si="2"/>
        <v>0</v>
      </c>
      <c r="N13" s="343" t="s">
        <v>353</v>
      </c>
    </row>
    <row r="14" spans="1:19">
      <c r="A14" s="111" t="s">
        <v>589</v>
      </c>
      <c r="B14" s="111" t="s">
        <v>232</v>
      </c>
      <c r="C14" s="259" t="s">
        <v>1</v>
      </c>
      <c r="F14" s="230">
        <f t="shared" ref="F14:M14" si="3">NIAR</f>
        <v>0</v>
      </c>
      <c r="G14" s="230">
        <f t="shared" si="3"/>
        <v>0</v>
      </c>
      <c r="H14" s="230">
        <f t="shared" si="3"/>
        <v>0</v>
      </c>
      <c r="I14" s="230">
        <f t="shared" si="3"/>
        <v>0</v>
      </c>
      <c r="J14" s="230">
        <f t="shared" si="3"/>
        <v>0</v>
      </c>
      <c r="K14" s="230">
        <f t="shared" si="3"/>
        <v>0</v>
      </c>
      <c r="L14" s="230">
        <f t="shared" si="3"/>
        <v>0</v>
      </c>
      <c r="M14" s="230">
        <f t="shared" si="3"/>
        <v>0</v>
      </c>
      <c r="N14" s="343" t="s">
        <v>232</v>
      </c>
    </row>
    <row r="15" spans="1:19">
      <c r="A15" s="111" t="s">
        <v>36</v>
      </c>
      <c r="B15" s="111" t="s">
        <v>231</v>
      </c>
      <c r="C15" s="259" t="s">
        <v>1</v>
      </c>
      <c r="F15" s="229">
        <f>SUM(F13-F14)</f>
        <v>0</v>
      </c>
      <c r="G15" s="229">
        <f t="shared" ref="G15:M15" si="4">SUM(G13-G14)</f>
        <v>0</v>
      </c>
      <c r="H15" s="229">
        <f>SUM(H13-H14)</f>
        <v>0</v>
      </c>
      <c r="I15" s="229">
        <f t="shared" si="4"/>
        <v>0</v>
      </c>
      <c r="J15" s="229">
        <f t="shared" si="4"/>
        <v>0</v>
      </c>
      <c r="K15" s="229">
        <f t="shared" si="4"/>
        <v>0</v>
      </c>
      <c r="L15" s="229">
        <f t="shared" si="4"/>
        <v>0</v>
      </c>
      <c r="M15" s="229">
        <f t="shared" si="4"/>
        <v>0</v>
      </c>
      <c r="N15" s="343" t="s">
        <v>231</v>
      </c>
    </row>
    <row r="16" spans="1:19">
      <c r="C16" s="259"/>
      <c r="F16" s="118"/>
      <c r="G16" s="118"/>
      <c r="H16" s="118"/>
      <c r="I16" s="118"/>
      <c r="J16" s="118"/>
      <c r="K16" s="118"/>
      <c r="L16" s="118"/>
      <c r="M16" s="118"/>
      <c r="N16" s="332"/>
    </row>
    <row r="17" spans="1:14">
      <c r="C17" s="259"/>
      <c r="N17" s="332"/>
    </row>
    <row r="18" spans="1:14">
      <c r="C18" s="259"/>
      <c r="N18" s="332"/>
    </row>
    <row r="19" spans="1:14">
      <c r="C19" s="259"/>
      <c r="N19" s="332"/>
    </row>
    <row r="20" spans="1:14" ht="17.649999999999999">
      <c r="A20" s="110" t="s">
        <v>54</v>
      </c>
      <c r="C20" s="259"/>
      <c r="E20" s="129" t="s">
        <v>370</v>
      </c>
      <c r="J20" s="118"/>
      <c r="N20" s="332"/>
    </row>
    <row r="21" spans="1:14" ht="14.25">
      <c r="A21" s="110" t="s">
        <v>460</v>
      </c>
      <c r="C21" s="259"/>
      <c r="F21" s="112">
        <v>2014</v>
      </c>
      <c r="G21" s="112">
        <v>2015</v>
      </c>
      <c r="H21" s="112">
        <v>2016</v>
      </c>
      <c r="I21" s="112">
        <v>2017</v>
      </c>
      <c r="J21" s="112">
        <v>2018</v>
      </c>
      <c r="K21" s="112">
        <v>2019</v>
      </c>
      <c r="L21" s="112">
        <v>2020</v>
      </c>
      <c r="M21" s="112">
        <v>2021</v>
      </c>
      <c r="N21" s="332"/>
    </row>
    <row r="22" spans="1:14">
      <c r="A22" s="111" t="s">
        <v>58</v>
      </c>
      <c r="B22" s="111" t="s">
        <v>55</v>
      </c>
      <c r="C22" s="259" t="s">
        <v>117</v>
      </c>
      <c r="F22" s="244">
        <f t="shared" ref="F22:M22" si="5">PTRA</f>
        <v>0.9</v>
      </c>
      <c r="G22" s="244">
        <f t="shared" si="5"/>
        <v>0.9</v>
      </c>
      <c r="H22" s="244">
        <f t="shared" si="5"/>
        <v>0.9</v>
      </c>
      <c r="I22" s="244">
        <f t="shared" si="5"/>
        <v>0.9</v>
      </c>
      <c r="J22" s="244">
        <f t="shared" si="5"/>
        <v>0.9</v>
      </c>
      <c r="K22" s="244">
        <f t="shared" si="5"/>
        <v>0.9</v>
      </c>
      <c r="L22" s="244">
        <f t="shared" si="5"/>
        <v>0.9</v>
      </c>
      <c r="M22" s="244">
        <f t="shared" si="5"/>
        <v>0.9</v>
      </c>
      <c r="N22" s="343" t="s">
        <v>55</v>
      </c>
    </row>
    <row r="23" spans="1:14">
      <c r="A23" s="111" t="s">
        <v>59</v>
      </c>
      <c r="B23" s="111" t="s">
        <v>230</v>
      </c>
      <c r="C23" s="259" t="s">
        <v>1</v>
      </c>
      <c r="F23" s="133">
        <f t="shared" ref="F23:M23" si="6">ENIA</f>
        <v>0</v>
      </c>
      <c r="G23" s="133">
        <f t="shared" si="6"/>
        <v>0</v>
      </c>
      <c r="H23" s="133">
        <f t="shared" si="6"/>
        <v>0</v>
      </c>
      <c r="I23" s="133">
        <f t="shared" si="6"/>
        <v>0</v>
      </c>
      <c r="J23" s="133">
        <f t="shared" si="6"/>
        <v>0</v>
      </c>
      <c r="K23" s="133">
        <f t="shared" si="6"/>
        <v>0</v>
      </c>
      <c r="L23" s="133">
        <f t="shared" si="6"/>
        <v>0</v>
      </c>
      <c r="M23" s="133">
        <f t="shared" si="6"/>
        <v>0</v>
      </c>
      <c r="N23" s="353" t="s">
        <v>230</v>
      </c>
    </row>
    <row r="24" spans="1:14">
      <c r="A24" s="111" t="s">
        <v>229</v>
      </c>
      <c r="B24" s="111" t="s">
        <v>56</v>
      </c>
      <c r="C24" s="259" t="s">
        <v>1</v>
      </c>
      <c r="F24" s="133">
        <f t="shared" ref="F24:M24" si="7">BPC</f>
        <v>0</v>
      </c>
      <c r="G24" s="133">
        <f t="shared" si="7"/>
        <v>0</v>
      </c>
      <c r="H24" s="133">
        <f t="shared" si="7"/>
        <v>0</v>
      </c>
      <c r="I24" s="133">
        <f t="shared" si="7"/>
        <v>0</v>
      </c>
      <c r="J24" s="133">
        <f t="shared" si="7"/>
        <v>0</v>
      </c>
      <c r="K24" s="133">
        <f t="shared" si="7"/>
        <v>0</v>
      </c>
      <c r="L24" s="133">
        <f t="shared" si="7"/>
        <v>0</v>
      </c>
      <c r="M24" s="133">
        <f t="shared" si="7"/>
        <v>0</v>
      </c>
      <c r="N24" s="353" t="s">
        <v>56</v>
      </c>
    </row>
    <row r="25" spans="1:14">
      <c r="A25" s="111" t="s">
        <v>60</v>
      </c>
      <c r="B25" s="111" t="s">
        <v>57</v>
      </c>
      <c r="C25" s="259" t="s">
        <v>105</v>
      </c>
      <c r="F25" s="153">
        <f t="shared" ref="F25:M25" si="8">NIAV</f>
        <v>7.0000000000000001E-3</v>
      </c>
      <c r="G25" s="153">
        <f t="shared" si="8"/>
        <v>7.0000000000000001E-3</v>
      </c>
      <c r="H25" s="153">
        <f t="shared" si="8"/>
        <v>7.0000000000000001E-3</v>
      </c>
      <c r="I25" s="153">
        <f t="shared" si="8"/>
        <v>7.0000000000000001E-3</v>
      </c>
      <c r="J25" s="153">
        <f t="shared" si="8"/>
        <v>7.0000000000000001E-3</v>
      </c>
      <c r="K25" s="153">
        <f t="shared" si="8"/>
        <v>7.0000000000000001E-3</v>
      </c>
      <c r="L25" s="153">
        <f t="shared" si="8"/>
        <v>7.0000000000000001E-3</v>
      </c>
      <c r="M25" s="153">
        <f t="shared" si="8"/>
        <v>7.0000000000000001E-3</v>
      </c>
      <c r="N25" s="343" t="s">
        <v>57</v>
      </c>
    </row>
    <row r="26" spans="1:14">
      <c r="A26" s="111" t="s">
        <v>372</v>
      </c>
      <c r="B26" s="111" t="s">
        <v>371</v>
      </c>
      <c r="C26" s="259" t="s">
        <v>1</v>
      </c>
      <c r="F26" s="162">
        <v>290.12</v>
      </c>
      <c r="G26" s="162">
        <v>290.12</v>
      </c>
      <c r="H26" s="162">
        <v>290.12</v>
      </c>
      <c r="I26" s="162">
        <v>290.12</v>
      </c>
      <c r="J26" s="162">
        <v>290.12</v>
      </c>
      <c r="K26" s="162">
        <v>290.12</v>
      </c>
      <c r="L26" s="162">
        <v>290.12</v>
      </c>
      <c r="M26" s="162">
        <v>290.12</v>
      </c>
      <c r="N26" s="343" t="s">
        <v>371</v>
      </c>
    </row>
    <row r="27" spans="1:14">
      <c r="A27" s="111" t="s">
        <v>53</v>
      </c>
      <c r="B27" s="111" t="s">
        <v>353</v>
      </c>
      <c r="C27" s="259" t="s">
        <v>1</v>
      </c>
      <c r="F27" s="135">
        <f>F22*MIN( F23+F24,F25*F26)</f>
        <v>0</v>
      </c>
      <c r="G27" s="135">
        <f t="shared" ref="G27:M27" si="9">G22*MIN( G23+G24,G25*G26)</f>
        <v>0</v>
      </c>
      <c r="H27" s="135">
        <f>H22*MIN( H23+H24,H25*H26)</f>
        <v>0</v>
      </c>
      <c r="I27" s="135">
        <f t="shared" si="9"/>
        <v>0</v>
      </c>
      <c r="J27" s="135">
        <f t="shared" si="9"/>
        <v>0</v>
      </c>
      <c r="K27" s="135">
        <f t="shared" si="9"/>
        <v>0</v>
      </c>
      <c r="L27" s="135">
        <f t="shared" si="9"/>
        <v>0</v>
      </c>
      <c r="M27" s="135">
        <f t="shared" si="9"/>
        <v>0</v>
      </c>
      <c r="N27" s="343" t="s">
        <v>353</v>
      </c>
    </row>
    <row r="28" spans="1:14">
      <c r="C28" s="259"/>
      <c r="F28" s="118"/>
      <c r="G28" s="118"/>
      <c r="H28" s="118"/>
      <c r="N28" s="332"/>
    </row>
    <row r="29" spans="1:14">
      <c r="C29" s="259"/>
      <c r="N29" s="332"/>
    </row>
    <row r="30" spans="1:14">
      <c r="C30" s="259"/>
      <c r="N30" s="332"/>
    </row>
    <row r="31" spans="1:14">
      <c r="A31" s="118" t="s">
        <v>286</v>
      </c>
      <c r="C31" s="259"/>
      <c r="N31" s="332"/>
    </row>
    <row r="32" spans="1:14" ht="19.5" customHeight="1">
      <c r="A32" s="110" t="s">
        <v>287</v>
      </c>
      <c r="C32" s="259"/>
      <c r="I32" s="118"/>
      <c r="N32" s="332"/>
    </row>
    <row r="33" spans="1:15" ht="14.25">
      <c r="A33" s="110" t="s">
        <v>462</v>
      </c>
      <c r="C33" s="259"/>
      <c r="F33" s="112">
        <v>2014</v>
      </c>
      <c r="G33" s="112">
        <v>2015</v>
      </c>
      <c r="H33" s="112">
        <v>2016</v>
      </c>
      <c r="I33" s="112">
        <v>2017</v>
      </c>
      <c r="J33" s="112">
        <v>2018</v>
      </c>
      <c r="K33" s="112">
        <v>2019</v>
      </c>
      <c r="L33" s="112">
        <v>2020</v>
      </c>
      <c r="M33" s="112">
        <v>2021</v>
      </c>
      <c r="N33" s="332"/>
    </row>
    <row r="34" spans="1:15">
      <c r="A34" s="111" t="s">
        <v>59</v>
      </c>
      <c r="B34" s="111" t="s">
        <v>230</v>
      </c>
      <c r="C34" s="259" t="s">
        <v>1</v>
      </c>
      <c r="F34" s="133">
        <f t="shared" ref="F34:M34" si="10">ENIA</f>
        <v>0</v>
      </c>
      <c r="G34" s="133">
        <f t="shared" si="10"/>
        <v>0</v>
      </c>
      <c r="H34" s="133">
        <f t="shared" si="10"/>
        <v>0</v>
      </c>
      <c r="I34" s="133">
        <f t="shared" si="10"/>
        <v>0</v>
      </c>
      <c r="J34" s="133">
        <f t="shared" si="10"/>
        <v>0</v>
      </c>
      <c r="K34" s="133">
        <f t="shared" si="10"/>
        <v>0</v>
      </c>
      <c r="L34" s="133">
        <f t="shared" si="10"/>
        <v>0</v>
      </c>
      <c r="M34" s="133">
        <f t="shared" si="10"/>
        <v>0</v>
      </c>
      <c r="N34" s="353" t="s">
        <v>230</v>
      </c>
    </row>
    <row r="35" spans="1:15">
      <c r="A35" s="131" t="s">
        <v>289</v>
      </c>
      <c r="B35" s="273" t="s">
        <v>290</v>
      </c>
      <c r="C35" s="276" t="s">
        <v>1</v>
      </c>
      <c r="D35" s="160"/>
      <c r="E35" s="160"/>
      <c r="F35" s="161">
        <f t="shared" ref="F35:M35" si="11">NIAIE</f>
        <v>0</v>
      </c>
      <c r="G35" s="161">
        <f t="shared" si="11"/>
        <v>0</v>
      </c>
      <c r="H35" s="161">
        <f t="shared" si="11"/>
        <v>0</v>
      </c>
      <c r="I35" s="161">
        <f t="shared" si="11"/>
        <v>0</v>
      </c>
      <c r="J35" s="161">
        <f t="shared" si="11"/>
        <v>0</v>
      </c>
      <c r="K35" s="161">
        <f t="shared" si="11"/>
        <v>0</v>
      </c>
      <c r="L35" s="161">
        <f t="shared" si="11"/>
        <v>0</v>
      </c>
      <c r="M35" s="161">
        <f t="shared" si="11"/>
        <v>0</v>
      </c>
      <c r="N35" s="353" t="s">
        <v>290</v>
      </c>
    </row>
    <row r="36" spans="1:15">
      <c r="A36" s="111" t="s">
        <v>117</v>
      </c>
      <c r="B36" s="111" t="s">
        <v>288</v>
      </c>
      <c r="C36" s="259" t="s">
        <v>117</v>
      </c>
      <c r="F36" s="278">
        <v>0.25</v>
      </c>
      <c r="G36" s="278">
        <v>0.25</v>
      </c>
      <c r="H36" s="278">
        <v>0.25</v>
      </c>
      <c r="I36" s="278">
        <v>0.25</v>
      </c>
      <c r="J36" s="278">
        <v>0.25</v>
      </c>
      <c r="K36" s="278">
        <v>0.25</v>
      </c>
      <c r="L36" s="278">
        <v>0.25</v>
      </c>
      <c r="M36" s="278">
        <v>0.25</v>
      </c>
      <c r="N36" s="353" t="s">
        <v>288</v>
      </c>
      <c r="O36" s="332"/>
    </row>
    <row r="37" spans="1:15">
      <c r="A37" s="111" t="s">
        <v>378</v>
      </c>
      <c r="C37" s="259"/>
      <c r="F37" s="135" t="str">
        <f>IF(F35&lt;=(F34*F36),"OK","NON COMPLIANT")</f>
        <v>OK</v>
      </c>
      <c r="G37" s="135" t="str">
        <f t="shared" ref="G37:M37" si="12">IF(G35&lt;=(G34*G36),"OK","NON COMPLIANT")</f>
        <v>OK</v>
      </c>
      <c r="H37" s="135" t="str">
        <f t="shared" si="12"/>
        <v>OK</v>
      </c>
      <c r="I37" s="135" t="str">
        <f t="shared" si="12"/>
        <v>OK</v>
      </c>
      <c r="J37" s="135" t="str">
        <f t="shared" si="12"/>
        <v>OK</v>
      </c>
      <c r="K37" s="135" t="str">
        <f t="shared" si="12"/>
        <v>OK</v>
      </c>
      <c r="L37" s="135" t="str">
        <f t="shared" si="12"/>
        <v>OK</v>
      </c>
      <c r="M37" s="135" t="str">
        <f t="shared" si="12"/>
        <v>OK</v>
      </c>
      <c r="N37" s="353"/>
      <c r="O37" s="332"/>
    </row>
    <row r="38" spans="1:15">
      <c r="C38" s="276"/>
      <c r="F38" s="118"/>
      <c r="G38" s="118"/>
      <c r="H38" s="118"/>
      <c r="N38" s="332"/>
    </row>
    <row r="39" spans="1:15">
      <c r="C39" s="259"/>
      <c r="N39" s="332"/>
    </row>
    <row r="40" spans="1:15">
      <c r="A40" s="110"/>
      <c r="C40" s="259"/>
      <c r="N40" s="332"/>
    </row>
    <row r="41" spans="1:15">
      <c r="A41" s="111" t="s">
        <v>451</v>
      </c>
      <c r="C41" s="259"/>
      <c r="J41" s="118"/>
      <c r="N41" s="332"/>
    </row>
    <row r="42" spans="1:15">
      <c r="C42" s="259"/>
      <c r="J42" s="118"/>
      <c r="N42" s="332"/>
    </row>
    <row r="43" spans="1:15">
      <c r="A43" s="110" t="s">
        <v>463</v>
      </c>
      <c r="C43" s="259"/>
      <c r="J43" s="118"/>
      <c r="N43" s="332"/>
    </row>
    <row r="44" spans="1:15">
      <c r="C44" s="259"/>
      <c r="N44" s="332"/>
    </row>
    <row r="45" spans="1:15" s="273" customFormat="1" ht="14.25">
      <c r="C45" s="276"/>
      <c r="F45" s="112" t="s">
        <v>529</v>
      </c>
      <c r="N45" s="332"/>
    </row>
    <row r="46" spans="1:15">
      <c r="A46" s="111" t="s">
        <v>528</v>
      </c>
      <c r="B46" s="111" t="s">
        <v>353</v>
      </c>
      <c r="C46" s="276" t="s">
        <v>1</v>
      </c>
      <c r="F46" s="228">
        <f>SUM(ANIA)</f>
        <v>0</v>
      </c>
      <c r="N46" s="332"/>
    </row>
    <row r="47" spans="1:15">
      <c r="A47" s="273" t="s">
        <v>530</v>
      </c>
      <c r="B47" s="131" t="s">
        <v>297</v>
      </c>
      <c r="C47" s="259" t="s">
        <v>1</v>
      </c>
      <c r="F47" s="228">
        <f>SUM(BR)</f>
        <v>1681.0106956024215</v>
      </c>
      <c r="N47" s="332"/>
    </row>
    <row r="48" spans="1:15">
      <c r="A48" s="111" t="s">
        <v>58</v>
      </c>
      <c r="B48" s="111" t="s">
        <v>55</v>
      </c>
      <c r="C48" s="111" t="s">
        <v>117</v>
      </c>
      <c r="F48" s="248">
        <f>F22</f>
        <v>0.9</v>
      </c>
      <c r="G48" s="273"/>
      <c r="H48" s="273"/>
      <c r="I48" s="273"/>
      <c r="J48" s="273"/>
      <c r="K48" s="273"/>
      <c r="L48" s="273"/>
      <c r="N48" s="332"/>
    </row>
    <row r="49" spans="1:15">
      <c r="A49" s="111" t="s">
        <v>60</v>
      </c>
      <c r="B49" s="111" t="s">
        <v>57</v>
      </c>
      <c r="C49" s="276" t="s">
        <v>105</v>
      </c>
      <c r="F49" s="354">
        <f>M25</f>
        <v>7.0000000000000001E-3</v>
      </c>
      <c r="N49" s="332"/>
    </row>
    <row r="50" spans="1:15">
      <c r="C50" s="259"/>
      <c r="F50" s="135">
        <f>F47*F48*F49</f>
        <v>10.590367382295256</v>
      </c>
      <c r="G50" s="273"/>
      <c r="H50" s="273"/>
      <c r="I50" s="273"/>
      <c r="J50" s="273"/>
      <c r="K50" s="273"/>
      <c r="L50" s="273"/>
      <c r="N50" s="332"/>
    </row>
    <row r="51" spans="1:15">
      <c r="A51" s="110" t="s">
        <v>452</v>
      </c>
      <c r="C51" s="259"/>
      <c r="F51" s="251" t="str">
        <f>IF(F46&lt;=F50, "OK", "NOT OK")</f>
        <v>OK</v>
      </c>
      <c r="G51" s="273"/>
      <c r="H51" s="273"/>
      <c r="I51" s="273"/>
      <c r="J51" s="273"/>
      <c r="K51" s="273"/>
      <c r="L51" s="273"/>
      <c r="N51" s="332"/>
    </row>
    <row r="52" spans="1:15">
      <c r="C52" s="259"/>
      <c r="N52" s="332"/>
    </row>
    <row r="53" spans="1:15">
      <c r="N53" s="332"/>
    </row>
    <row r="54" spans="1:15">
      <c r="G54" s="311"/>
      <c r="N54" s="332"/>
      <c r="O54" s="259"/>
    </row>
    <row r="55" spans="1:15">
      <c r="N55" s="332"/>
      <c r="O55" s="259"/>
    </row>
    <row r="56" spans="1:15">
      <c r="D56" s="273"/>
      <c r="N56" s="332"/>
    </row>
    <row r="57" spans="1:15">
      <c r="D57" s="273"/>
      <c r="N57" s="332"/>
    </row>
    <row r="58" spans="1:15">
      <c r="N58" s="332"/>
    </row>
    <row r="59" spans="1:15">
      <c r="N59" s="332"/>
    </row>
    <row r="60" spans="1:15">
      <c r="N60" s="332"/>
    </row>
    <row r="61" spans="1:15">
      <c r="N61" s="332"/>
    </row>
    <row r="62" spans="1:15">
      <c r="N62" s="332"/>
    </row>
    <row r="63" spans="1:15">
      <c r="N63" s="332"/>
    </row>
    <row r="64" spans="1:15">
      <c r="N64" s="332"/>
    </row>
    <row r="65" spans="14:14">
      <c r="N65" s="332"/>
    </row>
    <row r="66" spans="14:14">
      <c r="N66" s="332"/>
    </row>
    <row r="67" spans="14:14">
      <c r="N67" s="332"/>
    </row>
    <row r="68" spans="14:14">
      <c r="N68" s="332"/>
    </row>
    <row r="69" spans="14:14">
      <c r="N69" s="332"/>
    </row>
    <row r="70" spans="14:14">
      <c r="N70" s="332"/>
    </row>
    <row r="71" spans="14:14">
      <c r="N71" s="332"/>
    </row>
    <row r="72" spans="14:14">
      <c r="N72" s="332"/>
    </row>
    <row r="73" spans="14:14">
      <c r="N73" s="332"/>
    </row>
    <row r="74" spans="14:14">
      <c r="N74" s="332"/>
    </row>
    <row r="75" spans="14:14">
      <c r="N75" s="332"/>
    </row>
    <row r="76" spans="14:14">
      <c r="N76" s="332"/>
    </row>
    <row r="77" spans="14:14">
      <c r="N77" s="332"/>
    </row>
    <row r="78" spans="14:14">
      <c r="N78" s="332"/>
    </row>
    <row r="79" spans="14:14">
      <c r="N79" s="332"/>
    </row>
    <row r="80" spans="14:14">
      <c r="N80" s="332"/>
    </row>
    <row r="81" spans="14:14">
      <c r="N81" s="332"/>
    </row>
    <row r="82" spans="14:14">
      <c r="N82" s="332"/>
    </row>
    <row r="83" spans="14:14">
      <c r="N83" s="332"/>
    </row>
    <row r="84" spans="14:14">
      <c r="N84" s="332"/>
    </row>
    <row r="85" spans="14:14">
      <c r="N85" s="332"/>
    </row>
    <row r="86" spans="14:14">
      <c r="N86" s="332"/>
    </row>
    <row r="87" spans="14:14">
      <c r="N87" s="332"/>
    </row>
    <row r="88" spans="14:14">
      <c r="N88" s="332"/>
    </row>
    <row r="89" spans="14:14">
      <c r="N89" s="332"/>
    </row>
    <row r="90" spans="14:14">
      <c r="N90" s="332"/>
    </row>
    <row r="91" spans="14:14">
      <c r="N91" s="332"/>
    </row>
    <row r="92" spans="14:14">
      <c r="N92" s="332"/>
    </row>
    <row r="93" spans="14:14">
      <c r="N93" s="332"/>
    </row>
    <row r="94" spans="14:14">
      <c r="N94" s="332"/>
    </row>
    <row r="95" spans="14:14">
      <c r="N95" s="332"/>
    </row>
    <row r="96" spans="14:14">
      <c r="N96" s="332"/>
    </row>
    <row r="97" spans="14:14">
      <c r="N97" s="332"/>
    </row>
    <row r="98" spans="14:14">
      <c r="N98" s="332"/>
    </row>
    <row r="99" spans="14:14">
      <c r="N99" s="332"/>
    </row>
    <row r="100" spans="14:14">
      <c r="N100" s="332"/>
    </row>
    <row r="101" spans="14:14">
      <c r="N101" s="332"/>
    </row>
    <row r="102" spans="14:14">
      <c r="N102" s="332"/>
    </row>
    <row r="103" spans="14:14">
      <c r="N103" s="332"/>
    </row>
    <row r="104" spans="14:14">
      <c r="N104" s="332"/>
    </row>
    <row r="105" spans="14:14">
      <c r="N105" s="332"/>
    </row>
    <row r="106" spans="14:14">
      <c r="N106" s="332"/>
    </row>
    <row r="107" spans="14:14">
      <c r="N107" s="332"/>
    </row>
    <row r="108" spans="14:14">
      <c r="N108" s="332"/>
    </row>
    <row r="109" spans="14:14">
      <c r="N109" s="332"/>
    </row>
    <row r="110" spans="14:14">
      <c r="N110" s="332"/>
    </row>
    <row r="111" spans="14:14">
      <c r="N111" s="332"/>
    </row>
    <row r="112" spans="14:14">
      <c r="N112" s="332"/>
    </row>
    <row r="113" spans="14:14">
      <c r="N113" s="332"/>
    </row>
    <row r="114" spans="14:14">
      <c r="N114" s="332"/>
    </row>
    <row r="115" spans="14:14">
      <c r="N115" s="332"/>
    </row>
    <row r="116" spans="14:14">
      <c r="N116" s="332"/>
    </row>
    <row r="117" spans="14:14">
      <c r="N117" s="332"/>
    </row>
    <row r="118" spans="14:14">
      <c r="N118" s="332"/>
    </row>
    <row r="119" spans="14:14">
      <c r="N119" s="332"/>
    </row>
    <row r="120" spans="14:14">
      <c r="N120" s="332"/>
    </row>
    <row r="121" spans="14:14">
      <c r="N121" s="332"/>
    </row>
    <row r="122" spans="14:14">
      <c r="N122" s="332"/>
    </row>
    <row r="123" spans="14:14">
      <c r="N123" s="332"/>
    </row>
    <row r="124" spans="14:14">
      <c r="N124" s="332"/>
    </row>
    <row r="125" spans="14:14">
      <c r="N125" s="332"/>
    </row>
    <row r="126" spans="14:14">
      <c r="N126" s="332"/>
    </row>
    <row r="127" spans="14:14">
      <c r="N127" s="332"/>
    </row>
    <row r="128" spans="14:14">
      <c r="N128" s="332"/>
    </row>
    <row r="129" spans="14:14">
      <c r="N129" s="332"/>
    </row>
    <row r="130" spans="14:14">
      <c r="N130" s="332"/>
    </row>
    <row r="131" spans="14:14">
      <c r="N131" s="332"/>
    </row>
    <row r="132" spans="14:14">
      <c r="N132" s="332"/>
    </row>
    <row r="133" spans="14:14">
      <c r="N133" s="332"/>
    </row>
    <row r="134" spans="14:14">
      <c r="N134" s="332"/>
    </row>
    <row r="135" spans="14:14">
      <c r="N135" s="332"/>
    </row>
    <row r="136" spans="14:14">
      <c r="N136" s="332"/>
    </row>
    <row r="137" spans="14:14">
      <c r="N137" s="332"/>
    </row>
    <row r="138" spans="14:14">
      <c r="N138" s="332"/>
    </row>
    <row r="139" spans="14:14">
      <c r="N139" s="332"/>
    </row>
    <row r="140" spans="14:14">
      <c r="N140" s="332"/>
    </row>
    <row r="141" spans="14:14">
      <c r="N141" s="332"/>
    </row>
    <row r="142" spans="14:14">
      <c r="N142" s="332"/>
    </row>
    <row r="143" spans="14:14">
      <c r="N143" s="332"/>
    </row>
    <row r="144" spans="14:14">
      <c r="N144" s="332"/>
    </row>
    <row r="145" spans="14:14">
      <c r="N145" s="332"/>
    </row>
    <row r="146" spans="14:14">
      <c r="N146" s="332"/>
    </row>
    <row r="147" spans="14:14">
      <c r="N147" s="332"/>
    </row>
    <row r="148" spans="14:14">
      <c r="N148" s="332"/>
    </row>
    <row r="149" spans="14:14">
      <c r="N149" s="332"/>
    </row>
    <row r="150" spans="14:14">
      <c r="N150" s="332"/>
    </row>
    <row r="151" spans="14:14">
      <c r="N151" s="332"/>
    </row>
    <row r="152" spans="14:14">
      <c r="N152" s="332"/>
    </row>
    <row r="153" spans="14:14">
      <c r="N153" s="332"/>
    </row>
    <row r="154" spans="14:14">
      <c r="N154" s="332"/>
    </row>
    <row r="155" spans="14:14">
      <c r="N155" s="332"/>
    </row>
    <row r="156" spans="14:14">
      <c r="N156" s="332"/>
    </row>
    <row r="157" spans="14:14">
      <c r="N157" s="332"/>
    </row>
    <row r="158" spans="14:14">
      <c r="N158" s="332"/>
    </row>
    <row r="159" spans="14:14">
      <c r="N159" s="332"/>
    </row>
    <row r="160" spans="14:14">
      <c r="N160" s="332"/>
    </row>
    <row r="161" spans="14:14">
      <c r="N161" s="332"/>
    </row>
    <row r="162" spans="14:14">
      <c r="N162" s="332"/>
    </row>
    <row r="163" spans="14:14">
      <c r="N163" s="332"/>
    </row>
    <row r="164" spans="14:14">
      <c r="N164" s="332"/>
    </row>
    <row r="165" spans="14:14">
      <c r="N165" s="332"/>
    </row>
    <row r="166" spans="14:14">
      <c r="N166" s="332"/>
    </row>
    <row r="167" spans="14:14">
      <c r="N167" s="332"/>
    </row>
    <row r="168" spans="14:14">
      <c r="N168" s="332"/>
    </row>
    <row r="169" spans="14:14">
      <c r="N169" s="332"/>
    </row>
    <row r="170" spans="14:14">
      <c r="N170" s="332"/>
    </row>
    <row r="171" spans="14:14">
      <c r="N171" s="332"/>
    </row>
    <row r="172" spans="14:14">
      <c r="N172" s="332"/>
    </row>
    <row r="173" spans="14:14">
      <c r="N173" s="332"/>
    </row>
    <row r="174" spans="14:14">
      <c r="N174" s="332"/>
    </row>
    <row r="175" spans="14:14">
      <c r="N175" s="332"/>
    </row>
    <row r="176" spans="14:14">
      <c r="N176" s="332"/>
    </row>
    <row r="177" spans="14:14">
      <c r="N177" s="332"/>
    </row>
    <row r="178" spans="14:14">
      <c r="N178" s="332"/>
    </row>
    <row r="179" spans="14:14">
      <c r="N179" s="332"/>
    </row>
    <row r="180" spans="14:14">
      <c r="N180" s="332"/>
    </row>
    <row r="181" spans="14:14">
      <c r="N181" s="332"/>
    </row>
    <row r="182" spans="14:14">
      <c r="N182" s="332"/>
    </row>
    <row r="183" spans="14:14">
      <c r="N183" s="332"/>
    </row>
    <row r="184" spans="14:14">
      <c r="N184" s="332"/>
    </row>
    <row r="185" spans="14:14">
      <c r="N185" s="332"/>
    </row>
    <row r="186" spans="14:14">
      <c r="N186" s="332"/>
    </row>
    <row r="187" spans="14:14">
      <c r="N187" s="332"/>
    </row>
    <row r="188" spans="14:14">
      <c r="N188" s="332"/>
    </row>
    <row r="189" spans="14:14">
      <c r="N189" s="332"/>
    </row>
    <row r="190" spans="14:14">
      <c r="N190" s="332"/>
    </row>
    <row r="191" spans="14:14">
      <c r="N191" s="332"/>
    </row>
    <row r="192" spans="14:14">
      <c r="N192" s="332"/>
    </row>
    <row r="193" spans="14:14">
      <c r="N193" s="332"/>
    </row>
    <row r="194" spans="14:14">
      <c r="N194" s="332"/>
    </row>
    <row r="195" spans="14:14">
      <c r="N195" s="332"/>
    </row>
    <row r="196" spans="14:14">
      <c r="N196" s="332"/>
    </row>
    <row r="197" spans="14:14">
      <c r="N197" s="332"/>
    </row>
    <row r="198" spans="14:14">
      <c r="N198" s="332"/>
    </row>
    <row r="199" spans="14:14">
      <c r="N199" s="332"/>
    </row>
    <row r="200" spans="14:14">
      <c r="N200" s="332"/>
    </row>
    <row r="201" spans="14:14">
      <c r="N201" s="332"/>
    </row>
    <row r="202" spans="14:14">
      <c r="N202" s="332"/>
    </row>
    <row r="203" spans="14:14">
      <c r="N203" s="332"/>
    </row>
    <row r="204" spans="14:14">
      <c r="N204" s="332"/>
    </row>
    <row r="205" spans="14:14">
      <c r="N205" s="332"/>
    </row>
    <row r="206" spans="14:14">
      <c r="N206" s="332"/>
    </row>
    <row r="207" spans="14:14">
      <c r="N207" s="332"/>
    </row>
    <row r="208" spans="14:14">
      <c r="N208" s="332"/>
    </row>
    <row r="209" spans="14:14">
      <c r="N209" s="332"/>
    </row>
    <row r="210" spans="14:14">
      <c r="N210" s="332"/>
    </row>
    <row r="211" spans="14:14">
      <c r="N211" s="332"/>
    </row>
    <row r="212" spans="14:14">
      <c r="N212" s="332"/>
    </row>
    <row r="213" spans="14:14">
      <c r="N213" s="332"/>
    </row>
    <row r="214" spans="14:14">
      <c r="N214" s="332"/>
    </row>
    <row r="215" spans="14:14">
      <c r="N215" s="332"/>
    </row>
    <row r="216" spans="14:14">
      <c r="N216" s="332"/>
    </row>
    <row r="217" spans="14:14">
      <c r="N217" s="332"/>
    </row>
    <row r="218" spans="14:14">
      <c r="N218" s="332"/>
    </row>
    <row r="219" spans="14:14">
      <c r="N219" s="332"/>
    </row>
    <row r="220" spans="14:14">
      <c r="N220" s="332"/>
    </row>
    <row r="221" spans="14:14">
      <c r="N221" s="332"/>
    </row>
    <row r="222" spans="14:14">
      <c r="N222" s="332"/>
    </row>
    <row r="223" spans="14:14">
      <c r="N223" s="332"/>
    </row>
    <row r="224" spans="14:14">
      <c r="N224" s="332"/>
    </row>
    <row r="225" spans="14:14">
      <c r="N225" s="332"/>
    </row>
    <row r="226" spans="14:14">
      <c r="N226" s="332"/>
    </row>
    <row r="227" spans="14:14">
      <c r="N227" s="332"/>
    </row>
    <row r="228" spans="14:14">
      <c r="N228" s="332"/>
    </row>
    <row r="229" spans="14:14">
      <c r="N229" s="332"/>
    </row>
    <row r="230" spans="14:14">
      <c r="N230" s="332"/>
    </row>
    <row r="231" spans="14:14">
      <c r="N231" s="332"/>
    </row>
    <row r="232" spans="14:14">
      <c r="N232" s="332"/>
    </row>
    <row r="233" spans="14:14">
      <c r="N233" s="332"/>
    </row>
    <row r="234" spans="14:14">
      <c r="N234" s="332"/>
    </row>
    <row r="235" spans="14:14">
      <c r="N235" s="332"/>
    </row>
    <row r="236" spans="14:14">
      <c r="N236" s="332"/>
    </row>
    <row r="237" spans="14:14">
      <c r="N237" s="332"/>
    </row>
    <row r="238" spans="14:14">
      <c r="N238" s="332"/>
    </row>
    <row r="239" spans="14:14">
      <c r="N239" s="332"/>
    </row>
    <row r="240" spans="14:14">
      <c r="N240" s="332"/>
    </row>
    <row r="241" spans="14:14">
      <c r="N241" s="332"/>
    </row>
    <row r="242" spans="14:14">
      <c r="N242" s="332"/>
    </row>
    <row r="243" spans="14:14">
      <c r="N243" s="332"/>
    </row>
    <row r="244" spans="14:14">
      <c r="N244" s="332"/>
    </row>
    <row r="245" spans="14:14">
      <c r="N245" s="332"/>
    </row>
    <row r="246" spans="14:14">
      <c r="N246" s="332"/>
    </row>
    <row r="247" spans="14:14">
      <c r="N247" s="332"/>
    </row>
    <row r="248" spans="14:14">
      <c r="N248" s="332"/>
    </row>
    <row r="249" spans="14:14">
      <c r="N249" s="332"/>
    </row>
    <row r="250" spans="14:14">
      <c r="N250" s="332"/>
    </row>
    <row r="251" spans="14:14">
      <c r="N251" s="332"/>
    </row>
    <row r="252" spans="14:14">
      <c r="N252" s="332"/>
    </row>
    <row r="253" spans="14:14">
      <c r="N253" s="332"/>
    </row>
    <row r="254" spans="14:14">
      <c r="N254" s="332"/>
    </row>
    <row r="255" spans="14:14">
      <c r="N255" s="332"/>
    </row>
    <row r="256" spans="14:14">
      <c r="N256" s="332"/>
    </row>
    <row r="257" spans="14:14">
      <c r="N257" s="332"/>
    </row>
    <row r="258" spans="14:14">
      <c r="N258" s="332"/>
    </row>
    <row r="259" spans="14:14">
      <c r="N259" s="332"/>
    </row>
    <row r="260" spans="14:14">
      <c r="N260" s="332"/>
    </row>
    <row r="261" spans="14:14">
      <c r="N261" s="332"/>
    </row>
    <row r="262" spans="14:14">
      <c r="N262" s="332"/>
    </row>
    <row r="263" spans="14:14">
      <c r="N263" s="332"/>
    </row>
    <row r="264" spans="14:14">
      <c r="N264" s="332"/>
    </row>
    <row r="265" spans="14:14">
      <c r="N265" s="332"/>
    </row>
    <row r="266" spans="14:14">
      <c r="N266" s="332"/>
    </row>
    <row r="267" spans="14:14">
      <c r="N267" s="332"/>
    </row>
    <row r="268" spans="14:14">
      <c r="N268" s="332"/>
    </row>
    <row r="269" spans="14:14">
      <c r="N269" s="332"/>
    </row>
    <row r="270" spans="14:14">
      <c r="N270" s="332"/>
    </row>
    <row r="271" spans="14:14">
      <c r="N271" s="332"/>
    </row>
    <row r="272" spans="14:14">
      <c r="N272" s="332"/>
    </row>
    <row r="273" spans="14:14">
      <c r="N273" s="332"/>
    </row>
    <row r="274" spans="14:14">
      <c r="N274" s="332"/>
    </row>
    <row r="275" spans="14:14">
      <c r="N275" s="332"/>
    </row>
    <row r="276" spans="14:14">
      <c r="N276" s="332"/>
    </row>
    <row r="277" spans="14:14">
      <c r="N277" s="332"/>
    </row>
    <row r="278" spans="14:14">
      <c r="N278" s="332"/>
    </row>
    <row r="279" spans="14:14">
      <c r="N279" s="332"/>
    </row>
    <row r="280" spans="14:14">
      <c r="N280" s="332"/>
    </row>
    <row r="281" spans="14:14">
      <c r="N281" s="332"/>
    </row>
    <row r="282" spans="14:14">
      <c r="N282" s="332"/>
    </row>
    <row r="283" spans="14:14">
      <c r="N283" s="332"/>
    </row>
    <row r="284" spans="14:14">
      <c r="N284" s="332"/>
    </row>
    <row r="285" spans="14:14">
      <c r="N285" s="332"/>
    </row>
    <row r="286" spans="14:14">
      <c r="N286" s="332"/>
    </row>
    <row r="287" spans="14:14">
      <c r="N287" s="332"/>
    </row>
    <row r="288" spans="14:14">
      <c r="N288" s="332"/>
    </row>
    <row r="289" spans="14:14">
      <c r="N289" s="332"/>
    </row>
    <row r="290" spans="14:14">
      <c r="N290" s="332"/>
    </row>
    <row r="291" spans="14:14">
      <c r="N291" s="332"/>
    </row>
    <row r="292" spans="14:14">
      <c r="N292" s="332"/>
    </row>
    <row r="293" spans="14:14">
      <c r="N293" s="332"/>
    </row>
    <row r="294" spans="14:14">
      <c r="N294" s="332"/>
    </row>
    <row r="295" spans="14:14">
      <c r="N295" s="332"/>
    </row>
    <row r="296" spans="14:14">
      <c r="N296" s="332"/>
    </row>
    <row r="297" spans="14:14">
      <c r="N297" s="332"/>
    </row>
    <row r="298" spans="14:14">
      <c r="N298" s="332"/>
    </row>
    <row r="299" spans="14:14">
      <c r="N299" s="332"/>
    </row>
    <row r="300" spans="14:14">
      <c r="N300" s="332"/>
    </row>
    <row r="301" spans="14:14">
      <c r="N301" s="332"/>
    </row>
    <row r="302" spans="14:14">
      <c r="N302" s="332"/>
    </row>
    <row r="303" spans="14:14">
      <c r="N303" s="332"/>
    </row>
    <row r="304" spans="14:14">
      <c r="N304" s="332"/>
    </row>
    <row r="305" spans="14:14">
      <c r="N305" s="332"/>
    </row>
    <row r="306" spans="14:14">
      <c r="N306" s="332"/>
    </row>
    <row r="307" spans="14:14">
      <c r="N307" s="332"/>
    </row>
    <row r="308" spans="14:14">
      <c r="N308" s="332"/>
    </row>
    <row r="309" spans="14:14">
      <c r="N309" s="332"/>
    </row>
    <row r="310" spans="14:14">
      <c r="N310" s="332"/>
    </row>
    <row r="311" spans="14:14">
      <c r="N311" s="332"/>
    </row>
    <row r="312" spans="14:14">
      <c r="N312" s="332"/>
    </row>
    <row r="313" spans="14:14">
      <c r="N313" s="332"/>
    </row>
    <row r="314" spans="14:14">
      <c r="N314" s="332"/>
    </row>
    <row r="315" spans="14:14">
      <c r="N315" s="332"/>
    </row>
    <row r="316" spans="14:14">
      <c r="N316" s="332"/>
    </row>
    <row r="317" spans="14:14">
      <c r="N317" s="332"/>
    </row>
    <row r="318" spans="14:14">
      <c r="N318" s="332"/>
    </row>
    <row r="319" spans="14:14">
      <c r="N319" s="332"/>
    </row>
    <row r="320" spans="14:14">
      <c r="N320" s="332"/>
    </row>
    <row r="321" spans="14:14">
      <c r="N321" s="332"/>
    </row>
    <row r="322" spans="14:14">
      <c r="N322" s="332"/>
    </row>
    <row r="323" spans="14:14">
      <c r="N323" s="332"/>
    </row>
    <row r="324" spans="14:14">
      <c r="N324" s="332"/>
    </row>
    <row r="325" spans="14:14">
      <c r="N325" s="332"/>
    </row>
    <row r="326" spans="14:14">
      <c r="N326" s="332"/>
    </row>
    <row r="327" spans="14:14">
      <c r="N327" s="332"/>
    </row>
    <row r="328" spans="14:14">
      <c r="N328" s="332"/>
    </row>
    <row r="329" spans="14:14">
      <c r="N329" s="332"/>
    </row>
    <row r="330" spans="14:14">
      <c r="N330" s="332"/>
    </row>
    <row r="331" spans="14:14">
      <c r="N331" s="332"/>
    </row>
    <row r="332" spans="14:14">
      <c r="N332" s="332"/>
    </row>
    <row r="333" spans="14:14">
      <c r="N333" s="332"/>
    </row>
    <row r="334" spans="14:14">
      <c r="N334" s="332"/>
    </row>
    <row r="335" spans="14:14">
      <c r="N335" s="332"/>
    </row>
    <row r="336" spans="14:14">
      <c r="N336" s="332"/>
    </row>
    <row r="337" spans="14:14">
      <c r="N337" s="332"/>
    </row>
    <row r="338" spans="14:14">
      <c r="N338" s="332"/>
    </row>
    <row r="339" spans="14:14">
      <c r="N339" s="332"/>
    </row>
    <row r="340" spans="14:14">
      <c r="N340" s="332"/>
    </row>
    <row r="341" spans="14:14">
      <c r="N341" s="332"/>
    </row>
    <row r="342" spans="14:14">
      <c r="N342" s="332"/>
    </row>
    <row r="343" spans="14:14">
      <c r="N343" s="332"/>
    </row>
    <row r="344" spans="14:14">
      <c r="N344" s="332"/>
    </row>
    <row r="345" spans="14:14">
      <c r="N345" s="332"/>
    </row>
    <row r="346" spans="14:14">
      <c r="N346" s="332"/>
    </row>
    <row r="347" spans="14:14">
      <c r="N347" s="332"/>
    </row>
    <row r="348" spans="14:14">
      <c r="N348" s="332"/>
    </row>
    <row r="349" spans="14:14">
      <c r="N349" s="332"/>
    </row>
    <row r="350" spans="14:14">
      <c r="N350" s="332"/>
    </row>
    <row r="351" spans="14:14">
      <c r="N351" s="332"/>
    </row>
    <row r="352" spans="14:14">
      <c r="N352" s="332"/>
    </row>
    <row r="353" spans="14:14">
      <c r="N353" s="332"/>
    </row>
    <row r="354" spans="14:14">
      <c r="N354" s="332"/>
    </row>
    <row r="355" spans="14:14">
      <c r="N355" s="332"/>
    </row>
    <row r="356" spans="14:14">
      <c r="N356" s="332"/>
    </row>
    <row r="357" spans="14:14">
      <c r="N357" s="332"/>
    </row>
    <row r="358" spans="14:14">
      <c r="N358" s="332"/>
    </row>
    <row r="359" spans="14:14">
      <c r="N359" s="332"/>
    </row>
    <row r="360" spans="14:14">
      <c r="N360" s="332"/>
    </row>
    <row r="361" spans="14:14">
      <c r="N361" s="332"/>
    </row>
    <row r="362" spans="14:14">
      <c r="N362" s="332"/>
    </row>
    <row r="363" spans="14:14">
      <c r="N363" s="332"/>
    </row>
    <row r="364" spans="14:14">
      <c r="N364" s="332"/>
    </row>
    <row r="365" spans="14:14">
      <c r="N365" s="332"/>
    </row>
    <row r="366" spans="14:14">
      <c r="N366" s="332"/>
    </row>
    <row r="367" spans="14:14">
      <c r="N367" s="332"/>
    </row>
    <row r="368" spans="14:14">
      <c r="N368" s="332"/>
    </row>
    <row r="369" spans="14:14">
      <c r="N369" s="332"/>
    </row>
    <row r="370" spans="14:14">
      <c r="N370" s="332"/>
    </row>
    <row r="371" spans="14:14">
      <c r="N371" s="332"/>
    </row>
    <row r="372" spans="14:14">
      <c r="N372" s="332"/>
    </row>
    <row r="373" spans="14:14">
      <c r="N373" s="332"/>
    </row>
    <row r="374" spans="14:14">
      <c r="N374" s="332"/>
    </row>
    <row r="375" spans="14:14">
      <c r="N375" s="332"/>
    </row>
    <row r="376" spans="14:14">
      <c r="N376" s="332"/>
    </row>
    <row r="377" spans="14:14">
      <c r="N377" s="332"/>
    </row>
    <row r="378" spans="14:14">
      <c r="N378" s="332"/>
    </row>
    <row r="379" spans="14:14">
      <c r="N379" s="332"/>
    </row>
    <row r="380" spans="14:14">
      <c r="N380" s="332"/>
    </row>
    <row r="381" spans="14:14">
      <c r="N381" s="332"/>
    </row>
    <row r="382" spans="14:14">
      <c r="N382" s="332"/>
    </row>
    <row r="383" spans="14:14">
      <c r="N383" s="332"/>
    </row>
    <row r="384" spans="14:14">
      <c r="N384" s="332"/>
    </row>
    <row r="385" spans="14:14">
      <c r="N385" s="332"/>
    </row>
    <row r="386" spans="14:14">
      <c r="N386" s="332"/>
    </row>
    <row r="387" spans="14:14">
      <c r="N387" s="332"/>
    </row>
    <row r="388" spans="14:14">
      <c r="N388" s="332"/>
    </row>
    <row r="389" spans="14:14">
      <c r="N389" s="332"/>
    </row>
    <row r="390" spans="14:14">
      <c r="N390" s="332"/>
    </row>
    <row r="391" spans="14:14">
      <c r="N391" s="332"/>
    </row>
    <row r="392" spans="14:14">
      <c r="N392" s="332"/>
    </row>
    <row r="393" spans="14:14">
      <c r="N393" s="332"/>
    </row>
    <row r="394" spans="14:14">
      <c r="N394" s="332"/>
    </row>
    <row r="395" spans="14:14">
      <c r="N395" s="332"/>
    </row>
    <row r="396" spans="14:14">
      <c r="N396" s="332"/>
    </row>
    <row r="397" spans="14:14">
      <c r="N397" s="332"/>
    </row>
    <row r="398" spans="14:14">
      <c r="N398" s="332"/>
    </row>
    <row r="399" spans="14:14">
      <c r="N399" s="332"/>
    </row>
    <row r="400" spans="14:14">
      <c r="N400" s="332"/>
    </row>
    <row r="401" spans="14:14">
      <c r="N401" s="332"/>
    </row>
    <row r="402" spans="14:14">
      <c r="N402" s="332"/>
    </row>
    <row r="403" spans="14:14">
      <c r="N403" s="332"/>
    </row>
    <row r="404" spans="14:14">
      <c r="N404" s="332"/>
    </row>
    <row r="405" spans="14:14">
      <c r="N405" s="332"/>
    </row>
    <row r="406" spans="14:14">
      <c r="N406" s="332"/>
    </row>
    <row r="407" spans="14:14">
      <c r="N407" s="332"/>
    </row>
    <row r="408" spans="14:14">
      <c r="N408" s="332"/>
    </row>
    <row r="409" spans="14:14">
      <c r="N409" s="332"/>
    </row>
    <row r="410" spans="14:14">
      <c r="N410" s="332"/>
    </row>
    <row r="411" spans="14:14">
      <c r="N411" s="332"/>
    </row>
    <row r="412" spans="14:14">
      <c r="N412" s="332"/>
    </row>
    <row r="413" spans="14:14">
      <c r="N413" s="332"/>
    </row>
    <row r="414" spans="14:14">
      <c r="N414" s="332"/>
    </row>
    <row r="415" spans="14:14">
      <c r="N415" s="332"/>
    </row>
    <row r="416" spans="14:14">
      <c r="N416" s="332"/>
    </row>
    <row r="417" spans="14:14">
      <c r="N417" s="332"/>
    </row>
    <row r="418" spans="14:14">
      <c r="N418" s="332"/>
    </row>
    <row r="419" spans="14:14">
      <c r="N419" s="332"/>
    </row>
    <row r="420" spans="14:14">
      <c r="N420" s="332"/>
    </row>
    <row r="421" spans="14:14">
      <c r="N421" s="332"/>
    </row>
    <row r="422" spans="14:14">
      <c r="N422" s="332"/>
    </row>
    <row r="423" spans="14:14">
      <c r="N423" s="332"/>
    </row>
    <row r="424" spans="14:14">
      <c r="N424" s="332"/>
    </row>
    <row r="425" spans="14:14">
      <c r="N425" s="332"/>
    </row>
    <row r="426" spans="14:14">
      <c r="N426" s="332"/>
    </row>
    <row r="427" spans="14:14">
      <c r="N427" s="332"/>
    </row>
    <row r="428" spans="14:14">
      <c r="N428" s="332"/>
    </row>
    <row r="429" spans="14:14">
      <c r="N429" s="332"/>
    </row>
    <row r="430" spans="14:14">
      <c r="N430" s="332"/>
    </row>
    <row r="431" spans="14:14">
      <c r="N431" s="332"/>
    </row>
    <row r="432" spans="14:14">
      <c r="N432" s="332"/>
    </row>
    <row r="433" spans="14:14">
      <c r="N433" s="332"/>
    </row>
    <row r="434" spans="14:14">
      <c r="N434" s="332"/>
    </row>
    <row r="435" spans="14:14">
      <c r="N435" s="332"/>
    </row>
    <row r="436" spans="14:14">
      <c r="N436" s="332"/>
    </row>
    <row r="437" spans="14:14">
      <c r="N437" s="332"/>
    </row>
    <row r="438" spans="14:14">
      <c r="N438" s="332"/>
    </row>
    <row r="439" spans="14:14">
      <c r="N439" s="332"/>
    </row>
    <row r="440" spans="14:14">
      <c r="N440" s="332"/>
    </row>
    <row r="441" spans="14:14">
      <c r="N441" s="332"/>
    </row>
    <row r="442" spans="14:14">
      <c r="N442" s="332"/>
    </row>
    <row r="443" spans="14:14">
      <c r="N443" s="332"/>
    </row>
    <row r="444" spans="14:14">
      <c r="N444" s="332"/>
    </row>
    <row r="445" spans="14:14">
      <c r="N445" s="332"/>
    </row>
    <row r="446" spans="14:14">
      <c r="N446" s="332"/>
    </row>
    <row r="447" spans="14:14">
      <c r="N447" s="332"/>
    </row>
    <row r="448" spans="14:14">
      <c r="N448" s="332"/>
    </row>
    <row r="449" spans="14:14">
      <c r="N449" s="332"/>
    </row>
    <row r="450" spans="14:14">
      <c r="N450" s="332"/>
    </row>
    <row r="451" spans="14:14">
      <c r="N451" s="332"/>
    </row>
    <row r="452" spans="14:14">
      <c r="N452" s="332"/>
    </row>
    <row r="453" spans="14:14">
      <c r="N453" s="332"/>
    </row>
    <row r="999977" spans="1:1">
      <c r="A999977" s="111" t="s">
        <v>7</v>
      </c>
    </row>
    <row r="999978" spans="1:1">
      <c r="A999978" s="111" t="s">
        <v>2</v>
      </c>
    </row>
    <row r="999979" spans="1:1">
      <c r="A999979" s="111" t="s">
        <v>6</v>
      </c>
    </row>
    <row r="999980" spans="1:1">
      <c r="A999980" s="111" t="s">
        <v>3</v>
      </c>
    </row>
    <row r="999981" spans="1:1">
      <c r="A999981" s="111" t="s">
        <v>4</v>
      </c>
    </row>
    <row r="999982" spans="1:1">
      <c r="A999982" s="111" t="s">
        <v>5</v>
      </c>
    </row>
  </sheetData>
  <pageMargins left="0.31496062992125984" right="0.23622047244094491" top="0.43307086614173229" bottom="0.55118110236220474" header="0.19685039370078741" footer="0.19685039370078741"/>
  <pageSetup paperSize="9" scale="74" orientation="landscape" r:id="rId1"/>
  <headerFooter>
    <oddFooter>&amp;C&amp;D&amp;R&amp;F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Status xmlns="http://schemas.microsoft.com/sharepoint/v3/fields">Draft</_Status>
    <Classification xmlns="631298fc-6a88-4548-b7d9-3b164918c4a3">Unclassified</Classification>
    <_x003a_ xmlns="631298fc-6a88-4548-b7d9-3b164918c4a3" xsi:nil="true"/>
    <Descriptor xmlns="631298fc-6a88-4548-b7d9-3b164918c4a3" xsi:nil="true"/>
    <Organisation xmlns="631298fc-6a88-4548-b7d9-3b164918c4a3">Choose an Organisation</Organisation>
    <_x003a__x003a_ xmlns="631298fc-6a88-4548-b7d9-3b164918c4a3">-Main Document</_x003a__x003a_>
  </documentManagement>
</p:properties>
</file>

<file path=customXml/item2.xml><?xml version="1.0" encoding="utf-8"?>
<sisl xmlns:xsd="http://www.w3.org/2001/XMLSchema" xmlns:xsi="http://www.w3.org/2001/XMLSchema-instance" xmlns="http://www.boldonjames.com/2008/01/sie/internal/label" sislVersion="0" policy="973096ae-7329-4b3b-9368-47aeba6959e1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a9306fc-8436-45f0-b931-e34f519be3a3" ContentTypeId="0x01010033282546F0D44441B574BEAA5FBE93E4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C598187FB64C704AACFADDF5580A0668" ma:contentTypeVersion="8" ma:contentTypeDescription="" ma:contentTypeScope="" ma:versionID="8c5c0bef262f0deade4cd69390cd3d85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6f72f569daad8a307bc554182c40c1a7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10CED8-BAE2-4612-951F-CEEFA734AECB}">
  <ds:schemaRefs>
    <ds:schemaRef ds:uri="631298fc-6a88-4548-b7d9-3b164918c4a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C86DFD-DBA9-4C76-A148-277423DD25F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C9305048-D070-47AE-B61F-EF270D200E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543AE6-247E-4C0C-B4E1-D1E39286CBC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D46D979-6F32-4746-B1B1-C2E3D6028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131</vt:i4>
      </vt:variant>
    </vt:vector>
  </HeadingPairs>
  <TitlesOfParts>
    <vt:vector size="145" baseType="lpstr">
      <vt:lpstr>R1 Cover</vt:lpstr>
      <vt:lpstr>R2 Schematic</vt:lpstr>
      <vt:lpstr>R3 Version log</vt:lpstr>
      <vt:lpstr>R4 Licence Condition Values</vt:lpstr>
      <vt:lpstr>R5 Input page</vt:lpstr>
      <vt:lpstr>R6 Base revenue</vt:lpstr>
      <vt:lpstr>R7 pass through</vt:lpstr>
      <vt:lpstr>R8 Output incentives</vt:lpstr>
      <vt:lpstr>R9 Innovation incentive</vt:lpstr>
      <vt:lpstr>R10 Correction</vt:lpstr>
      <vt:lpstr>R11 TIRG</vt:lpstr>
      <vt:lpstr>R12 TO MAR</vt:lpstr>
      <vt:lpstr>R13 Excluded Revenue</vt:lpstr>
      <vt:lpstr>R14 Rec to Stat Ac</vt:lpstr>
      <vt:lpstr>AFFTIRG1</vt:lpstr>
      <vt:lpstr>AFFTIRG2</vt:lpstr>
      <vt:lpstr>AFFTIRGDepn1</vt:lpstr>
      <vt:lpstr>AFFTIRGDepn2</vt:lpstr>
      <vt:lpstr>ALE</vt:lpstr>
      <vt:lpstr>ANIA</vt:lpstr>
      <vt:lpstr>ASWWE</vt:lpstr>
      <vt:lpstr>ATIRG1</vt:lpstr>
      <vt:lpstr>ATIRG2</vt:lpstr>
      <vt:lpstr>atrig2</vt:lpstr>
      <vt:lpstr>BPC</vt:lpstr>
      <vt:lpstr>BR</vt:lpstr>
      <vt:lpstr>CC</vt:lpstr>
      <vt:lpstr>CCOS</vt:lpstr>
      <vt:lpstr>CCP</vt:lpstr>
      <vt:lpstr>CCTIRG</vt:lpstr>
      <vt:lpstr>CF</vt:lpstr>
      <vt:lpstr>CFTIRG1</vt:lpstr>
      <vt:lpstr>CFTIRG2</vt:lpstr>
      <vt:lpstr>CompName</vt:lpstr>
      <vt:lpstr>CONADJ</vt:lpstr>
      <vt:lpstr>CTE</vt:lpstr>
      <vt:lpstr>CTRIG2</vt:lpstr>
      <vt:lpstr>DC</vt:lpstr>
      <vt:lpstr>DCOS</vt:lpstr>
      <vt:lpstr>DCP</vt:lpstr>
      <vt:lpstr>Dep</vt:lpstr>
      <vt:lpstr>depn2</vt:lpstr>
      <vt:lpstr>ECC</vt:lpstr>
      <vt:lpstr>ECCOS</vt:lpstr>
      <vt:lpstr>EDC</vt:lpstr>
      <vt:lpstr>EDCOS</vt:lpstr>
      <vt:lpstr>EDR</vt:lpstr>
      <vt:lpstr>EDRO</vt:lpstr>
      <vt:lpstr>ENIA</vt:lpstr>
      <vt:lpstr>ENSA</vt:lpstr>
      <vt:lpstr>ENST</vt:lpstr>
      <vt:lpstr>ETIRG2</vt:lpstr>
      <vt:lpstr>ETIRGC</vt:lpstr>
      <vt:lpstr>ETIRGC2</vt:lpstr>
      <vt:lpstr>ETIRGORAV</vt:lpstr>
      <vt:lpstr>ETIRGORAV2</vt:lpstr>
      <vt:lpstr>FTIRGC1</vt:lpstr>
      <vt:lpstr>FTIRGC2</vt:lpstr>
      <vt:lpstr>FTIRGCDEPN2</vt:lpstr>
      <vt:lpstr>FTIRGDEPN1</vt:lpstr>
      <vt:lpstr>It</vt:lpstr>
      <vt:lpstr>Kt</vt:lpstr>
      <vt:lpstr>MOD</vt:lpstr>
      <vt:lpstr>NIA</vt:lpstr>
      <vt:lpstr>NIAIE</vt:lpstr>
      <vt:lpstr>NIAR</vt:lpstr>
      <vt:lpstr>NIAV</vt:lpstr>
      <vt:lpstr>NICF</vt:lpstr>
      <vt:lpstr>NTPC</vt:lpstr>
      <vt:lpstr>OFET</vt:lpstr>
      <vt:lpstr>OIP</vt:lpstr>
      <vt:lpstr>'R10 Correction'!Print_Area</vt:lpstr>
      <vt:lpstr>'R11 TIRG'!Print_Area</vt:lpstr>
      <vt:lpstr>'R12 TO MAR'!Print_Area</vt:lpstr>
      <vt:lpstr>'R4 Licence Condition Values'!Print_Area</vt:lpstr>
      <vt:lpstr>'R5 Input page'!Print_Area</vt:lpstr>
      <vt:lpstr>'R6 Base revenue'!Print_Area</vt:lpstr>
      <vt:lpstr>'R7 pass through'!Print_Area</vt:lpstr>
      <vt:lpstr>'R8 Output incentives'!Print_Area</vt:lpstr>
      <vt:lpstr>'R9 Innovation incentive'!Print_Area</vt:lpstr>
      <vt:lpstr>PT</vt:lpstr>
      <vt:lpstr>PTIS</vt:lpstr>
      <vt:lpstr>PTRA</vt:lpstr>
      <vt:lpstr>PTt</vt:lpstr>
      <vt:lpstr>PU</vt:lpstr>
      <vt:lpstr>PVF</vt:lpstr>
      <vt:lpstr>RB</vt:lpstr>
      <vt:lpstr>RBA</vt:lpstr>
      <vt:lpstr>RBE</vt:lpstr>
      <vt:lpstr>RBt</vt:lpstr>
      <vt:lpstr>RegYr</vt:lpstr>
      <vt:lpstr>RI</vt:lpstr>
      <vt:lpstr>RIDPA</vt:lpstr>
      <vt:lpstr>RILEG</vt:lpstr>
      <vt:lpstr>RPIA</vt:lpstr>
      <vt:lpstr>RPIF</vt:lpstr>
      <vt:lpstr>SAFTIRG1</vt:lpstr>
      <vt:lpstr>SAFTIRG2</vt:lpstr>
      <vt:lpstr>SEA</vt:lpstr>
      <vt:lpstr>SEAPRO</vt:lpstr>
      <vt:lpstr>SER</vt:lpstr>
      <vt:lpstr>SERLIMIT</vt:lpstr>
      <vt:lpstr>SFI</vt:lpstr>
      <vt:lpstr>SHCP</vt:lpstr>
      <vt:lpstr>SKPI</vt:lpstr>
      <vt:lpstr>SKPIC</vt:lpstr>
      <vt:lpstr>SKPICAP</vt:lpstr>
      <vt:lpstr>SKPICOL</vt:lpstr>
      <vt:lpstr>SKPIDPA</vt:lpstr>
      <vt:lpstr>SKPIPRO</vt:lpstr>
      <vt:lpstr>SKPIT</vt:lpstr>
      <vt:lpstr>SKPIUPA</vt:lpstr>
      <vt:lpstr>SOMOD</vt:lpstr>
      <vt:lpstr>SOPU</vt:lpstr>
      <vt:lpstr>SS</vt:lpstr>
      <vt:lpstr>SSC</vt:lpstr>
      <vt:lpstr>SSCAP</vt:lpstr>
      <vt:lpstr>SSCOL</vt:lpstr>
      <vt:lpstr>SSDPA</vt:lpstr>
      <vt:lpstr>SSI</vt:lpstr>
      <vt:lpstr>SSO</vt:lpstr>
      <vt:lpstr>SSPRO</vt:lpstr>
      <vt:lpstr>SSSP</vt:lpstr>
      <vt:lpstr>SST</vt:lpstr>
      <vt:lpstr>SSUPA</vt:lpstr>
      <vt:lpstr>SubTIRG</vt:lpstr>
      <vt:lpstr>SWWE</vt:lpstr>
      <vt:lpstr>TERMt</vt:lpstr>
      <vt:lpstr>TF</vt:lpstr>
      <vt:lpstr>TIRG</vt:lpstr>
      <vt:lpstr>TIRGIncAdj1</vt:lpstr>
      <vt:lpstr>TIRGIncAdj2</vt:lpstr>
      <vt:lpstr>TIS</vt:lpstr>
      <vt:lpstr>TNR</vt:lpstr>
      <vt:lpstr>TO</vt:lpstr>
      <vt:lpstr>TOFTO</vt:lpstr>
      <vt:lpstr>TOTO</vt:lpstr>
      <vt:lpstr>TPA</vt:lpstr>
      <vt:lpstr>TPD</vt:lpstr>
      <vt:lpstr>TR</vt:lpstr>
      <vt:lpstr>TSH</vt:lpstr>
      <vt:lpstr>TSP</vt:lpstr>
      <vt:lpstr>UNTO</vt:lpstr>
      <vt:lpstr>VOLL</vt:lpstr>
      <vt:lpstr>WACC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RIIO Revenue pack</dc:title>
  <dc:creator>DN</dc:creator>
  <cp:lastModifiedBy>Andrew Ryan</cp:lastModifiedBy>
  <cp:lastPrinted>2016-07-27T15:54:10Z</cp:lastPrinted>
  <dcterms:created xsi:type="dcterms:W3CDTF">2012-08-23T07:44:41Z</dcterms:created>
  <dcterms:modified xsi:type="dcterms:W3CDTF">2019-04-17T09:31:06Z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0x01010033282546F0D44441B574BEAA5FBE93E400C598187FB64C704AACFADDF5580A0668</vt:lpwstr>
  </property>
  <property fmtid="{D5CDD505-2E9C-101B-9397-08002B2CF9AE}" pid="3" name="Meeting Date">
    <vt:filetime>2015-07-31T13:15:23Z</vt:filetime>
  </property>
  <property fmtid="{D5CDD505-2E9C-101B-9397-08002B2CF9AE}" pid="4" name="docIndexRef">
    <vt:lpwstr>b926dba3-0fe9-4f12-985f-40ca1360eb6a</vt:lpwstr>
  </property>
  <property fmtid="{D5CDD505-2E9C-101B-9397-08002B2CF9AE}" pid="5" name="bjSaver">
    <vt:lpwstr>bCX/ESsQeb3qNxKFMI9dkK/LXaHtiqoY</vt:lpwstr>
  </property>
  <property fmtid="{D5CDD505-2E9C-101B-9397-08002B2CF9AE}" pid="6" name="BJSCc5a055b0-1bed-4579_x">
    <vt:lpwstr/>
  </property>
  <property fmtid="{D5CDD505-2E9C-101B-9397-08002B2CF9AE}" pid="7" name="BJSCdd9eba61-d6b9-469b_x">
    <vt:lpwstr/>
  </property>
  <property fmtid="{D5CDD505-2E9C-101B-9397-08002B2CF9AE}" pid="8" name="BJSCSummaryMarking">
    <vt:lpwstr>This item has no classification</vt:lpwstr>
  </property>
  <property fmtid="{D5CDD505-2E9C-101B-9397-08002B2CF9AE}" pid="9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10" name="Order">
    <vt:r8>3234600</vt:r8>
  </property>
  <property fmtid="{D5CDD505-2E9C-101B-9397-08002B2CF9AE}" pid="11" name="bjDocumentSecurityLabel">
    <vt:lpwstr>This item has no classification</vt:lpwstr>
  </property>
</Properties>
</file>