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4_Post_Notice_Modifications/"/>
    </mc:Choice>
  </mc:AlternateContent>
  <bookViews>
    <workbookView xWindow="0" yWindow="60" windowWidth="2775" windowHeight="2138" tabRatio="906" activeTab="2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  <sheet name="R15 SO Internal" sheetId="8" r:id="rId15"/>
    <sheet name="R16 SO External Rev" sheetId="20" r:id="rId16"/>
    <sheet name="R17 SO Bal Services" sheetId="21" r:id="rId17"/>
  </sheets>
  <externalReferences>
    <externalReference r:id="rId18"/>
  </externalReferences>
  <definedNames>
    <definedName name="ADD">'R5 Input page'!$D$90:$M$90</definedName>
    <definedName name="ADDSF6">'R5 Input page'!$F$90:$M$90</definedName>
    <definedName name="AFFTIRG">'R5 Input page'!$E$107:$M$107</definedName>
    <definedName name="AFFTIRGDEPN">'R5 Input page'!$E$108:$M$108</definedName>
    <definedName name="ALE">'R5 Input page'!$D$94:$M$94</definedName>
    <definedName name="ANIA">'R9 Innovation incentive'!$F$26:$M$26</definedName>
    <definedName name="ATIRG">'R5 Input page'!$E$111:$M$111</definedName>
    <definedName name="BASE">'R5 Input page'!$E$89</definedName>
    <definedName name="BPC">'R5 Input page'!$F$100:$M$100</definedName>
    <definedName name="BPCGROUP">'R5 Input page'!#REF!</definedName>
    <definedName name="BPCLIMIT">'R4 Licence Condition Values'!#REF!</definedName>
    <definedName name="BPCLIMIT2">'R5 Input page'!#REF!</definedName>
    <definedName name="BRt" comment="Transmission Base Revenue">'R6 Base revenue'!$F$12:$M$12</definedName>
    <definedName name="BSTC">'R4 Licence Condition Values'!$F$69:$M$69</definedName>
    <definedName name="CANMR">'R5 Input page'!#REF!</definedName>
    <definedName name="CCTIRG">'R4 Licence Condition Values'!$D$81:$M$81</definedName>
    <definedName name="CF">'R4 Licence Condition Values'!$F$61:$M$61</definedName>
    <definedName name="CfDQD">'R5 Input page'!#REF!</definedName>
    <definedName name="CfDS">'R5 Input page'!$F$124:$M$124</definedName>
    <definedName name="CfDSD">'R5 Input page'!$F$125:$M$125</definedName>
    <definedName name="CFTIRG">'R4 Licence Condition Values'!$E$74:$M$74</definedName>
    <definedName name="CMECAQD">'R5 Input page'!#REF!</definedName>
    <definedName name="CMQD">'R5 Input page'!#REF!</definedName>
    <definedName name="CMS">'R5 Input page'!$F$126:$M$126</definedName>
    <definedName name="CMSD">'R5 Input page'!$F$127:$M$127</definedName>
    <definedName name="CompName">'R5 Input page'!$E$6</definedName>
    <definedName name="CSSAF">'R8 Output incentives'!$F$95:$M$95</definedName>
    <definedName name="CSSCAP">'R4 Licence Condition Values'!$F$48:$M$48</definedName>
    <definedName name="CSSCOL">'R4 Licence Condition Values'!$F$49:$M$49</definedName>
    <definedName name="CSSDPA">'R4 Licence Condition Values'!$F$51:$M$51</definedName>
    <definedName name="CSSP">'R5 Input page'!$D$83:$M$83</definedName>
    <definedName name="CSSPRO">'R4 Licence Condition Values'!$F$45:$M$45</definedName>
    <definedName name="CSSS">'R15 SO Internal'!$F$91:$M$91</definedName>
    <definedName name="CSSSCfD">'R5 Input page'!#REF!</definedName>
    <definedName name="CSSSCM">'R5 Input page'!#REF!</definedName>
    <definedName name="CSST">'R4 Licence Condition Values'!$F$47:$M$47</definedName>
    <definedName name="CSSUPA">'R4 Licence Condition Values'!$F$50:$M$50</definedName>
    <definedName name="CTE" localSheetId="15">#REF!</definedName>
    <definedName name="CTE" localSheetId="16">#REF!</definedName>
    <definedName name="CTE">'R8 Output incentives'!#REF!</definedName>
    <definedName name="Dep">'R4 Licence Condition Values'!$E$78:$M$78</definedName>
    <definedName name="DFA">'R15 SO Internal'!$F$68:$M$68</definedName>
    <definedName name="DFAA">'R5 Input page'!#REF!</definedName>
    <definedName name="DFAB">'R5 Input page'!#REF!</definedName>
    <definedName name="DFAC">'R5 Input page'!#REF!</definedName>
    <definedName name="DIS">'R5 Input page'!$E$50:$M$50</definedName>
    <definedName name="DRI">'R5 Input page'!$E$120:$M$120</definedName>
    <definedName name="DSP">'R5 Input page'!$D$92:$M$92</definedName>
    <definedName name="DSR">'R15 SO Internal'!$F$82:$M$82</definedName>
    <definedName name="DSRpq">'R5 Input page'!$F$119:$M$119</definedName>
    <definedName name="EDR">'R8 Output incentives'!$F$140:$M$140</definedName>
    <definedName name="EDRO">'R5 Input page'!$F$71:$M$71</definedName>
    <definedName name="EINIAT" localSheetId="15">#REF!</definedName>
    <definedName name="EINIAT" localSheetId="16">#REF!</definedName>
    <definedName name="EINIAT">'R5 Input page'!#REF!</definedName>
    <definedName name="ENIA">'R5 Input page'!$F$98:$M$98</definedName>
    <definedName name="ENSA">'R5 Input page'!$D$78:$M$78</definedName>
    <definedName name="ENST">'R4 Licence Condition Values'!$F$23:$M$23</definedName>
    <definedName name="ETIRG">'R11 TIRG'!$E$69:$M$69</definedName>
    <definedName name="ETIRGC">'R4 Licence Condition Values'!$E$79:$M$79</definedName>
    <definedName name="ETIRGORAV">'R4 Licence Condition Values'!$D$77</definedName>
    <definedName name="FTIRG">'R11 TIRG'!$E$41:$M$41</definedName>
    <definedName name="FTIRGC">'R4 Licence Condition Values'!$E$75:$M$75</definedName>
    <definedName name="ftirgdepn">'R4 Licence Condition Values'!$E$76:$M$76</definedName>
    <definedName name="FYADD">'R5 Input page'!$F$91:$M$91</definedName>
    <definedName name="FYDSP">'R5 Input page'!$F$93:$M$93</definedName>
    <definedName name="IONT">'R5 Input page'!#REF!</definedName>
    <definedName name="IPTIRG">'R11 TIRG'!$E$23:$M$23</definedName>
    <definedName name="It">'R5 Input page'!$E$57:$M$57</definedName>
    <definedName name="ITA">'R4 Licence Condition Values'!$D$14:$M$14</definedName>
    <definedName name="ITC">'R7 pass through'!$F$61:$M$61</definedName>
    <definedName name="ITP">'R5 Input page'!$D$63:$M$63</definedName>
    <definedName name="K">'R10 Correction'!$E$17:$M$17</definedName>
    <definedName name="Kt" localSheetId="15">#REF!</definedName>
    <definedName name="Kt" localSheetId="16">#REF!</definedName>
    <definedName name="Kt">'R10 Correction'!#REF!</definedName>
    <definedName name="LF">'R7 pass through'!$F$40:$M$40</definedName>
    <definedName name="LFA">'R5 Input page'!$D$61:$M$61</definedName>
    <definedName name="LFE">'R4 Licence Condition Values'!$D$13:$M$13</definedName>
    <definedName name="LFt">'R7 pass through'!$E$10:$M$10</definedName>
    <definedName name="MOD">'R5 Input page'!$F$25:$M$25</definedName>
    <definedName name="MTC">'R5 Input page'!#REF!</definedName>
    <definedName name="NC" localSheetId="15">'R16 SO External Rev'!#REF!</definedName>
    <definedName name="NC" localSheetId="16">'R17 SO Bal Services'!#REF!</definedName>
    <definedName name="NC">#REF!</definedName>
    <definedName name="NIA">'R9 Innovation incentive'!$F$16:$M$16</definedName>
    <definedName name="NIAIE">'R5 Input page'!$F$99:$M$99</definedName>
    <definedName name="NIAR">'R5 Input page'!$F$101:$M$101</definedName>
    <definedName name="NIAV">'R4 Licence Condition Values'!$F$63:$M$63</definedName>
    <definedName name="NICF">'R5 Input page'!$F$102:$M$102</definedName>
    <definedName name="NICF2">'R9 Innovation incentive'!$F$9:$M$9</definedName>
    <definedName name="NTPC">'R5 Input page'!$D$95:$M$95</definedName>
    <definedName name="OFET">'R5 Input page'!$D$68:$M$68</definedName>
    <definedName name="OIP">'R8 Output incentives'!$F$13:$M$13</definedName>
    <definedName name="PEAK2">'R5 Input page'!#REF!</definedName>
    <definedName name="PEAK3">'R5 Input page'!$F$123:$M$123</definedName>
    <definedName name="PEAK6">'R5 Input page'!$F$122:$M$122</definedName>
    <definedName name="PEAKA">'R5 Input page'!$F$121:$M$121</definedName>
    <definedName name="PR">'[1]PR t'!$I$24:$P$24</definedName>
    <definedName name="_xlnm.Print_Area" localSheetId="9">'R10 Correction'!$A$1:$N$25</definedName>
    <definedName name="_xlnm.Print_Area" localSheetId="10">'R11 TIRG'!$A$1:$N$72</definedName>
    <definedName name="_xlnm.Print_Area" localSheetId="11">'R12 TO MAR'!$A$1:$N$26</definedName>
    <definedName name="_xlnm.Print_Area" localSheetId="13">'R14 Rec to Stat Ac'!$A$1:$L$55</definedName>
    <definedName name="_xlnm.Print_Area" localSheetId="14">'R15 SO Internal'!$A$1:$N$44</definedName>
    <definedName name="_xlnm.Print_Area" localSheetId="15">'R16 SO External Rev'!$A$1:$Q$149</definedName>
    <definedName name="_xlnm.Print_Area" localSheetId="16">'R17 SO Bal Services'!$A$1:$Q$43</definedName>
    <definedName name="_xlnm.Print_Area" localSheetId="3">'R4 Licence Condition Values'!$A$1:$N$89</definedName>
    <definedName name="_xlnm.Print_Area" localSheetId="4">'R5 Input page'!$A$1:$N$116</definedName>
    <definedName name="_xlnm.Print_Area" localSheetId="5">'R6 Base revenue'!$A$1:$N$92</definedName>
    <definedName name="_xlnm.Print_Area" localSheetId="6">'R7 pass through'!$A$1:$N$63</definedName>
    <definedName name="_xlnm.Print_Area" localSheetId="7">'R8 Output incentives'!$A$1:$N$153</definedName>
    <definedName name="_xlnm.Print_Area" localSheetId="8">'R9 Innovation incentive'!$A$1:$N$35</definedName>
    <definedName name="PRt" localSheetId="15">#REF!</definedName>
    <definedName name="PRt" localSheetId="16">#REF!</definedName>
    <definedName name="PRt">#REF!</definedName>
    <definedName name="PTIS">'R8 Output incentives'!$F$131:$M$131</definedName>
    <definedName name="PTRA">'R4 Licence Condition Values'!$F$66:$M$66</definedName>
    <definedName name="PTt" comment="Pass through Items">'R7 pass through'!$F$18:$M$18</definedName>
    <definedName name="PU">'R4 Licence Condition Values'!$F$9:$M$9</definedName>
    <definedName name="PVF">'R5 Input page'!$E$45:$M$45</definedName>
    <definedName name="RB">'R7 pass through'!$F$29:$M$29</definedName>
    <definedName name="RBA">'R5 Input page'!$F$60:$M$60</definedName>
    <definedName name="RBE">'R4 Licence Condition Values'!$F$12:$M$12</definedName>
    <definedName name="RBt">'R7 pass through'!$E$9:$M$9</definedName>
    <definedName name="RegYr">'R5 Input page'!$F$7</definedName>
    <definedName name="REV">'R6 Base revenue'!$E$75:$M$75</definedName>
    <definedName name="RFIIR">'R5 Input page'!#REF!</definedName>
    <definedName name="RI">'R8 Output incentives'!$E$32:$M$32</definedName>
    <definedName name="RICOL">'[1]Input TO'!$I$65:$P$65</definedName>
    <definedName name="RIDPA">'R4 Licence Condition Values'!$F$24:$M$24</definedName>
    <definedName name="RIDPA1213">'[1]Input TO'!$I$63:$P$63</definedName>
    <definedName name="RIDPA201213">'[1]Input TO'!$I$63:$P$63</definedName>
    <definedName name="RILEG">'R5 Input page'!$F$73</definedName>
    <definedName name="RILT">'[1]Input TO'!$I$59:$P$59</definedName>
    <definedName name="RIP">'[1]Input TO'!$F$135:$P$135</definedName>
    <definedName name="RIUPA">'[1]Input TO'!$I$62:$P$62</definedName>
    <definedName name="RIUT">'[1]Input TO'!$I$60:$P$60</definedName>
    <definedName name="RPIA">'R5 Input page'!$D$10:$M$10</definedName>
    <definedName name="RPIF">'R6 Base revenue'!$E$28:$M$28</definedName>
    <definedName name="SAFTIRG">'R5 Input page'!$D$109:$M$109</definedName>
    <definedName name="SER">'R5 Input page'!$F$82:$M$82</definedName>
    <definedName name="SERLIMIT">'R4 Licence Condition Values'!$F$59:$M$59</definedName>
    <definedName name="SFI">'R8 Output incentives'!$E$123:$M$123</definedName>
    <definedName name="SOEMR">'R4 Licence Condition Values'!$E$87:$M$87</definedName>
    <definedName name="SOEMRCO">'R5 Input page'!$F$116:$M$116</definedName>
    <definedName name="SOEMRDRI">'R5 Input page'!#REF!</definedName>
    <definedName name="SOEMRINC">'R15 SO Internal'!$F$60:$M$60</definedName>
    <definedName name="SOI">'R15 SO Internal'!$F$18</definedName>
    <definedName name="SOMOD">'R5 Input page'!$F$27:$M$27</definedName>
    <definedName name="SOPU">'R4 Licence Condition Values'!$F$10:$M$10</definedName>
    <definedName name="SOREV">'R15 SO Internal'!$F$39:$M$39</definedName>
    <definedName name="SOTRU">'R15 SO Internal'!$F$27:$M$27</definedName>
    <definedName name="SSO">'R8 Output incentives'!$F$63:$M$63</definedName>
    <definedName name="SSS">'R8 Output incentives'!$F$80:$M$80</definedName>
    <definedName name="SSSAF">'R8 Output incentives'!$F$108:$M$108</definedName>
    <definedName name="SSSCAP">'R4 Licence Condition Values'!$F$55:$M$55</definedName>
    <definedName name="SSSCOL">'R4 Licence Condition Values'!$F$56:$M$56</definedName>
    <definedName name="SSSDPA">'R4 Licence Condition Values'!$F$58:$M$58</definedName>
    <definedName name="SSSP">'R5 Input page'!$D$81:$M$81</definedName>
    <definedName name="SSSPRO">'R4 Licence Condition Values'!$F$53:$M$53</definedName>
    <definedName name="SSST">'R4 Licence Condition Values'!$F$54:$M$54</definedName>
    <definedName name="SSSUPA">'R4 Licence Condition Values'!$F$57:$M$57</definedName>
    <definedName name="SubTIRG">'R11 TIRG'!$E$12:$M$12</definedName>
    <definedName name="TERMt">'R5 Input page'!$D$64:$M$64</definedName>
    <definedName name="TIRG">'R11 TIRG'!$E$15:$M$15</definedName>
    <definedName name="TIRGINCADJ">'R5 Input page'!$E$110:$M$110</definedName>
    <definedName name="TIS">'R4 Licence Condition Values'!$D$41:$M$41</definedName>
    <definedName name="TNR">'R5 Input page'!$F$29:$M$29</definedName>
    <definedName name="TO">'R12 TO MAR'!$F$19:$M$19</definedName>
    <definedName name="TOFTO">'R5 Input page'!$D$67:$M$67</definedName>
    <definedName name="TPA">'R5 Input page'!$E$62:$M$62</definedName>
    <definedName name="TPD">'R7 pass through'!$F$50:$M$50</definedName>
    <definedName name="TR">'R5 Input page'!$D$85:$M$85</definedName>
    <definedName name="TRU">'R6 Base revenue'!$E$38:$M$38</definedName>
    <definedName name="TS">'R5 Input page'!$E$55:$M$55</definedName>
    <definedName name="TSH">'R5 Input page'!$D$66:$M$66</definedName>
    <definedName name="TSP">'R5 Input page'!$D$65:$M$65</definedName>
    <definedName name="VOLL">'R4 Licence Condition Values'!$F$22:$M$22</definedName>
    <definedName name="WACC">'R5 Input page'!$E$44:$M$44</definedName>
  </definedNames>
  <calcPr calcId="162913"/>
</workbook>
</file>

<file path=xl/calcChain.xml><?xml version="1.0" encoding="utf-8"?>
<calcChain xmlns="http://schemas.openxmlformats.org/spreadsheetml/2006/main">
  <c r="M26" i="6" l="1"/>
  <c r="L26" i="6"/>
  <c r="K26" i="6"/>
  <c r="B18" i="15" l="1"/>
  <c r="B17" i="15" l="1"/>
  <c r="AE63" i="20"/>
  <c r="AD63" i="20"/>
  <c r="AE62" i="20"/>
  <c r="AD62" i="20"/>
  <c r="AE61" i="20"/>
  <c r="AD61" i="20"/>
  <c r="AE60" i="20"/>
  <c r="AD60" i="20"/>
  <c r="AB63" i="20"/>
  <c r="AA63" i="20"/>
  <c r="AB62" i="20"/>
  <c r="AA62" i="20"/>
  <c r="AB61" i="20"/>
  <c r="AA61" i="20"/>
  <c r="AB60" i="20"/>
  <c r="AA60" i="20"/>
  <c r="Y63" i="20"/>
  <c r="Y62" i="20"/>
  <c r="Y61" i="20"/>
  <c r="Y60" i="20"/>
  <c r="X62" i="20"/>
  <c r="X61" i="20" l="1"/>
  <c r="X60" i="20"/>
  <c r="R51" i="20"/>
  <c r="R49" i="20"/>
  <c r="R48" i="20"/>
  <c r="R47" i="20"/>
  <c r="R46" i="20"/>
  <c r="R45" i="20"/>
  <c r="G55" i="17" l="1"/>
  <c r="H55" i="17"/>
  <c r="I55" i="17"/>
  <c r="J55" i="17"/>
  <c r="K55" i="17"/>
  <c r="L55" i="17"/>
  <c r="M55" i="17"/>
  <c r="F55" i="17"/>
  <c r="M50" i="17"/>
  <c r="L50" i="17"/>
  <c r="K50" i="17"/>
  <c r="J50" i="17"/>
  <c r="I50" i="17"/>
  <c r="H50" i="17"/>
  <c r="G50" i="17"/>
  <c r="F50" i="17"/>
  <c r="V183" i="20" l="1"/>
  <c r="S34" i="20" l="1"/>
  <c r="R34" i="20"/>
  <c r="P34" i="20"/>
  <c r="O34" i="20"/>
  <c r="M34" i="20"/>
  <c r="L34" i="20"/>
  <c r="J34" i="20"/>
  <c r="I34" i="20"/>
  <c r="G34" i="20"/>
  <c r="S32" i="20"/>
  <c r="R32" i="20"/>
  <c r="P32" i="20"/>
  <c r="O32" i="20"/>
  <c r="M32" i="20"/>
  <c r="L32" i="20"/>
  <c r="J32" i="20"/>
  <c r="I32" i="20"/>
  <c r="G32" i="20"/>
  <c r="F32" i="20"/>
  <c r="S28" i="20"/>
  <c r="R28" i="20"/>
  <c r="P28" i="20"/>
  <c r="O28" i="20"/>
  <c r="M28" i="20"/>
  <c r="L28" i="20"/>
  <c r="J28" i="20"/>
  <c r="I28" i="20"/>
  <c r="G28" i="20"/>
  <c r="F28" i="20"/>
  <c r="S100" i="20"/>
  <c r="R100" i="20"/>
  <c r="S99" i="20"/>
  <c r="R99" i="20"/>
  <c r="P100" i="20"/>
  <c r="O100" i="20"/>
  <c r="P99" i="20"/>
  <c r="O99" i="20"/>
  <c r="M100" i="20"/>
  <c r="L100" i="20"/>
  <c r="M99" i="20"/>
  <c r="L99" i="20"/>
  <c r="J100" i="20"/>
  <c r="I100" i="20"/>
  <c r="J99" i="20"/>
  <c r="I99" i="20"/>
  <c r="G100" i="20"/>
  <c r="G99" i="20"/>
  <c r="F100" i="20"/>
  <c r="F99" i="20"/>
  <c r="G101" i="20"/>
  <c r="R27" i="20"/>
  <c r="S27" i="20" s="1"/>
  <c r="O27" i="20"/>
  <c r="P27" i="20" s="1"/>
  <c r="L27" i="20"/>
  <c r="M27" i="20" s="1"/>
  <c r="I27" i="20"/>
  <c r="J27" i="20" s="1"/>
  <c r="F27" i="20"/>
  <c r="G27" i="20" s="1"/>
  <c r="F109" i="20" l="1"/>
  <c r="J109" i="20"/>
  <c r="L109" i="20"/>
  <c r="O109" i="20"/>
  <c r="R109" i="20"/>
  <c r="P109" i="20"/>
  <c r="I109" i="20"/>
  <c r="G109" i="20"/>
  <c r="M109" i="20"/>
  <c r="S109" i="20"/>
  <c r="G78" i="20" l="1"/>
  <c r="O78" i="20"/>
  <c r="I78" i="20"/>
  <c r="L78" i="20"/>
  <c r="P78" i="20"/>
  <c r="J78" i="20"/>
  <c r="S78" i="20"/>
  <c r="M78" i="20"/>
  <c r="R78" i="20"/>
  <c r="F78" i="20"/>
  <c r="K11" i="17"/>
  <c r="L11" i="17" s="1"/>
  <c r="M11" i="17" s="1"/>
  <c r="F217" i="20" l="1"/>
  <c r="F218" i="20" s="1"/>
  <c r="F33" i="20" s="1"/>
  <c r="G33" i="20" s="1"/>
  <c r="AD216" i="20"/>
  <c r="AD219" i="20" s="1"/>
  <c r="AA216" i="20"/>
  <c r="AA219" i="20" s="1"/>
  <c r="X216" i="20"/>
  <c r="X219" i="20" s="1"/>
  <c r="AD185" i="20"/>
  <c r="AE185" i="20" s="1"/>
  <c r="AA185" i="20"/>
  <c r="AB185" i="20" s="1"/>
  <c r="X185" i="20"/>
  <c r="Y185" i="20" s="1"/>
  <c r="F186" i="20" l="1"/>
  <c r="G186" i="20" s="1"/>
  <c r="G190" i="20" s="1"/>
  <c r="U183" i="20"/>
  <c r="AE182" i="20"/>
  <c r="AD182" i="20"/>
  <c r="AB182" i="20"/>
  <c r="AA182" i="20"/>
  <c r="Y182" i="20"/>
  <c r="X182" i="20"/>
  <c r="V182" i="20"/>
  <c r="U182" i="20"/>
  <c r="F190" i="20" l="1"/>
  <c r="V174" i="20"/>
  <c r="U174" i="20"/>
  <c r="V49" i="20" l="1"/>
  <c r="U49" i="20"/>
  <c r="AE158" i="20"/>
  <c r="AD158" i="20"/>
  <c r="AB158" i="20"/>
  <c r="AA158" i="20"/>
  <c r="Y158" i="20"/>
  <c r="X158" i="20"/>
  <c r="X63" i="20" s="1"/>
  <c r="V158" i="20"/>
  <c r="V48" i="20" s="1"/>
  <c r="U158" i="20"/>
  <c r="U48" i="20" l="1"/>
  <c r="K56" i="8" l="1"/>
  <c r="I11" i="10" l="1"/>
  <c r="G53" i="11"/>
  <c r="M16" i="2"/>
  <c r="L16" i="2"/>
  <c r="K16" i="2"/>
  <c r="J16" i="2"/>
  <c r="I16" i="2"/>
  <c r="H16" i="2"/>
  <c r="G16" i="2"/>
  <c r="F16" i="2"/>
  <c r="M15" i="2"/>
  <c r="L15" i="2"/>
  <c r="K15" i="2"/>
  <c r="J15" i="2"/>
  <c r="I15" i="2"/>
  <c r="H15" i="2"/>
  <c r="G15" i="2"/>
  <c r="F15" i="2"/>
  <c r="M64" i="18"/>
  <c r="F102" i="5"/>
  <c r="F75" i="5"/>
  <c r="J100" i="8" l="1"/>
  <c r="M85" i="8" l="1"/>
  <c r="L85" i="8"/>
  <c r="K85" i="8"/>
  <c r="M84" i="8" s="1"/>
  <c r="J85" i="8"/>
  <c r="K84" i="8" s="1"/>
  <c r="M81" i="8" s="1"/>
  <c r="M76" i="8"/>
  <c r="L76" i="8"/>
  <c r="K76" i="8"/>
  <c r="J76" i="8"/>
  <c r="M74" i="8"/>
  <c r="M71" i="8" s="1"/>
  <c r="L74" i="8"/>
  <c r="L71" i="8" s="1"/>
  <c r="K74" i="8"/>
  <c r="K71" i="8" s="1"/>
  <c r="J74" i="8"/>
  <c r="J72" i="8" s="1"/>
  <c r="L67" i="8"/>
  <c r="M66" i="8" l="1"/>
  <c r="L84" i="8"/>
  <c r="M80" i="8"/>
  <c r="J93" i="8"/>
  <c r="H104" i="8" l="1"/>
  <c r="M100" i="8"/>
  <c r="L100" i="8"/>
  <c r="K100" i="8"/>
  <c r="I100" i="8"/>
  <c r="H100" i="8"/>
  <c r="H97" i="8"/>
  <c r="M93" i="8"/>
  <c r="L93" i="8"/>
  <c r="K93" i="8"/>
  <c r="I102" i="8" l="1"/>
  <c r="M82" i="8"/>
  <c r="M95" i="8"/>
  <c r="J95" i="8"/>
  <c r="M102" i="8"/>
  <c r="L95" i="8"/>
  <c r="J102" i="8"/>
  <c r="L102" i="8"/>
  <c r="I95" i="8"/>
  <c r="K95" i="8"/>
  <c r="K102" i="8"/>
  <c r="M103" i="8" l="1"/>
  <c r="M101" i="8"/>
  <c r="I103" i="8"/>
  <c r="I101" i="8"/>
  <c r="L103" i="8"/>
  <c r="L101" i="8"/>
  <c r="L105" i="8"/>
  <c r="J101" i="8"/>
  <c r="J103" i="8"/>
  <c r="J105" i="8" s="1"/>
  <c r="K101" i="8"/>
  <c r="K103" i="8"/>
  <c r="K105" i="8" s="1"/>
  <c r="M105" i="8"/>
  <c r="J96" i="8"/>
  <c r="J94" i="8"/>
  <c r="K96" i="8"/>
  <c r="K94" i="8"/>
  <c r="L94" i="8"/>
  <c r="L96" i="8"/>
  <c r="L98" i="8" s="1"/>
  <c r="M96" i="8"/>
  <c r="M98" i="8" s="1"/>
  <c r="M89" i="8" s="1"/>
  <c r="M94" i="8"/>
  <c r="I96" i="8"/>
  <c r="I94" i="8"/>
  <c r="M90" i="8" l="1"/>
  <c r="K90" i="8"/>
  <c r="J90" i="8"/>
  <c r="L90" i="8"/>
  <c r="L89" i="8"/>
  <c r="J91" i="8" l="1"/>
  <c r="J59" i="8" s="1"/>
  <c r="U45" i="20"/>
  <c r="I68" i="8"/>
  <c r="I57" i="8" s="1"/>
  <c r="J68" i="8"/>
  <c r="J57" i="8" s="1"/>
  <c r="L68" i="8"/>
  <c r="L57" i="8" s="1"/>
  <c r="M68" i="8"/>
  <c r="M57" i="8" s="1"/>
  <c r="H56" i="8"/>
  <c r="L56" i="8"/>
  <c r="M56" i="8"/>
  <c r="G58" i="8"/>
  <c r="H58" i="8"/>
  <c r="I58" i="8"/>
  <c r="J58" i="8"/>
  <c r="K58" i="8"/>
  <c r="L58" i="8"/>
  <c r="M58" i="8"/>
  <c r="F58" i="8"/>
  <c r="G59" i="8"/>
  <c r="H59" i="8"/>
  <c r="I59" i="8"/>
  <c r="K91" i="8"/>
  <c r="K59" i="8" s="1"/>
  <c r="L91" i="8"/>
  <c r="L59" i="8" s="1"/>
  <c r="M91" i="8"/>
  <c r="M59" i="8" s="1"/>
  <c r="K68" i="8"/>
  <c r="K57" i="8" s="1"/>
  <c r="G57" i="8"/>
  <c r="F57" i="8"/>
  <c r="J56" i="8"/>
  <c r="I56" i="8" l="1"/>
  <c r="I60" i="8" s="1"/>
  <c r="I11" i="8" s="1"/>
  <c r="G56" i="8"/>
  <c r="G60" i="8" s="1"/>
  <c r="G11" i="8" s="1"/>
  <c r="F59" i="8"/>
  <c r="H68" i="8"/>
  <c r="H57" i="8" s="1"/>
  <c r="H60" i="8" s="1"/>
  <c r="H37" i="8" s="1"/>
  <c r="F56" i="8"/>
  <c r="J60" i="8"/>
  <c r="J37" i="8" s="1"/>
  <c r="L60" i="8"/>
  <c r="L37" i="8" s="1"/>
  <c r="K60" i="8"/>
  <c r="K11" i="8" s="1"/>
  <c r="M60" i="8"/>
  <c r="M11" i="8" s="1"/>
  <c r="F60" i="8" l="1"/>
  <c r="F37" i="8" s="1"/>
  <c r="J11" i="8"/>
  <c r="H11" i="8"/>
  <c r="G37" i="8"/>
  <c r="L11" i="8"/>
  <c r="K37" i="8"/>
  <c r="I37" i="8"/>
  <c r="M37" i="8"/>
  <c r="F11" i="8"/>
  <c r="G78" i="5" l="1"/>
  <c r="H78" i="5"/>
  <c r="I78" i="5"/>
  <c r="F78" i="5"/>
  <c r="J53" i="16"/>
  <c r="J78" i="5" s="1"/>
  <c r="K53" i="16"/>
  <c r="K78" i="5" s="1"/>
  <c r="L53" i="16"/>
  <c r="L78" i="5" s="1"/>
  <c r="M53" i="16"/>
  <c r="M78" i="5" s="1"/>
  <c r="I53" i="16"/>
  <c r="H22" i="6" l="1"/>
  <c r="F119" i="5" l="1"/>
  <c r="G119" i="5"/>
  <c r="H119" i="5"/>
  <c r="I119" i="5"/>
  <c r="J119" i="5"/>
  <c r="K119" i="5"/>
  <c r="L119" i="5"/>
  <c r="M119" i="5"/>
  <c r="E28" i="3" l="1"/>
  <c r="H56" i="18" l="1"/>
  <c r="E10" i="17" l="1"/>
  <c r="E19" i="3" s="1"/>
  <c r="M152" i="5" l="1"/>
  <c r="L152" i="5"/>
  <c r="K152" i="5"/>
  <c r="J152" i="5"/>
  <c r="I152" i="5"/>
  <c r="H152" i="5"/>
  <c r="G152" i="5"/>
  <c r="M151" i="5"/>
  <c r="L151" i="5"/>
  <c r="K151" i="5"/>
  <c r="J151" i="5"/>
  <c r="I151" i="5"/>
  <c r="H151" i="5"/>
  <c r="G151" i="5"/>
  <c r="M149" i="5"/>
  <c r="L149" i="5"/>
  <c r="K149" i="5"/>
  <c r="J149" i="5"/>
  <c r="I149" i="5"/>
  <c r="H149" i="5"/>
  <c r="G149" i="5"/>
  <c r="M148" i="5"/>
  <c r="L148" i="5"/>
  <c r="K148" i="5"/>
  <c r="J148" i="5"/>
  <c r="I148" i="5"/>
  <c r="H148" i="5"/>
  <c r="G148" i="5"/>
  <c r="F152" i="5"/>
  <c r="F151" i="5"/>
  <c r="F150" i="5"/>
  <c r="F149" i="5"/>
  <c r="F148" i="5"/>
  <c r="F153" i="5" l="1"/>
  <c r="G147" i="5"/>
  <c r="G150" i="5" s="1"/>
  <c r="G153" i="5" s="1"/>
  <c r="F21" i="3"/>
  <c r="H147" i="5" l="1"/>
  <c r="H150" i="5" s="1"/>
  <c r="H153" i="5" s="1"/>
  <c r="V42" i="21"/>
  <c r="V9" i="21" s="1"/>
  <c r="U42" i="21"/>
  <c r="U9" i="21" s="1"/>
  <c r="S42" i="21"/>
  <c r="S9" i="21" s="1"/>
  <c r="R42" i="21"/>
  <c r="R9" i="21" s="1"/>
  <c r="P42" i="21"/>
  <c r="P9" i="21" s="1"/>
  <c r="O42" i="21"/>
  <c r="M42" i="21"/>
  <c r="M9" i="21" s="1"/>
  <c r="L42" i="21"/>
  <c r="V32" i="21"/>
  <c r="V8" i="21" s="1"/>
  <c r="U32" i="21"/>
  <c r="S32" i="21"/>
  <c r="S8" i="21" s="1"/>
  <c r="R32" i="21"/>
  <c r="P32" i="21"/>
  <c r="P8" i="21" s="1"/>
  <c r="O32" i="21"/>
  <c r="O8" i="21" s="1"/>
  <c r="L32" i="21"/>
  <c r="L8" i="21" s="1"/>
  <c r="M32" i="21"/>
  <c r="M8" i="21" s="1"/>
  <c r="V21" i="21"/>
  <c r="V7" i="21" s="1"/>
  <c r="U21" i="21"/>
  <c r="U7" i="21" s="1"/>
  <c r="S21" i="21"/>
  <c r="S7" i="21" s="1"/>
  <c r="R21" i="21"/>
  <c r="R7" i="21" s="1"/>
  <c r="P21" i="21"/>
  <c r="P7" i="21" s="1"/>
  <c r="O21" i="21"/>
  <c r="O7" i="21" s="1"/>
  <c r="L21" i="21"/>
  <c r="L7" i="21" s="1"/>
  <c r="M21" i="21"/>
  <c r="M7" i="21" s="1"/>
  <c r="O9" i="21"/>
  <c r="L9" i="21"/>
  <c r="U8" i="21"/>
  <c r="R8" i="21"/>
  <c r="A3" i="21"/>
  <c r="A2" i="21"/>
  <c r="AE138" i="20"/>
  <c r="AD138" i="20"/>
  <c r="AB138" i="20"/>
  <c r="AA138" i="20"/>
  <c r="Y138" i="20"/>
  <c r="X138" i="20"/>
  <c r="V138" i="20"/>
  <c r="U138" i="20"/>
  <c r="S130" i="20"/>
  <c r="S138" i="20" s="1"/>
  <c r="R130" i="20"/>
  <c r="R138" i="20" s="1"/>
  <c r="P130" i="20"/>
  <c r="P138" i="20" s="1"/>
  <c r="O130" i="20"/>
  <c r="O138" i="20" s="1"/>
  <c r="M130" i="20"/>
  <c r="M138" i="20" s="1"/>
  <c r="L130" i="20"/>
  <c r="I130" i="20"/>
  <c r="I138" i="20" s="1"/>
  <c r="F130" i="20"/>
  <c r="J130" i="20"/>
  <c r="G130" i="20"/>
  <c r="AE115" i="20"/>
  <c r="AD115" i="20"/>
  <c r="AB115" i="20"/>
  <c r="AA115" i="20"/>
  <c r="Y115" i="20"/>
  <c r="X115" i="20"/>
  <c r="V115" i="20"/>
  <c r="U115" i="20"/>
  <c r="AE114" i="20"/>
  <c r="AE121" i="20" s="1"/>
  <c r="AD114" i="20"/>
  <c r="AD121" i="20" s="1"/>
  <c r="AB114" i="20"/>
  <c r="AB121" i="20" s="1"/>
  <c r="AA114" i="20"/>
  <c r="AA121" i="20" s="1"/>
  <c r="Y114" i="20"/>
  <c r="Y121" i="20" s="1"/>
  <c r="X114" i="20"/>
  <c r="X121" i="20" s="1"/>
  <c r="V114" i="20"/>
  <c r="V121" i="20" s="1"/>
  <c r="V84" i="20" s="1"/>
  <c r="U114" i="20"/>
  <c r="U121" i="20" s="1"/>
  <c r="V46" i="20"/>
  <c r="U46" i="20"/>
  <c r="V45" i="20"/>
  <c r="A3" i="20"/>
  <c r="A2" i="20"/>
  <c r="F38" i="8"/>
  <c r="M36" i="8"/>
  <c r="L36" i="8"/>
  <c r="K36" i="8"/>
  <c r="J36" i="8"/>
  <c r="I36" i="8"/>
  <c r="H36" i="8"/>
  <c r="G36" i="8"/>
  <c r="F36" i="8"/>
  <c r="M35" i="8"/>
  <c r="L35" i="8"/>
  <c r="K35" i="8"/>
  <c r="J35" i="8"/>
  <c r="I35" i="8"/>
  <c r="H35" i="8"/>
  <c r="G35" i="8"/>
  <c r="F35" i="8"/>
  <c r="M34" i="8"/>
  <c r="L34" i="8"/>
  <c r="K34" i="8"/>
  <c r="J34" i="8"/>
  <c r="I34" i="8"/>
  <c r="H34" i="8"/>
  <c r="G34" i="8"/>
  <c r="F34" i="8"/>
  <c r="M33" i="8"/>
  <c r="L33" i="8"/>
  <c r="K33" i="8"/>
  <c r="J33" i="8"/>
  <c r="I33" i="8"/>
  <c r="H33" i="8"/>
  <c r="G33" i="8"/>
  <c r="F33" i="8"/>
  <c r="R10" i="21" l="1"/>
  <c r="R35" i="20" s="1"/>
  <c r="S10" i="21"/>
  <c r="S35" i="20" s="1"/>
  <c r="G138" i="20"/>
  <c r="G137" i="20"/>
  <c r="M76" i="20"/>
  <c r="M79" i="20"/>
  <c r="M77" i="20"/>
  <c r="S76" i="20"/>
  <c r="S79" i="20"/>
  <c r="S77" i="20"/>
  <c r="O76" i="20"/>
  <c r="O79" i="20"/>
  <c r="O77" i="20"/>
  <c r="I76" i="20"/>
  <c r="I79" i="20"/>
  <c r="I77" i="20"/>
  <c r="P76" i="20"/>
  <c r="P79" i="20"/>
  <c r="P77" i="20"/>
  <c r="R77" i="20"/>
  <c r="R76" i="20"/>
  <c r="R79" i="20"/>
  <c r="U84" i="20"/>
  <c r="V87" i="20"/>
  <c r="U87" i="20"/>
  <c r="F137" i="20"/>
  <c r="F138" i="20"/>
  <c r="V85" i="20"/>
  <c r="U85" i="20"/>
  <c r="V51" i="20"/>
  <c r="P10" i="21"/>
  <c r="P35" i="20" s="1"/>
  <c r="L10" i="21"/>
  <c r="L35" i="20" s="1"/>
  <c r="U51" i="20"/>
  <c r="L138" i="20"/>
  <c r="L137" i="20"/>
  <c r="I147" i="5"/>
  <c r="I150" i="5" s="1"/>
  <c r="I153" i="5" s="1"/>
  <c r="O10" i="21"/>
  <c r="O35" i="20" s="1"/>
  <c r="F39" i="8"/>
  <c r="F23" i="8" s="1"/>
  <c r="M10" i="21"/>
  <c r="M35" i="20" s="1"/>
  <c r="V86" i="20"/>
  <c r="J138" i="20"/>
  <c r="J137" i="20"/>
  <c r="U86" i="20"/>
  <c r="I137" i="20"/>
  <c r="O137" i="20"/>
  <c r="R137" i="20"/>
  <c r="U137" i="20"/>
  <c r="X137" i="20"/>
  <c r="AA137" i="20"/>
  <c r="AD137" i="20"/>
  <c r="M137" i="20"/>
  <c r="P137" i="20"/>
  <c r="S137" i="20"/>
  <c r="V137" i="20"/>
  <c r="Y137" i="20"/>
  <c r="AB137" i="20"/>
  <c r="AE137" i="20"/>
  <c r="G76" i="20" l="1"/>
  <c r="G77" i="20"/>
  <c r="G79" i="20"/>
  <c r="L77" i="20"/>
  <c r="L76" i="20"/>
  <c r="L79" i="20"/>
  <c r="F76" i="20"/>
  <c r="F77" i="20"/>
  <c r="F79" i="20"/>
  <c r="J77" i="20"/>
  <c r="J76" i="20"/>
  <c r="J79" i="20"/>
  <c r="U89" i="20"/>
  <c r="S81" i="20"/>
  <c r="S29" i="20" s="1"/>
  <c r="J147" i="5"/>
  <c r="J150" i="5" s="1"/>
  <c r="K147" i="5" s="1"/>
  <c r="K150" i="5" s="1"/>
  <c r="O81" i="20"/>
  <c r="O29" i="20" s="1"/>
  <c r="V89" i="20"/>
  <c r="P81" i="20"/>
  <c r="P29" i="20" s="1"/>
  <c r="U47" i="20" l="1"/>
  <c r="V47" i="20"/>
  <c r="R81" i="20"/>
  <c r="R29" i="20" s="1"/>
  <c r="I81" i="20"/>
  <c r="I29" i="20" s="1"/>
  <c r="L81" i="20"/>
  <c r="L29" i="20" s="1"/>
  <c r="J153" i="5"/>
  <c r="M81" i="20"/>
  <c r="M29" i="20" s="1"/>
  <c r="J81" i="20"/>
  <c r="J29" i="20" s="1"/>
  <c r="K153" i="5"/>
  <c r="L147" i="5"/>
  <c r="L150" i="5" s="1"/>
  <c r="G81" i="20"/>
  <c r="G29" i="20" s="1"/>
  <c r="G36" i="20" s="1"/>
  <c r="G14" i="20" s="1"/>
  <c r="F81" i="20"/>
  <c r="F29" i="20" s="1"/>
  <c r="F36" i="20" s="1"/>
  <c r="F14" i="20" s="1"/>
  <c r="M147" i="5" l="1"/>
  <c r="M150" i="5" s="1"/>
  <c r="M153" i="5" s="1"/>
  <c r="L153" i="5"/>
  <c r="M27" i="3"/>
  <c r="L27" i="3"/>
  <c r="L26" i="3"/>
  <c r="K26" i="3"/>
  <c r="K25" i="3"/>
  <c r="J25" i="3"/>
  <c r="J24" i="3"/>
  <c r="I24" i="3"/>
  <c r="I23" i="3"/>
  <c r="H22" i="3"/>
  <c r="H23" i="3"/>
  <c r="E20" i="3"/>
  <c r="F20" i="3"/>
  <c r="G21" i="3"/>
  <c r="G22" i="3"/>
  <c r="F9" i="3" l="1"/>
  <c r="F10" i="17" l="1"/>
  <c r="G10" i="17"/>
  <c r="H10" i="17"/>
  <c r="I10" i="17"/>
  <c r="J10" i="17"/>
  <c r="K10" i="17"/>
  <c r="L10" i="17"/>
  <c r="M10" i="17"/>
  <c r="D10" i="17"/>
  <c r="E56" i="3" l="1"/>
  <c r="E55" i="3"/>
  <c r="E51" i="3"/>
  <c r="E49" i="3"/>
  <c r="F38" i="5" l="1"/>
  <c r="F94" i="5"/>
  <c r="E58" i="4"/>
  <c r="E56" i="4"/>
  <c r="E46" i="4"/>
  <c r="E54" i="3" l="1"/>
  <c r="E52" i="3"/>
  <c r="E50" i="3"/>
  <c r="F37" i="18" l="1"/>
  <c r="G37" i="18"/>
  <c r="H37" i="18"/>
  <c r="I37" i="18"/>
  <c r="J37" i="18"/>
  <c r="K37" i="18"/>
  <c r="L37" i="18"/>
  <c r="M37" i="18"/>
  <c r="E37" i="18"/>
  <c r="F32" i="18"/>
  <c r="G32" i="18"/>
  <c r="H32" i="18"/>
  <c r="I32" i="18"/>
  <c r="J32" i="18"/>
  <c r="K32" i="18"/>
  <c r="L32" i="18"/>
  <c r="M32" i="18"/>
  <c r="E32" i="18"/>
  <c r="F31" i="18"/>
  <c r="G31" i="18"/>
  <c r="H31" i="18"/>
  <c r="I31" i="18"/>
  <c r="J31" i="18"/>
  <c r="K31" i="18"/>
  <c r="L31" i="18"/>
  <c r="M31" i="18"/>
  <c r="E31" i="18"/>
  <c r="F21" i="18"/>
  <c r="G21" i="18"/>
  <c r="H21" i="18"/>
  <c r="I21" i="18"/>
  <c r="J21" i="18"/>
  <c r="K21" i="18"/>
  <c r="L21" i="18"/>
  <c r="M21" i="18"/>
  <c r="E21" i="18"/>
  <c r="F14" i="18"/>
  <c r="G14" i="18"/>
  <c r="H14" i="18"/>
  <c r="I14" i="18"/>
  <c r="J14" i="18"/>
  <c r="K14" i="18"/>
  <c r="L14" i="18"/>
  <c r="M14" i="18"/>
  <c r="E14" i="18"/>
  <c r="F13" i="18"/>
  <c r="G13" i="18"/>
  <c r="H13" i="18"/>
  <c r="I13" i="18"/>
  <c r="J13" i="18"/>
  <c r="K13" i="18"/>
  <c r="L13" i="18"/>
  <c r="M13" i="18"/>
  <c r="E13" i="18"/>
  <c r="G17" i="2" l="1"/>
  <c r="E12" i="7"/>
  <c r="E11" i="7"/>
  <c r="M14" i="7"/>
  <c r="L14" i="7"/>
  <c r="K14" i="7"/>
  <c r="J14" i="7"/>
  <c r="I14" i="7"/>
  <c r="H14" i="7"/>
  <c r="G14" i="7"/>
  <c r="F14" i="7"/>
  <c r="E14" i="7"/>
  <c r="M9" i="7"/>
  <c r="L9" i="7"/>
  <c r="K9" i="7"/>
  <c r="J9" i="7"/>
  <c r="I9" i="7"/>
  <c r="H9" i="7"/>
  <c r="G9" i="7"/>
  <c r="F9" i="7"/>
  <c r="F118" i="5"/>
  <c r="G93" i="5"/>
  <c r="H93" i="5"/>
  <c r="I93" i="5"/>
  <c r="J93" i="5"/>
  <c r="K93" i="5"/>
  <c r="L93" i="5"/>
  <c r="M93" i="5"/>
  <c r="F93" i="5"/>
  <c r="G92" i="5"/>
  <c r="H92" i="5"/>
  <c r="I92" i="5"/>
  <c r="J92" i="5"/>
  <c r="K92" i="5"/>
  <c r="L92" i="5"/>
  <c r="M92" i="5"/>
  <c r="F92" i="5"/>
  <c r="G91" i="5"/>
  <c r="H91" i="5"/>
  <c r="I91" i="5"/>
  <c r="J91" i="5"/>
  <c r="K91" i="5"/>
  <c r="L91" i="5"/>
  <c r="M91" i="5"/>
  <c r="F91" i="5"/>
  <c r="G90" i="5"/>
  <c r="H90" i="5"/>
  <c r="I90" i="5"/>
  <c r="J90" i="5"/>
  <c r="K90" i="5"/>
  <c r="L90" i="5"/>
  <c r="M90" i="5"/>
  <c r="F90" i="5"/>
  <c r="G89" i="5"/>
  <c r="H89" i="5"/>
  <c r="I89" i="5"/>
  <c r="J89" i="5"/>
  <c r="K89" i="5"/>
  <c r="L89" i="5"/>
  <c r="M89" i="5"/>
  <c r="F89" i="5"/>
  <c r="G11" i="5"/>
  <c r="F11" i="5"/>
  <c r="G10" i="5"/>
  <c r="F10" i="5"/>
  <c r="G9" i="5"/>
  <c r="G26" i="4"/>
  <c r="H26" i="4"/>
  <c r="I26" i="4"/>
  <c r="J26" i="4"/>
  <c r="K26" i="4"/>
  <c r="L26" i="4"/>
  <c r="M26" i="4"/>
  <c r="F26" i="4"/>
  <c r="G24" i="4"/>
  <c r="H24" i="4"/>
  <c r="I24" i="4"/>
  <c r="J24" i="4"/>
  <c r="K24" i="4"/>
  <c r="L24" i="4"/>
  <c r="M24" i="4"/>
  <c r="F24" i="4"/>
  <c r="F16" i="7" l="1"/>
  <c r="E13" i="7"/>
  <c r="F116" i="5" l="1"/>
  <c r="F17" i="7"/>
  <c r="F17" i="2" s="1"/>
  <c r="G116" i="5" l="1"/>
  <c r="F15" i="8"/>
  <c r="G14" i="8"/>
  <c r="H14" i="8"/>
  <c r="I14" i="8"/>
  <c r="J14" i="8"/>
  <c r="K14" i="8"/>
  <c r="L14" i="8"/>
  <c r="M14" i="8"/>
  <c r="F14" i="8"/>
  <c r="G13" i="8"/>
  <c r="H13" i="8"/>
  <c r="I13" i="8"/>
  <c r="J13" i="8"/>
  <c r="K13" i="8"/>
  <c r="L13" i="8"/>
  <c r="M13" i="8"/>
  <c r="F13" i="8"/>
  <c r="H116" i="5" l="1"/>
  <c r="I116" i="5" l="1"/>
  <c r="E57" i="4"/>
  <c r="E47" i="4"/>
  <c r="E26" i="8"/>
  <c r="F46" i="5"/>
  <c r="F47" i="5"/>
  <c r="F45" i="5"/>
  <c r="F44" i="5"/>
  <c r="F43" i="5"/>
  <c r="F42" i="5"/>
  <c r="J116" i="5" l="1"/>
  <c r="F50" i="5"/>
  <c r="E53" i="18"/>
  <c r="F9" i="6"/>
  <c r="K116" i="5" l="1"/>
  <c r="F52" i="5"/>
  <c r="F21" i="5" s="1"/>
  <c r="F32" i="5" s="1"/>
  <c r="F9" i="5" s="1"/>
  <c r="F36" i="18"/>
  <c r="G36" i="18"/>
  <c r="H36" i="18"/>
  <c r="I36" i="18"/>
  <c r="J36" i="18"/>
  <c r="K36" i="18"/>
  <c r="L36" i="18"/>
  <c r="M36" i="18"/>
  <c r="E36" i="18"/>
  <c r="F26" i="5"/>
  <c r="G26" i="5"/>
  <c r="F58" i="4"/>
  <c r="M116" i="5" l="1"/>
  <c r="L116" i="5"/>
  <c r="F103" i="5"/>
  <c r="F106" i="5"/>
  <c r="F105" i="5"/>
  <c r="F104" i="5"/>
  <c r="F138" i="5"/>
  <c r="G22" i="5" l="1"/>
  <c r="H22" i="5"/>
  <c r="I22" i="5"/>
  <c r="J22" i="5"/>
  <c r="K22" i="5"/>
  <c r="L22" i="5"/>
  <c r="M22" i="5"/>
  <c r="F22" i="5"/>
  <c r="G23" i="5"/>
  <c r="H23" i="5"/>
  <c r="I23" i="5"/>
  <c r="J23" i="5"/>
  <c r="K23" i="5"/>
  <c r="L23" i="5"/>
  <c r="M23" i="5"/>
  <c r="F23" i="5"/>
  <c r="G33" i="6" l="1"/>
  <c r="H33" i="6"/>
  <c r="I33" i="6"/>
  <c r="J33" i="6"/>
  <c r="K33" i="6"/>
  <c r="L33" i="6"/>
  <c r="M33" i="6"/>
  <c r="F33" i="6"/>
  <c r="G94" i="5"/>
  <c r="G95" i="5" s="1"/>
  <c r="G74" i="5" s="1"/>
  <c r="H94" i="5"/>
  <c r="I94" i="5"/>
  <c r="I95" i="5" s="1"/>
  <c r="I74" i="5" s="1"/>
  <c r="J94" i="5"/>
  <c r="J95" i="5" s="1"/>
  <c r="J74" i="5" s="1"/>
  <c r="K94" i="5"/>
  <c r="K95" i="5" s="1"/>
  <c r="K74" i="5" s="1"/>
  <c r="L94" i="5"/>
  <c r="L95" i="5" s="1"/>
  <c r="L74" i="5" s="1"/>
  <c r="M94" i="5"/>
  <c r="M95" i="5" s="1"/>
  <c r="M74" i="5" s="1"/>
  <c r="F95" i="5"/>
  <c r="H37" i="4"/>
  <c r="H35" i="4"/>
  <c r="F74" i="5" l="1"/>
  <c r="F76" i="5" s="1"/>
  <c r="H95" i="5"/>
  <c r="H74" i="5" s="1"/>
  <c r="G23" i="6"/>
  <c r="H23" i="6"/>
  <c r="I23" i="6"/>
  <c r="J23" i="6"/>
  <c r="F23" i="6"/>
  <c r="F21" i="6" l="1"/>
  <c r="G66" i="16"/>
  <c r="H66" i="16" s="1"/>
  <c r="I66" i="16" s="1"/>
  <c r="J66" i="16" s="1"/>
  <c r="K66" i="16" s="1"/>
  <c r="L66" i="16" s="1"/>
  <c r="M66" i="16" s="1"/>
  <c r="M21" i="6" s="1"/>
  <c r="G61" i="16"/>
  <c r="F32" i="6"/>
  <c r="F35" i="6" s="1"/>
  <c r="H61" i="16" l="1"/>
  <c r="G118" i="5"/>
  <c r="K21" i="6"/>
  <c r="I21" i="6"/>
  <c r="L21" i="6"/>
  <c r="J21" i="6"/>
  <c r="H21" i="6"/>
  <c r="G21" i="6"/>
  <c r="I61" i="16" l="1"/>
  <c r="H118" i="5"/>
  <c r="F139" i="5"/>
  <c r="F117" i="5"/>
  <c r="F24" i="5"/>
  <c r="J61" i="16" l="1"/>
  <c r="I118" i="5"/>
  <c r="E47" i="8"/>
  <c r="E46" i="8"/>
  <c r="K61" i="16" l="1"/>
  <c r="J118" i="5"/>
  <c r="L45" i="17"/>
  <c r="L121" i="5" s="1"/>
  <c r="M45" i="17"/>
  <c r="F45" i="17"/>
  <c r="F121" i="5" s="1"/>
  <c r="G45" i="17"/>
  <c r="G121" i="5" s="1"/>
  <c r="H45" i="17"/>
  <c r="I45" i="17"/>
  <c r="I121" i="5" s="1"/>
  <c r="J45" i="17"/>
  <c r="J121" i="5" s="1"/>
  <c r="K45" i="17"/>
  <c r="K121" i="5" s="1"/>
  <c r="E45" i="17"/>
  <c r="E37" i="3" s="1"/>
  <c r="H37" i="3" l="1"/>
  <c r="H121" i="5"/>
  <c r="L61" i="16"/>
  <c r="K118" i="5"/>
  <c r="K37" i="3"/>
  <c r="X199" i="20" s="1"/>
  <c r="I37" i="3"/>
  <c r="G37" i="3"/>
  <c r="M121" i="5"/>
  <c r="M37" i="3"/>
  <c r="AD199" i="20" s="1"/>
  <c r="J37" i="3"/>
  <c r="F37" i="3"/>
  <c r="L37" i="3"/>
  <c r="AA199" i="20" s="1"/>
  <c r="E48" i="4"/>
  <c r="E59" i="4"/>
  <c r="E24" i="8"/>
  <c r="H27" i="4"/>
  <c r="G30" i="5"/>
  <c r="H30" i="5"/>
  <c r="I30" i="5"/>
  <c r="J30" i="5"/>
  <c r="K30" i="5"/>
  <c r="L30" i="5"/>
  <c r="M30" i="5"/>
  <c r="F30" i="5"/>
  <c r="L209" i="20" l="1"/>
  <c r="L199" i="20"/>
  <c r="U209" i="20"/>
  <c r="U199" i="20"/>
  <c r="R209" i="20"/>
  <c r="R199" i="20"/>
  <c r="O209" i="20"/>
  <c r="O199" i="20"/>
  <c r="I209" i="20"/>
  <c r="I199" i="20"/>
  <c r="M61" i="16"/>
  <c r="M118" i="5" s="1"/>
  <c r="L118" i="5"/>
  <c r="G46" i="4"/>
  <c r="H46" i="4"/>
  <c r="I46" i="4"/>
  <c r="J46" i="4"/>
  <c r="K46" i="4"/>
  <c r="L46" i="4"/>
  <c r="M46" i="4"/>
  <c r="F46" i="4"/>
  <c r="H130" i="5"/>
  <c r="G117" i="5"/>
  <c r="H117" i="5"/>
  <c r="I117" i="5"/>
  <c r="J117" i="5"/>
  <c r="K117" i="5"/>
  <c r="L117" i="5"/>
  <c r="M117" i="5"/>
  <c r="G22" i="6" l="1"/>
  <c r="I22" i="6"/>
  <c r="J22" i="6"/>
  <c r="K22" i="6"/>
  <c r="L22" i="6"/>
  <c r="M22" i="6"/>
  <c r="F22" i="6"/>
  <c r="G32" i="6"/>
  <c r="G35" i="6" s="1"/>
  <c r="H32" i="6"/>
  <c r="H35" i="6" s="1"/>
  <c r="I32" i="6"/>
  <c r="I35" i="6" s="1"/>
  <c r="J32" i="6"/>
  <c r="J35" i="6" s="1"/>
  <c r="K32" i="6"/>
  <c r="K35" i="6" s="1"/>
  <c r="L32" i="6"/>
  <c r="L35" i="6" s="1"/>
  <c r="M32" i="6"/>
  <c r="M35" i="6" s="1"/>
  <c r="G10" i="8" l="1"/>
  <c r="H10" i="8"/>
  <c r="I10" i="8"/>
  <c r="J10" i="8"/>
  <c r="K10" i="8"/>
  <c r="L10" i="8"/>
  <c r="M10" i="8"/>
  <c r="F10" i="8"/>
  <c r="G12" i="8"/>
  <c r="H12" i="8"/>
  <c r="I12" i="8"/>
  <c r="J12" i="8"/>
  <c r="K12" i="8"/>
  <c r="L12" i="8"/>
  <c r="M12" i="8"/>
  <c r="F12" i="8"/>
  <c r="F17" i="8" s="1"/>
  <c r="G24" i="8"/>
  <c r="H24" i="8"/>
  <c r="I24" i="8"/>
  <c r="J24" i="8"/>
  <c r="K24" i="8"/>
  <c r="L24" i="8"/>
  <c r="M24" i="8"/>
  <c r="F24" i="8"/>
  <c r="F56" i="18"/>
  <c r="G56" i="18"/>
  <c r="I56" i="18"/>
  <c r="J56" i="18"/>
  <c r="K56" i="18"/>
  <c r="L56" i="18"/>
  <c r="M56" i="18"/>
  <c r="E56" i="18"/>
  <c r="F55" i="18"/>
  <c r="F57" i="18" s="1"/>
  <c r="F65" i="18" s="1"/>
  <c r="G55" i="18"/>
  <c r="G57" i="18" s="1"/>
  <c r="G65" i="18" s="1"/>
  <c r="H55" i="18"/>
  <c r="I55" i="18"/>
  <c r="I57" i="18" s="1"/>
  <c r="I65" i="18" s="1"/>
  <c r="J55" i="18"/>
  <c r="J57" i="18" s="1"/>
  <c r="J65" i="18" s="1"/>
  <c r="K55" i="18"/>
  <c r="K57" i="18" s="1"/>
  <c r="K65" i="18" s="1"/>
  <c r="L55" i="18"/>
  <c r="L57" i="18" s="1"/>
  <c r="L65" i="18" s="1"/>
  <c r="M55" i="18"/>
  <c r="M57" i="18" s="1"/>
  <c r="M65" i="18" s="1"/>
  <c r="E55" i="18"/>
  <c r="E57" i="18" s="1"/>
  <c r="E65" i="18" s="1"/>
  <c r="F64" i="18"/>
  <c r="G64" i="18"/>
  <c r="H64" i="18"/>
  <c r="I64" i="18"/>
  <c r="J64" i="18"/>
  <c r="K64" i="18"/>
  <c r="L64" i="18"/>
  <c r="E64" i="18"/>
  <c r="D6" i="10"/>
  <c r="F53" i="18"/>
  <c r="G53" i="18"/>
  <c r="H53" i="18"/>
  <c r="I53" i="18"/>
  <c r="J53" i="18"/>
  <c r="K53" i="18"/>
  <c r="L53" i="18"/>
  <c r="M53" i="18"/>
  <c r="H57" i="18" l="1"/>
  <c r="H65" i="18" s="1"/>
  <c r="M52" i="18"/>
  <c r="L52" i="18"/>
  <c r="K52" i="18"/>
  <c r="J52" i="18"/>
  <c r="I52" i="18"/>
  <c r="H52" i="18"/>
  <c r="G52" i="18"/>
  <c r="F52" i="18"/>
  <c r="E52" i="18"/>
  <c r="F30" i="18"/>
  <c r="G30" i="18"/>
  <c r="H30" i="18"/>
  <c r="I30" i="18"/>
  <c r="J30" i="18"/>
  <c r="K30" i="18"/>
  <c r="L30" i="18"/>
  <c r="M30" i="18"/>
  <c r="E30" i="18"/>
  <c r="G15" i="6"/>
  <c r="H15" i="6"/>
  <c r="I15" i="6"/>
  <c r="J15" i="6"/>
  <c r="K15" i="6"/>
  <c r="L15" i="6"/>
  <c r="M15" i="6"/>
  <c r="F15" i="6"/>
  <c r="G9" i="6" l="1"/>
  <c r="H9" i="6"/>
  <c r="I9" i="6"/>
  <c r="J9" i="6"/>
  <c r="J13" i="2" s="1"/>
  <c r="K9" i="6"/>
  <c r="L9" i="6"/>
  <c r="L13" i="2" s="1"/>
  <c r="M9" i="6"/>
  <c r="M13" i="2" s="1"/>
  <c r="F13" i="2"/>
  <c r="G24" i="6"/>
  <c r="H24" i="6"/>
  <c r="I24" i="6"/>
  <c r="J24" i="6"/>
  <c r="K24" i="6"/>
  <c r="L24" i="6"/>
  <c r="M24" i="6"/>
  <c r="F24" i="6"/>
  <c r="H13" i="2" l="1"/>
  <c r="K13" i="2"/>
  <c r="I13" i="2"/>
  <c r="G13" i="2"/>
  <c r="G138" i="5"/>
  <c r="H138" i="5"/>
  <c r="I138" i="5"/>
  <c r="J138" i="5"/>
  <c r="K138" i="5"/>
  <c r="L138" i="5"/>
  <c r="M138" i="5"/>
  <c r="G12" i="5"/>
  <c r="F12" i="5"/>
  <c r="F13" i="5" s="1"/>
  <c r="G139" i="5"/>
  <c r="H140" i="5" s="1"/>
  <c r="H139" i="5"/>
  <c r="I139" i="5"/>
  <c r="J139" i="5"/>
  <c r="K139" i="5"/>
  <c r="L139" i="5"/>
  <c r="M139" i="5"/>
  <c r="L140" i="5" l="1"/>
  <c r="L12" i="5" s="1"/>
  <c r="M140" i="5"/>
  <c r="M12" i="5" s="1"/>
  <c r="K140" i="5"/>
  <c r="K12" i="5" s="1"/>
  <c r="J140" i="5"/>
  <c r="J12" i="5" s="1"/>
  <c r="I140" i="5"/>
  <c r="I12" i="5" s="1"/>
  <c r="H12" i="5"/>
  <c r="G103" i="5"/>
  <c r="H103" i="5"/>
  <c r="I103" i="5"/>
  <c r="J103" i="5"/>
  <c r="K103" i="5"/>
  <c r="L103" i="5"/>
  <c r="M103" i="5"/>
  <c r="G104" i="5"/>
  <c r="H104" i="5"/>
  <c r="I104" i="5"/>
  <c r="J104" i="5"/>
  <c r="K104" i="5"/>
  <c r="L104" i="5"/>
  <c r="M104" i="5"/>
  <c r="G105" i="5"/>
  <c r="H105" i="5"/>
  <c r="I105" i="5"/>
  <c r="J105" i="5"/>
  <c r="K105" i="5"/>
  <c r="L105" i="5"/>
  <c r="M105" i="5"/>
  <c r="G106" i="5"/>
  <c r="H106" i="5"/>
  <c r="I106" i="5"/>
  <c r="J106" i="5"/>
  <c r="K106" i="5"/>
  <c r="L106" i="5"/>
  <c r="M106" i="5"/>
  <c r="F107" i="5"/>
  <c r="G107" i="5"/>
  <c r="H107" i="5"/>
  <c r="I107" i="5"/>
  <c r="J107" i="5"/>
  <c r="K107" i="5"/>
  <c r="L107" i="5"/>
  <c r="M107" i="5"/>
  <c r="G102" i="5"/>
  <c r="H102" i="5"/>
  <c r="I102" i="5"/>
  <c r="J102" i="5"/>
  <c r="K102" i="5"/>
  <c r="L102" i="5"/>
  <c r="M102" i="5"/>
  <c r="G75" i="5"/>
  <c r="G76" i="5" s="1"/>
  <c r="H75" i="5"/>
  <c r="H76" i="5" s="1"/>
  <c r="I75" i="5"/>
  <c r="I76" i="5" s="1"/>
  <c r="J75" i="5"/>
  <c r="J76" i="5" s="1"/>
  <c r="K75" i="5"/>
  <c r="K76" i="5" s="1"/>
  <c r="L75" i="5"/>
  <c r="L76" i="5" s="1"/>
  <c r="M75" i="5"/>
  <c r="M76" i="5" s="1"/>
  <c r="H108" i="5" l="1"/>
  <c r="F108" i="5"/>
  <c r="F77" i="5" s="1"/>
  <c r="F79" i="5" s="1"/>
  <c r="G108" i="5"/>
  <c r="J108" i="5"/>
  <c r="J77" i="5" s="1"/>
  <c r="J79" i="5" s="1"/>
  <c r="L108" i="5"/>
  <c r="L77" i="5" s="1"/>
  <c r="L79" i="5" s="1"/>
  <c r="M108" i="5"/>
  <c r="M77" i="5" s="1"/>
  <c r="M79" i="5" s="1"/>
  <c r="K108" i="5"/>
  <c r="I108" i="5"/>
  <c r="I77" i="5" l="1"/>
  <c r="I79" i="5" s="1"/>
  <c r="K77" i="5"/>
  <c r="K79" i="5" s="1"/>
  <c r="H77" i="5"/>
  <c r="G77" i="5"/>
  <c r="G79" i="5" s="1"/>
  <c r="G24" i="5"/>
  <c r="F130" i="5"/>
  <c r="G130" i="5"/>
  <c r="I130" i="5"/>
  <c r="J130" i="5"/>
  <c r="K130" i="5"/>
  <c r="L130" i="5"/>
  <c r="M130" i="5"/>
  <c r="F129" i="5"/>
  <c r="G129" i="5"/>
  <c r="H129" i="5"/>
  <c r="I129" i="5"/>
  <c r="J129" i="5"/>
  <c r="K129" i="5"/>
  <c r="K131" i="5" s="1"/>
  <c r="K120" i="5" s="1"/>
  <c r="L129" i="5"/>
  <c r="M129" i="5"/>
  <c r="F62" i="5"/>
  <c r="G62" i="5"/>
  <c r="I62" i="5"/>
  <c r="J62" i="5"/>
  <c r="K62" i="5"/>
  <c r="L62" i="5"/>
  <c r="M62" i="5"/>
  <c r="H62" i="5"/>
  <c r="I24" i="5"/>
  <c r="J24" i="5"/>
  <c r="K24" i="5"/>
  <c r="L24" i="5"/>
  <c r="M24" i="5"/>
  <c r="H24" i="5"/>
  <c r="I26" i="5"/>
  <c r="J26" i="5"/>
  <c r="K26" i="5"/>
  <c r="L26" i="5"/>
  <c r="M26" i="5"/>
  <c r="H26" i="5"/>
  <c r="L131" i="5" l="1"/>
  <c r="L120" i="5" s="1"/>
  <c r="M131" i="5"/>
  <c r="M120" i="5" s="1"/>
  <c r="J131" i="5"/>
  <c r="J120" i="5" s="1"/>
  <c r="I131" i="5"/>
  <c r="I120" i="5" s="1"/>
  <c r="H79" i="5"/>
  <c r="H131" i="5"/>
  <c r="H120" i="5" s="1"/>
  <c r="G131" i="5"/>
  <c r="G120" i="5" s="1"/>
  <c r="F131" i="5"/>
  <c r="F120" i="5" s="1"/>
  <c r="G28" i="3"/>
  <c r="L197" i="20" l="1"/>
  <c r="L217" i="20"/>
  <c r="L218" i="20" s="1"/>
  <c r="L186" i="20"/>
  <c r="L207" i="20"/>
  <c r="F26" i="8"/>
  <c r="F29" i="5"/>
  <c r="F25" i="5"/>
  <c r="G25" i="5"/>
  <c r="H25" i="5"/>
  <c r="I25" i="5"/>
  <c r="J25" i="5"/>
  <c r="K25" i="5"/>
  <c r="L25" i="5"/>
  <c r="M25" i="5"/>
  <c r="F19" i="3"/>
  <c r="I196" i="20" s="1"/>
  <c r="B2" i="13"/>
  <c r="M186" i="20" l="1"/>
  <c r="M190" i="20" s="1"/>
  <c r="L190" i="20"/>
  <c r="L198" i="20" s="1"/>
  <c r="L208" i="20"/>
  <c r="L33" i="20"/>
  <c r="I206" i="20"/>
  <c r="H28" i="3"/>
  <c r="E60" i="4"/>
  <c r="E49" i="4"/>
  <c r="E53" i="3"/>
  <c r="E57" i="3" s="1"/>
  <c r="E25" i="8"/>
  <c r="G26" i="8"/>
  <c r="G29" i="5"/>
  <c r="E48" i="8"/>
  <c r="H36" i="4"/>
  <c r="E66" i="18"/>
  <c r="E67" i="18" s="1"/>
  <c r="E59" i="18"/>
  <c r="E61" i="18" s="1"/>
  <c r="E38" i="18"/>
  <c r="E39" i="18" s="1"/>
  <c r="E33" i="18"/>
  <c r="E34" i="18" s="1"/>
  <c r="E22" i="18"/>
  <c r="E23" i="18" s="1"/>
  <c r="A3" i="18"/>
  <c r="A2" i="18"/>
  <c r="M33" i="20" l="1"/>
  <c r="M36" i="20" s="1"/>
  <c r="M14" i="20" s="1"/>
  <c r="L36" i="20"/>
  <c r="L14" i="20" s="1"/>
  <c r="H122" i="5"/>
  <c r="H123" i="5" s="1"/>
  <c r="O217" i="20"/>
  <c r="O197" i="20"/>
  <c r="O186" i="20"/>
  <c r="P186" i="20" s="1"/>
  <c r="O207" i="20"/>
  <c r="E49" i="8"/>
  <c r="E23" i="8" s="1"/>
  <c r="G27" i="8" s="1"/>
  <c r="G38" i="8" s="1"/>
  <c r="G39" i="8" s="1"/>
  <c r="G23" i="8" s="1"/>
  <c r="E41" i="18"/>
  <c r="E69" i="18"/>
  <c r="E11" i="18" s="1"/>
  <c r="H31" i="5"/>
  <c r="G19" i="3"/>
  <c r="L196" i="20" s="1"/>
  <c r="R200" i="20" s="1"/>
  <c r="R184" i="20" s="1"/>
  <c r="S184" i="20" s="1"/>
  <c r="H19" i="3"/>
  <c r="O196" i="20" s="1"/>
  <c r="H26" i="8"/>
  <c r="H29" i="5"/>
  <c r="G74" i="3"/>
  <c r="E9" i="18"/>
  <c r="O206" i="20" l="1"/>
  <c r="J28" i="3"/>
  <c r="L206" i="20"/>
  <c r="R210" i="20" s="1"/>
  <c r="I28" i="3"/>
  <c r="H33" i="18"/>
  <c r="H34" i="18" s="1"/>
  <c r="H59" i="18"/>
  <c r="H61" i="18" s="1"/>
  <c r="H22" i="18"/>
  <c r="H23" i="18" s="1"/>
  <c r="H9" i="18" s="1"/>
  <c r="H16" i="8"/>
  <c r="H66" i="18"/>
  <c r="H67" i="18" s="1"/>
  <c r="H38" i="18"/>
  <c r="H39" i="18" s="1"/>
  <c r="H74" i="3"/>
  <c r="H25" i="8"/>
  <c r="G15" i="8"/>
  <c r="E10" i="18"/>
  <c r="E12" i="18" s="1"/>
  <c r="I26" i="8"/>
  <c r="I29" i="5"/>
  <c r="I19" i="3"/>
  <c r="R196" i="20" s="1"/>
  <c r="A3" i="11"/>
  <c r="A3" i="6"/>
  <c r="A3" i="7"/>
  <c r="A3" i="2"/>
  <c r="A3" i="8"/>
  <c r="A3" i="5"/>
  <c r="A3" i="4"/>
  <c r="A3" i="3"/>
  <c r="I31" i="5" l="1"/>
  <c r="R217" i="20"/>
  <c r="R197" i="20"/>
  <c r="R186" i="20"/>
  <c r="S186" i="20" s="1"/>
  <c r="J31" i="5"/>
  <c r="U217" i="20"/>
  <c r="U197" i="20"/>
  <c r="U186" i="20"/>
  <c r="V186" i="20" s="1"/>
  <c r="R185" i="20"/>
  <c r="R216" i="20"/>
  <c r="R218" i="20" s="1"/>
  <c r="H41" i="18"/>
  <c r="H10" i="18" s="1"/>
  <c r="I66" i="18"/>
  <c r="I67" i="18" s="1"/>
  <c r="J22" i="18"/>
  <c r="J23" i="18" s="1"/>
  <c r="J9" i="18" s="1"/>
  <c r="J122" i="5"/>
  <c r="I122" i="5"/>
  <c r="I123" i="5" s="1"/>
  <c r="I11" i="5" s="1"/>
  <c r="H69" i="18"/>
  <c r="H11" i="18" s="1"/>
  <c r="H12" i="18" s="1"/>
  <c r="H15" i="18" s="1"/>
  <c r="J74" i="3"/>
  <c r="J33" i="18"/>
  <c r="J34" i="18" s="1"/>
  <c r="J66" i="18"/>
  <c r="J67" i="18" s="1"/>
  <c r="I74" i="3"/>
  <c r="I25" i="8"/>
  <c r="I22" i="18"/>
  <c r="I23" i="18" s="1"/>
  <c r="I9" i="18" s="1"/>
  <c r="J16" i="8"/>
  <c r="J59" i="18"/>
  <c r="J61" i="18" s="1"/>
  <c r="J25" i="8"/>
  <c r="J38" i="18"/>
  <c r="J39" i="18" s="1"/>
  <c r="J41" i="18" s="1"/>
  <c r="J10" i="18" s="1"/>
  <c r="I33" i="18"/>
  <c r="I34" i="18" s="1"/>
  <c r="I16" i="8"/>
  <c r="I59" i="18"/>
  <c r="I61" i="18" s="1"/>
  <c r="I38" i="18"/>
  <c r="I39" i="18" s="1"/>
  <c r="R206" i="20"/>
  <c r="K28" i="3"/>
  <c r="K39" i="4" s="1"/>
  <c r="R207" i="20"/>
  <c r="U207" i="20"/>
  <c r="G17" i="8"/>
  <c r="H11" i="5"/>
  <c r="E15" i="18"/>
  <c r="E75" i="3"/>
  <c r="E36" i="3" s="1"/>
  <c r="J26" i="8"/>
  <c r="J29" i="5"/>
  <c r="K57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7" i="4"/>
  <c r="H17" i="4"/>
  <c r="I17" i="4"/>
  <c r="J17" i="4"/>
  <c r="K17" i="4"/>
  <c r="L17" i="4"/>
  <c r="M17" i="4"/>
  <c r="F17" i="4"/>
  <c r="F16" i="4"/>
  <c r="F15" i="4"/>
  <c r="F14" i="4"/>
  <c r="G13" i="4"/>
  <c r="H13" i="4"/>
  <c r="I13" i="4"/>
  <c r="J13" i="4"/>
  <c r="K13" i="4"/>
  <c r="L13" i="4"/>
  <c r="M13" i="4"/>
  <c r="F13" i="4"/>
  <c r="F56" i="4"/>
  <c r="G56" i="4"/>
  <c r="H56" i="4"/>
  <c r="I56" i="4"/>
  <c r="J56" i="4"/>
  <c r="K56" i="4"/>
  <c r="L56" i="4"/>
  <c r="M56" i="4"/>
  <c r="F57" i="4"/>
  <c r="G57" i="4"/>
  <c r="H57" i="4"/>
  <c r="I57" i="4"/>
  <c r="J57" i="4"/>
  <c r="G58" i="4"/>
  <c r="H58" i="4"/>
  <c r="I58" i="4"/>
  <c r="J58" i="4"/>
  <c r="K58" i="4"/>
  <c r="L58" i="4"/>
  <c r="M58" i="4"/>
  <c r="F59" i="4"/>
  <c r="G59" i="4"/>
  <c r="H59" i="4"/>
  <c r="I59" i="4"/>
  <c r="J59" i="4"/>
  <c r="K59" i="4"/>
  <c r="L59" i="4"/>
  <c r="M59" i="4"/>
  <c r="H60" i="4"/>
  <c r="I60" i="4"/>
  <c r="J60" i="4"/>
  <c r="J49" i="4"/>
  <c r="I49" i="4"/>
  <c r="H49" i="4"/>
  <c r="M48" i="4"/>
  <c r="L48" i="4"/>
  <c r="K48" i="4"/>
  <c r="J48" i="4"/>
  <c r="I48" i="4"/>
  <c r="H48" i="4"/>
  <c r="G48" i="4"/>
  <c r="F48" i="4"/>
  <c r="J47" i="4"/>
  <c r="I47" i="4"/>
  <c r="H47" i="4"/>
  <c r="G47" i="4"/>
  <c r="F47" i="4"/>
  <c r="M27" i="4"/>
  <c r="L27" i="4"/>
  <c r="K27" i="4"/>
  <c r="J27" i="4"/>
  <c r="I27" i="4"/>
  <c r="G27" i="4"/>
  <c r="F27" i="4"/>
  <c r="J25" i="4"/>
  <c r="I25" i="4"/>
  <c r="H25" i="4"/>
  <c r="G25" i="4"/>
  <c r="F25" i="4"/>
  <c r="F38" i="4"/>
  <c r="G38" i="4"/>
  <c r="H38" i="4"/>
  <c r="I38" i="4"/>
  <c r="J38" i="4"/>
  <c r="K38" i="4"/>
  <c r="L38" i="4"/>
  <c r="M38" i="4"/>
  <c r="F36" i="4"/>
  <c r="G36" i="4"/>
  <c r="I36" i="4"/>
  <c r="J36" i="4"/>
  <c r="D19" i="3"/>
  <c r="F28" i="3" s="1"/>
  <c r="F35" i="4"/>
  <c r="G35" i="4"/>
  <c r="I35" i="4"/>
  <c r="J35" i="4"/>
  <c r="K35" i="4"/>
  <c r="L35" i="4"/>
  <c r="M35" i="4"/>
  <c r="F37" i="4"/>
  <c r="G37" i="4"/>
  <c r="I37" i="4"/>
  <c r="J37" i="4"/>
  <c r="K37" i="4"/>
  <c r="L37" i="4"/>
  <c r="M37" i="4"/>
  <c r="H39" i="4"/>
  <c r="I39" i="4"/>
  <c r="J39" i="4"/>
  <c r="H28" i="4"/>
  <c r="I28" i="4"/>
  <c r="J28" i="4"/>
  <c r="G11" i="3"/>
  <c r="H11" i="3"/>
  <c r="I11" i="3"/>
  <c r="J11" i="3"/>
  <c r="G9" i="3"/>
  <c r="H9" i="3"/>
  <c r="I9" i="3"/>
  <c r="J9" i="3"/>
  <c r="K9" i="3"/>
  <c r="L9" i="3"/>
  <c r="M9" i="3"/>
  <c r="G8" i="3"/>
  <c r="H8" i="3"/>
  <c r="I8" i="3"/>
  <c r="J8" i="3"/>
  <c r="K8" i="3"/>
  <c r="L8" i="3"/>
  <c r="M8" i="3"/>
  <c r="F8" i="3"/>
  <c r="I197" i="20" l="1"/>
  <c r="I217" i="20"/>
  <c r="I218" i="20" s="1"/>
  <c r="I186" i="20"/>
  <c r="K22" i="18"/>
  <c r="K23" i="18" s="1"/>
  <c r="K9" i="18" s="1"/>
  <c r="X217" i="20"/>
  <c r="X218" i="20" s="1"/>
  <c r="X197" i="20"/>
  <c r="X186" i="20"/>
  <c r="Y186" i="20" s="1"/>
  <c r="K28" i="4"/>
  <c r="K29" i="4" s="1"/>
  <c r="K9" i="4" s="1"/>
  <c r="R208" i="20"/>
  <c r="R33" i="20"/>
  <c r="R219" i="20"/>
  <c r="S185" i="20"/>
  <c r="S190" i="20" s="1"/>
  <c r="R190" i="20"/>
  <c r="R50" i="20" s="1"/>
  <c r="R52" i="20" s="1"/>
  <c r="J123" i="5"/>
  <c r="J11" i="5" s="1"/>
  <c r="K74" i="3"/>
  <c r="I69" i="18"/>
  <c r="I11" i="18" s="1"/>
  <c r="K16" i="8"/>
  <c r="J69" i="18"/>
  <c r="J11" i="18" s="1"/>
  <c r="J12" i="18" s="1"/>
  <c r="J15" i="18" s="1"/>
  <c r="I41" i="18"/>
  <c r="I10" i="18" s="1"/>
  <c r="K60" i="4"/>
  <c r="K61" i="4" s="1"/>
  <c r="K12" i="4" s="1"/>
  <c r="K38" i="18"/>
  <c r="K39" i="18" s="1"/>
  <c r="K66" i="18"/>
  <c r="K67" i="18" s="1"/>
  <c r="I207" i="20"/>
  <c r="K11" i="3"/>
  <c r="K49" i="4"/>
  <c r="K50" i="4" s="1"/>
  <c r="K122" i="5"/>
  <c r="K59" i="18"/>
  <c r="K61" i="18" s="1"/>
  <c r="K33" i="18"/>
  <c r="K34" i="18" s="1"/>
  <c r="K25" i="8"/>
  <c r="K31" i="5"/>
  <c r="F38" i="3"/>
  <c r="I29" i="4"/>
  <c r="I9" i="4" s="1"/>
  <c r="H40" i="4"/>
  <c r="H10" i="4" s="1"/>
  <c r="H29" i="4"/>
  <c r="H9" i="4" s="1"/>
  <c r="G38" i="3"/>
  <c r="G10" i="3" s="1"/>
  <c r="K40" i="4"/>
  <c r="K10" i="4" s="1"/>
  <c r="H50" i="4"/>
  <c r="H11" i="4" s="1"/>
  <c r="I40" i="4"/>
  <c r="I10" i="4" s="1"/>
  <c r="J40" i="4"/>
  <c r="J10" i="4" s="1"/>
  <c r="I61" i="4"/>
  <c r="I12" i="4" s="1"/>
  <c r="J29" i="4"/>
  <c r="J9" i="4" s="1"/>
  <c r="J61" i="4"/>
  <c r="J12" i="4" s="1"/>
  <c r="H61" i="4"/>
  <c r="H12" i="4" s="1"/>
  <c r="K123" i="5"/>
  <c r="K11" i="5" s="1"/>
  <c r="F11" i="3"/>
  <c r="F12" i="3" s="1"/>
  <c r="F71" i="5" s="1"/>
  <c r="J19" i="3"/>
  <c r="U196" i="20" s="1"/>
  <c r="G31" i="5"/>
  <c r="G25" i="8"/>
  <c r="I27" i="8" s="1"/>
  <c r="G22" i="18"/>
  <c r="G23" i="18" s="1"/>
  <c r="G9" i="18" s="1"/>
  <c r="G33" i="18"/>
  <c r="G34" i="18" s="1"/>
  <c r="G66" i="18"/>
  <c r="G67" i="18" s="1"/>
  <c r="G59" i="18"/>
  <c r="G61" i="18" s="1"/>
  <c r="G16" i="8"/>
  <c r="G18" i="8" s="1"/>
  <c r="G122" i="5"/>
  <c r="G38" i="18"/>
  <c r="G39" i="18" s="1"/>
  <c r="G49" i="4"/>
  <c r="G50" i="4" s="1"/>
  <c r="G28" i="4"/>
  <c r="G29" i="4" s="1"/>
  <c r="G9" i="4" s="1"/>
  <c r="G39" i="4"/>
  <c r="G40" i="4" s="1"/>
  <c r="G10" i="4" s="1"/>
  <c r="G60" i="4"/>
  <c r="K25" i="4"/>
  <c r="K47" i="4"/>
  <c r="K36" i="4"/>
  <c r="K26" i="8"/>
  <c r="K29" i="5"/>
  <c r="F39" i="4"/>
  <c r="F40" i="4" s="1"/>
  <c r="F10" i="4" s="1"/>
  <c r="F25" i="8"/>
  <c r="H27" i="8" s="1"/>
  <c r="F122" i="5"/>
  <c r="F74" i="3"/>
  <c r="F33" i="18"/>
  <c r="F34" i="18" s="1"/>
  <c r="F66" i="18"/>
  <c r="F67" i="18" s="1"/>
  <c r="K19" i="3"/>
  <c r="X196" i="20" s="1"/>
  <c r="H73" i="3"/>
  <c r="J50" i="4"/>
  <c r="J11" i="4" s="1"/>
  <c r="I50" i="4"/>
  <c r="I11" i="4" s="1"/>
  <c r="A2" i="11"/>
  <c r="A2" i="7"/>
  <c r="A2" i="6"/>
  <c r="A2" i="5"/>
  <c r="A2" i="4"/>
  <c r="A2" i="3"/>
  <c r="A2" i="2"/>
  <c r="A2" i="8"/>
  <c r="A2" i="17"/>
  <c r="B3" i="13"/>
  <c r="A3" i="17"/>
  <c r="A3" i="16"/>
  <c r="A2" i="16"/>
  <c r="A3" i="15"/>
  <c r="A2" i="15"/>
  <c r="A3" i="14"/>
  <c r="A2" i="14"/>
  <c r="I12" i="18" l="1"/>
  <c r="I73" i="3" s="1"/>
  <c r="K41" i="18"/>
  <c r="K10" i="18" s="1"/>
  <c r="I190" i="20"/>
  <c r="I198" i="20" s="1"/>
  <c r="O200" i="20" s="1"/>
  <c r="O184" i="20" s="1"/>
  <c r="P184" i="20" s="1"/>
  <c r="J186" i="20"/>
  <c r="J190" i="20" s="1"/>
  <c r="I208" i="20"/>
  <c r="O210" i="20" s="1"/>
  <c r="I33" i="20"/>
  <c r="S33" i="20"/>
  <c r="S36" i="20" s="1"/>
  <c r="S14" i="20" s="1"/>
  <c r="R36" i="20"/>
  <c r="R14" i="20" s="1"/>
  <c r="R198" i="20"/>
  <c r="X200" i="20" s="1"/>
  <c r="X184" i="20" s="1"/>
  <c r="X190" i="20" s="1"/>
  <c r="X64" i="20" s="1"/>
  <c r="X65" i="20" s="1"/>
  <c r="K69" i="18"/>
  <c r="K11" i="18" s="1"/>
  <c r="U206" i="20"/>
  <c r="L28" i="3"/>
  <c r="M28" i="3"/>
  <c r="G61" i="4"/>
  <c r="G12" i="4" s="1"/>
  <c r="H38" i="8"/>
  <c r="H39" i="8" s="1"/>
  <c r="H23" i="8" s="1"/>
  <c r="I38" i="8"/>
  <c r="I39" i="8" s="1"/>
  <c r="I23" i="8" s="1"/>
  <c r="F60" i="4"/>
  <c r="F61" i="4" s="1"/>
  <c r="F12" i="4" s="1"/>
  <c r="F38" i="18"/>
  <c r="F39" i="18" s="1"/>
  <c r="F41" i="18" s="1"/>
  <c r="F10" i="18" s="1"/>
  <c r="F22" i="18"/>
  <c r="F23" i="18" s="1"/>
  <c r="F9" i="18" s="1"/>
  <c r="F59" i="18"/>
  <c r="F61" i="18" s="1"/>
  <c r="F69" i="18" s="1"/>
  <c r="F11" i="18" s="1"/>
  <c r="F16" i="8"/>
  <c r="F18" i="8" s="1"/>
  <c r="F49" i="4"/>
  <c r="F50" i="4" s="1"/>
  <c r="F11" i="4" s="1"/>
  <c r="F31" i="5"/>
  <c r="F28" i="4"/>
  <c r="H70" i="3"/>
  <c r="K69" i="3"/>
  <c r="K11" i="4"/>
  <c r="G68" i="3"/>
  <c r="K12" i="18"/>
  <c r="I15" i="18"/>
  <c r="I72" i="5" s="1"/>
  <c r="F37" i="5"/>
  <c r="F27" i="5"/>
  <c r="G11" i="4"/>
  <c r="I18" i="4"/>
  <c r="I10" i="2" s="1"/>
  <c r="G71" i="3"/>
  <c r="I69" i="3"/>
  <c r="J70" i="3"/>
  <c r="F68" i="3"/>
  <c r="K70" i="3"/>
  <c r="J69" i="3"/>
  <c r="I70" i="3"/>
  <c r="G69" i="18"/>
  <c r="G11" i="18" s="1"/>
  <c r="G41" i="18"/>
  <c r="G10" i="18" s="1"/>
  <c r="H69" i="3"/>
  <c r="J18" i="4"/>
  <c r="J10" i="2" s="1"/>
  <c r="M26" i="8"/>
  <c r="M29" i="5"/>
  <c r="L26" i="8"/>
  <c r="L29" i="5"/>
  <c r="F71" i="3"/>
  <c r="L19" i="3"/>
  <c r="L47" i="4"/>
  <c r="L25" i="4"/>
  <c r="L57" i="4"/>
  <c r="L36" i="4"/>
  <c r="M19" i="3"/>
  <c r="M57" i="4"/>
  <c r="M36" i="4"/>
  <c r="M47" i="4"/>
  <c r="M25" i="4"/>
  <c r="H28" i="5"/>
  <c r="H72" i="5"/>
  <c r="H14" i="2"/>
  <c r="G12" i="3"/>
  <c r="H68" i="3"/>
  <c r="I68" i="3"/>
  <c r="J68" i="3"/>
  <c r="K68" i="3"/>
  <c r="H67" i="3"/>
  <c r="I67" i="3"/>
  <c r="J67" i="3"/>
  <c r="K67" i="3"/>
  <c r="O216" i="20" l="1"/>
  <c r="O218" i="20" s="1"/>
  <c r="O208" i="20" s="1"/>
  <c r="U210" i="20" s="1"/>
  <c r="U185" i="20" s="1"/>
  <c r="V185" i="20" s="1"/>
  <c r="O185" i="20"/>
  <c r="J33" i="20"/>
  <c r="J36" i="20" s="1"/>
  <c r="J14" i="20" s="1"/>
  <c r="I36" i="20"/>
  <c r="I14" i="20" s="1"/>
  <c r="I8" i="20" s="1"/>
  <c r="AA196" i="20"/>
  <c r="AD196" i="20"/>
  <c r="M22" i="18"/>
  <c r="M23" i="18" s="1"/>
  <c r="M9" i="18" s="1"/>
  <c r="AD217" i="20"/>
  <c r="AD218" i="20" s="1"/>
  <c r="AD197" i="20"/>
  <c r="AD186" i="20"/>
  <c r="AE186" i="20" s="1"/>
  <c r="L31" i="5"/>
  <c r="AA217" i="20"/>
  <c r="AA218" i="20" s="1"/>
  <c r="AA197" i="20"/>
  <c r="AA186" i="20"/>
  <c r="AB186" i="20" s="1"/>
  <c r="O219" i="20"/>
  <c r="Y184" i="20"/>
  <c r="Y190" i="20" s="1"/>
  <c r="Y64" i="20" s="1"/>
  <c r="Y65" i="20" s="1"/>
  <c r="P185" i="20"/>
  <c r="P190" i="20" s="1"/>
  <c r="O190" i="20"/>
  <c r="M31" i="5"/>
  <c r="M16" i="8"/>
  <c r="L66" i="18"/>
  <c r="L67" i="18" s="1"/>
  <c r="L11" i="3"/>
  <c r="M28" i="4"/>
  <c r="M29" i="4" s="1"/>
  <c r="M9" i="4" s="1"/>
  <c r="M67" i="3" s="1"/>
  <c r="M74" i="3"/>
  <c r="L74" i="3"/>
  <c r="L22" i="18"/>
  <c r="L23" i="18" s="1"/>
  <c r="L9" i="18" s="1"/>
  <c r="M49" i="4"/>
  <c r="M50" i="4" s="1"/>
  <c r="M69" i="3" s="1"/>
  <c r="M59" i="18"/>
  <c r="M61" i="18" s="1"/>
  <c r="M38" i="18"/>
  <c r="M39" i="18" s="1"/>
  <c r="M33" i="18"/>
  <c r="M34" i="18" s="1"/>
  <c r="L39" i="4"/>
  <c r="L40" i="4" s="1"/>
  <c r="L10" i="4" s="1"/>
  <c r="L68" i="3" s="1"/>
  <c r="L25" i="8"/>
  <c r="L59" i="18"/>
  <c r="L61" i="18" s="1"/>
  <c r="L49" i="4"/>
  <c r="L50" i="4" s="1"/>
  <c r="L11" i="4" s="1"/>
  <c r="M39" i="4"/>
  <c r="M40" i="4" s="1"/>
  <c r="M10" i="4" s="1"/>
  <c r="M68" i="3" s="1"/>
  <c r="M11" i="3"/>
  <c r="M60" i="4"/>
  <c r="M61" i="4" s="1"/>
  <c r="M12" i="4" s="1"/>
  <c r="M66" i="18"/>
  <c r="M67" i="18" s="1"/>
  <c r="M25" i="8"/>
  <c r="M122" i="5"/>
  <c r="M123" i="5" s="1"/>
  <c r="M11" i="5" s="1"/>
  <c r="L60" i="4"/>
  <c r="L61" i="4" s="1"/>
  <c r="L12" i="4" s="1"/>
  <c r="L122" i="5"/>
  <c r="L123" i="5" s="1"/>
  <c r="L11" i="5" s="1"/>
  <c r="L33" i="18"/>
  <c r="L34" i="18" s="1"/>
  <c r="L28" i="4"/>
  <c r="L29" i="4" s="1"/>
  <c r="L9" i="4" s="1"/>
  <c r="L67" i="3" s="1"/>
  <c r="L38" i="18"/>
  <c r="L39" i="18" s="1"/>
  <c r="L16" i="8"/>
  <c r="G70" i="3"/>
  <c r="F29" i="4"/>
  <c r="F9" i="4" s="1"/>
  <c r="H15" i="8"/>
  <c r="G12" i="18"/>
  <c r="G15" i="18" s="1"/>
  <c r="F12" i="18"/>
  <c r="I14" i="2"/>
  <c r="I28" i="5"/>
  <c r="I15" i="8"/>
  <c r="I18" i="8" s="1"/>
  <c r="H18" i="4"/>
  <c r="H10" i="2" s="1"/>
  <c r="G18" i="4"/>
  <c r="G10" i="2" s="1"/>
  <c r="G67" i="3"/>
  <c r="J27" i="8"/>
  <c r="J73" i="3"/>
  <c r="G69" i="3"/>
  <c r="K15" i="18"/>
  <c r="F25" i="6"/>
  <c r="F26" i="6" s="1"/>
  <c r="F66" i="3"/>
  <c r="G25" i="6"/>
  <c r="G66" i="3"/>
  <c r="G27" i="5"/>
  <c r="G71" i="5"/>
  <c r="I21" i="10"/>
  <c r="G29" i="11"/>
  <c r="I19" i="10" s="1"/>
  <c r="A2" i="10"/>
  <c r="O33" i="20" l="1"/>
  <c r="P33" i="20" s="1"/>
  <c r="P36" i="20" s="1"/>
  <c r="P14" i="20" s="1"/>
  <c r="L41" i="18"/>
  <c r="L10" i="18" s="1"/>
  <c r="L69" i="18"/>
  <c r="L11" i="18" s="1"/>
  <c r="U216" i="20"/>
  <c r="U218" i="20" s="1"/>
  <c r="U208" i="20" s="1"/>
  <c r="L8" i="20"/>
  <c r="M41" i="18"/>
  <c r="M10" i="18" s="1"/>
  <c r="O198" i="20"/>
  <c r="U200" i="20" s="1"/>
  <c r="U184" i="20" s="1"/>
  <c r="X198" i="20"/>
  <c r="AD200" i="20" s="1"/>
  <c r="AD184" i="20" s="1"/>
  <c r="AD190" i="20" s="1"/>
  <c r="AD64" i="20" s="1"/>
  <c r="AD65" i="20" s="1"/>
  <c r="M11" i="4"/>
  <c r="L70" i="3"/>
  <c r="H18" i="8"/>
  <c r="M69" i="18"/>
  <c r="M11" i="18" s="1"/>
  <c r="L69" i="3"/>
  <c r="F67" i="3"/>
  <c r="F18" i="4"/>
  <c r="J38" i="8"/>
  <c r="J39" i="8" s="1"/>
  <c r="J23" i="8" s="1"/>
  <c r="L27" i="8" s="1"/>
  <c r="L38" i="8" s="1"/>
  <c r="L39" i="8" s="1"/>
  <c r="M70" i="3"/>
  <c r="H17" i="8"/>
  <c r="J15" i="8"/>
  <c r="J18" i="8" s="1"/>
  <c r="I13" i="10" s="1"/>
  <c r="L12" i="18"/>
  <c r="I17" i="8"/>
  <c r="K73" i="3"/>
  <c r="G73" i="3"/>
  <c r="J28" i="5"/>
  <c r="J72" i="5"/>
  <c r="J14" i="2"/>
  <c r="F73" i="3"/>
  <c r="G14" i="2"/>
  <c r="G72" i="5"/>
  <c r="G73" i="5" s="1"/>
  <c r="G28" i="5"/>
  <c r="F15" i="18"/>
  <c r="F28" i="5" s="1"/>
  <c r="H32" i="5" s="1"/>
  <c r="K22" i="10"/>
  <c r="K41" i="10"/>
  <c r="M12" i="18" l="1"/>
  <c r="M73" i="3" s="1"/>
  <c r="O36" i="20"/>
  <c r="O14" i="20" s="1"/>
  <c r="O8" i="20" s="1"/>
  <c r="U219" i="20"/>
  <c r="R8" i="20"/>
  <c r="V184" i="20"/>
  <c r="V190" i="20" s="1"/>
  <c r="V50" i="20" s="1"/>
  <c r="V52" i="20" s="1"/>
  <c r="V14" i="20" s="1"/>
  <c r="U190" i="20"/>
  <c r="AE184" i="20"/>
  <c r="AE190" i="20" s="1"/>
  <c r="AE64" i="20" s="1"/>
  <c r="AE65" i="20" s="1"/>
  <c r="G80" i="5"/>
  <c r="G61" i="5" s="1"/>
  <c r="G60" i="5"/>
  <c r="H9" i="5"/>
  <c r="I32" i="5"/>
  <c r="I9" i="5" s="1"/>
  <c r="J17" i="8"/>
  <c r="K27" i="8"/>
  <c r="K38" i="8" s="1"/>
  <c r="K39" i="8" s="1"/>
  <c r="L23" i="8"/>
  <c r="L15" i="8"/>
  <c r="L18" i="8" s="1"/>
  <c r="L15" i="18"/>
  <c r="L28" i="5" s="1"/>
  <c r="K72" i="5"/>
  <c r="K28" i="5"/>
  <c r="K14" i="2"/>
  <c r="G72" i="3"/>
  <c r="G75" i="3" s="1"/>
  <c r="G36" i="3" s="1"/>
  <c r="L73" i="3"/>
  <c r="F72" i="5"/>
  <c r="F73" i="5" s="1"/>
  <c r="F14" i="2"/>
  <c r="M15" i="18"/>
  <c r="M14" i="2" s="1"/>
  <c r="U198" i="20" l="1"/>
  <c r="AA200" i="20" s="1"/>
  <c r="AA184" i="20" s="1"/>
  <c r="AA190" i="20" s="1"/>
  <c r="AA64" i="20" s="1"/>
  <c r="AA65" i="20" s="1"/>
  <c r="U50" i="20"/>
  <c r="U52" i="20" s="1"/>
  <c r="U14" i="20" s="1"/>
  <c r="U8" i="20" s="1"/>
  <c r="AD198" i="20"/>
  <c r="I63" i="5"/>
  <c r="I10" i="5" s="1"/>
  <c r="F80" i="5"/>
  <c r="F61" i="5" s="1"/>
  <c r="H72" i="3"/>
  <c r="K23" i="8"/>
  <c r="K15" i="8"/>
  <c r="K18" i="8" s="1"/>
  <c r="L72" i="5"/>
  <c r="L17" i="8"/>
  <c r="L14" i="2"/>
  <c r="F60" i="5"/>
  <c r="M72" i="5"/>
  <c r="M28" i="5"/>
  <c r="I12" i="10" l="1"/>
  <c r="K14" i="10" s="1"/>
  <c r="K43" i="10" s="1"/>
  <c r="AB184" i="20"/>
  <c r="AB190" i="20" s="1"/>
  <c r="AB64" i="20" s="1"/>
  <c r="AB65" i="20" s="1"/>
  <c r="H63" i="5"/>
  <c r="H10" i="5" s="1"/>
  <c r="K17" i="8"/>
  <c r="M27" i="8"/>
  <c r="M38" i="8" s="1"/>
  <c r="M39" i="8" s="1"/>
  <c r="F72" i="3"/>
  <c r="AA198" i="20" l="1"/>
  <c r="M15" i="8"/>
  <c r="M18" i="8" s="1"/>
  <c r="I38" i="3"/>
  <c r="F14" i="6"/>
  <c r="F16" i="6" l="1"/>
  <c r="F8" i="6" s="1"/>
  <c r="M23" i="8"/>
  <c r="M17" i="8"/>
  <c r="H71" i="3"/>
  <c r="G26" i="6"/>
  <c r="G14" i="6" s="1"/>
  <c r="G13" i="5"/>
  <c r="M18" i="4"/>
  <c r="M10" i="2" s="1"/>
  <c r="L18" i="4"/>
  <c r="L10" i="2" s="1"/>
  <c r="K18" i="4"/>
  <c r="K10" i="2" s="1"/>
  <c r="G9" i="2"/>
  <c r="F12" i="2" l="1"/>
  <c r="G16" i="6"/>
  <c r="G8" i="6" s="1"/>
  <c r="I10" i="3"/>
  <c r="I12" i="3" s="1"/>
  <c r="I72" i="3"/>
  <c r="I71" i="3"/>
  <c r="F11" i="2"/>
  <c r="F9" i="2"/>
  <c r="I27" i="5" l="1"/>
  <c r="I25" i="6"/>
  <c r="I71" i="5"/>
  <c r="I73" i="5" s="1"/>
  <c r="I80" i="5" s="1"/>
  <c r="I61" i="5" s="1"/>
  <c r="I9" i="2"/>
  <c r="I66" i="3"/>
  <c r="I75" i="3" s="1"/>
  <c r="I36" i="3" s="1"/>
  <c r="J71" i="3"/>
  <c r="I13" i="5"/>
  <c r="I26" i="6" l="1"/>
  <c r="I14" i="6" s="1"/>
  <c r="I16" i="6" s="1"/>
  <c r="I8" i="6" s="1"/>
  <c r="K32" i="5"/>
  <c r="K9" i="5" s="1"/>
  <c r="I60" i="5"/>
  <c r="K38" i="3"/>
  <c r="K71" i="3"/>
  <c r="L71" i="3"/>
  <c r="H13" i="5"/>
  <c r="K72" i="3" l="1"/>
  <c r="K63" i="5"/>
  <c r="K10" i="5" s="1"/>
  <c r="K13" i="5" s="1"/>
  <c r="K10" i="3"/>
  <c r="K12" i="3" s="1"/>
  <c r="I11" i="2"/>
  <c r="H11" i="2"/>
  <c r="G11" i="2"/>
  <c r="K71" i="5" l="1"/>
  <c r="K73" i="5" s="1"/>
  <c r="K9" i="2"/>
  <c r="K66" i="3"/>
  <c r="K75" i="3" s="1"/>
  <c r="K36" i="3" s="1"/>
  <c r="M38" i="3" s="1"/>
  <c r="K25" i="6"/>
  <c r="K14" i="6" s="1"/>
  <c r="K16" i="6" s="1"/>
  <c r="K8" i="6" s="1"/>
  <c r="K27" i="5"/>
  <c r="M32" i="5" s="1"/>
  <c r="K80" i="5" l="1"/>
  <c r="K61" i="5" s="1"/>
  <c r="M72" i="3"/>
  <c r="M9" i="5"/>
  <c r="M10" i="3"/>
  <c r="M12" i="3" s="1"/>
  <c r="K60" i="5"/>
  <c r="K11" i="2"/>
  <c r="M71" i="3"/>
  <c r="M63" i="5" l="1"/>
  <c r="M10" i="5" s="1"/>
  <c r="M13" i="5" s="1"/>
  <c r="M11" i="2" s="1"/>
  <c r="M9" i="2"/>
  <c r="M71" i="5"/>
  <c r="M25" i="6"/>
  <c r="M14" i="6" s="1"/>
  <c r="M16" i="6" s="1"/>
  <c r="M12" i="2" s="1"/>
  <c r="M66" i="3"/>
  <c r="M75" i="3" s="1"/>
  <c r="M36" i="3" s="1"/>
  <c r="M27" i="5"/>
  <c r="M73" i="5" l="1"/>
  <c r="M80" i="5" s="1"/>
  <c r="M61" i="5" s="1"/>
  <c r="M8" i="6"/>
  <c r="M60" i="5" l="1"/>
  <c r="K12" i="2" l="1"/>
  <c r="I12" i="2"/>
  <c r="G12" i="2"/>
  <c r="G19" i="2" s="1"/>
  <c r="F69" i="3"/>
  <c r="G10" i="7" l="1"/>
  <c r="I15" i="7" l="1"/>
  <c r="G13" i="7"/>
  <c r="F70" i="3"/>
  <c r="F75" i="3" l="1"/>
  <c r="F36" i="3" s="1"/>
  <c r="H38" i="3" s="1"/>
  <c r="H10" i="3" s="1"/>
  <c r="H12" i="3" s="1"/>
  <c r="H25" i="6" s="1"/>
  <c r="F10" i="2"/>
  <c r="I17" i="7"/>
  <c r="I17" i="2" s="1"/>
  <c r="H26" i="6" l="1"/>
  <c r="H14" i="6" s="1"/>
  <c r="H16" i="6" s="1"/>
  <c r="H71" i="5"/>
  <c r="H73" i="5" s="1"/>
  <c r="H66" i="3"/>
  <c r="H75" i="3" s="1"/>
  <c r="H36" i="3" s="1"/>
  <c r="J38" i="3" s="1"/>
  <c r="J10" i="3" s="1"/>
  <c r="J12" i="3" s="1"/>
  <c r="J25" i="6" s="1"/>
  <c r="J26" i="6" s="1"/>
  <c r="J14" i="6" s="1"/>
  <c r="J16" i="6" s="1"/>
  <c r="H27" i="5"/>
  <c r="J32" i="5" s="1"/>
  <c r="J9" i="5" s="1"/>
  <c r="F19" i="2"/>
  <c r="F10" i="7" s="1"/>
  <c r="H9" i="2"/>
  <c r="I19" i="2"/>
  <c r="I10" i="7" s="1"/>
  <c r="I13" i="7" s="1"/>
  <c r="H8" i="6" l="1"/>
  <c r="H12" i="2"/>
  <c r="H80" i="5"/>
  <c r="H61" i="5" s="1"/>
  <c r="F13" i="7"/>
  <c r="H15" i="7"/>
  <c r="J72" i="3"/>
  <c r="J9" i="2"/>
  <c r="J71" i="5"/>
  <c r="J73" i="5" s="1"/>
  <c r="J80" i="5" s="1"/>
  <c r="J61" i="5" s="1"/>
  <c r="H60" i="5"/>
  <c r="J66" i="3"/>
  <c r="J27" i="5"/>
  <c r="L32" i="5" s="1"/>
  <c r="L9" i="5" s="1"/>
  <c r="K15" i="7"/>
  <c r="K17" i="7" s="1"/>
  <c r="K17" i="2" s="1"/>
  <c r="J8" i="6"/>
  <c r="J12" i="2"/>
  <c r="J63" i="5" l="1"/>
  <c r="J10" i="5" s="1"/>
  <c r="J13" i="5" s="1"/>
  <c r="J11" i="2" s="1"/>
  <c r="J75" i="3"/>
  <c r="J36" i="3" s="1"/>
  <c r="L38" i="3" s="1"/>
  <c r="L10" i="3" s="1"/>
  <c r="L12" i="3" s="1"/>
  <c r="L27" i="5" s="1"/>
  <c r="H17" i="7"/>
  <c r="H17" i="2" s="1"/>
  <c r="H19" i="2" s="1"/>
  <c r="H10" i="7" s="1"/>
  <c r="J60" i="5"/>
  <c r="L63" i="5" s="1"/>
  <c r="L10" i="5" s="1"/>
  <c r="L13" i="5" s="1"/>
  <c r="L11" i="2" s="1"/>
  <c r="L72" i="3"/>
  <c r="K19" i="2"/>
  <c r="K10" i="7" s="1"/>
  <c r="K13" i="7" s="1"/>
  <c r="L9" i="2" l="1"/>
  <c r="L25" i="6"/>
  <c r="L14" i="6" s="1"/>
  <c r="L16" i="6" s="1"/>
  <c r="L12" i="2" s="1"/>
  <c r="L66" i="3"/>
  <c r="L75" i="3" s="1"/>
  <c r="L36" i="3" s="1"/>
  <c r="L71" i="5"/>
  <c r="L73" i="5" s="1"/>
  <c r="L80" i="5" s="1"/>
  <c r="L61" i="5" s="1"/>
  <c r="M15" i="7"/>
  <c r="M17" i="7" s="1"/>
  <c r="M17" i="2" s="1"/>
  <c r="J15" i="7"/>
  <c r="H13" i="7"/>
  <c r="L8" i="6" l="1"/>
  <c r="M19" i="2"/>
  <c r="M10" i="7" s="1"/>
  <c r="M13" i="7" s="1"/>
  <c r="J17" i="7"/>
  <c r="J17" i="2" s="1"/>
  <c r="L60" i="5"/>
  <c r="J19" i="2" l="1"/>
  <c r="J10" i="7" s="1"/>
  <c r="J13" i="7" l="1"/>
  <c r="L15" i="7"/>
  <c r="L17" i="7" l="1"/>
  <c r="L17" i="2" s="1"/>
  <c r="L19" i="2" s="1"/>
  <c r="L10" i="7" s="1"/>
  <c r="L13" i="7" s="1"/>
  <c r="X14" i="20" l="1"/>
  <c r="X8" i="20" s="1"/>
  <c r="Y14" i="20"/>
  <c r="AA14" i="20"/>
  <c r="AB14" i="20"/>
  <c r="AE14" i="20"/>
  <c r="AD14" i="20"/>
  <c r="AD8" i="20" l="1"/>
  <c r="AA8" i="20"/>
</calcChain>
</file>

<file path=xl/comments1.xml><?xml version="1.0" encoding="utf-8"?>
<comments xmlns="http://schemas.openxmlformats.org/spreadsheetml/2006/main">
  <authors>
    <author>bhatta</author>
    <author>Amrita Bhatt</author>
  </authors>
  <commentList>
    <comment ref="A33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Please input the full RPIF adjusted term as per SC 3A.11.</t>
        </r>
      </text>
    </comment>
    <comment ref="A119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No input measure til 16/17.</t>
        </r>
      </text>
    </comment>
    <comment ref="A12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N/A til 16/17.</t>
        </r>
      </text>
    </comment>
    <comment ref="A121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2021/22.</t>
        </r>
      </text>
    </comment>
    <comment ref="A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Measure starts in 17/18.</t>
        </r>
      </text>
    </comment>
    <comment ref="A124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5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6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  <comment ref="A127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From C&amp;O RRP. 2015/16 is the first year this is applicable.</t>
        </r>
      </text>
    </comment>
  </commentList>
</comments>
</file>

<file path=xl/comments2.xml><?xml version="1.0" encoding="utf-8"?>
<comments xmlns="http://schemas.openxmlformats.org/spreadsheetml/2006/main">
  <authors>
    <author>Amrita Bhatt</author>
    <author>Arjuna Hanwella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MODt
has the value zero in Relevant Year 2013/14.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3A.6: TRUt
has the value zero in Relevant Year 2013/14.</t>
        </r>
      </text>
    </comment>
    <comment ref="B56" authorId="1" shapeId="0">
      <text>
        <r>
          <rPr>
            <b/>
            <sz val="8"/>
            <color indexed="81"/>
            <rFont val="Tahoma"/>
            <family val="2"/>
          </rPr>
          <t>Arjuna Hanwella:</t>
        </r>
        <r>
          <rPr>
            <sz val="8"/>
            <color indexed="81"/>
            <rFont val="Tahoma"/>
            <family val="2"/>
          </rPr>
          <t xml:space="preserve">
Reported as ITC in the 2012/13 Revenue RRP.</t>
        </r>
      </text>
    </comment>
  </commentList>
</comments>
</file>

<file path=xl/comments3.xml><?xml version="1.0" encoding="utf-8"?>
<comments xmlns="http://schemas.openxmlformats.org/spreadsheetml/2006/main">
  <authors>
    <author>daveyb</author>
    <author>Amrita Bhatt</author>
  </authors>
  <commentList>
    <comment ref="G21" authorId="0" shapeId="0">
      <text>
        <r>
          <rPr>
            <b/>
            <sz val="8"/>
            <color indexed="81"/>
            <rFont val="Tahoma"/>
            <family val="2"/>
          </rPr>
          <t>daveyb:</t>
        </r>
        <r>
          <rPr>
            <sz val="8"/>
            <color indexed="81"/>
            <rFont val="Tahoma"/>
            <family val="2"/>
          </rPr>
          <t xml:space="preserve">
Zero per licence
</t>
        </r>
      </text>
    </comment>
    <comment ref="F6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3D.4 For Relevant Years 2013/14 and 2014/15, SSOt will have the value zero.</t>
        </r>
      </text>
    </comment>
    <comment ref="F108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3E.3 For Relevant Years beginning on 1 April 2013 and 1 April 2014 the value of SFI is equal to zero.</t>
        </r>
      </text>
    </comment>
  </commentList>
</comments>
</file>

<file path=xl/comments4.xml><?xml version="1.0" encoding="utf-8"?>
<comments xmlns="http://schemas.openxmlformats.org/spreadsheetml/2006/main">
  <authors>
    <author>Bob</author>
    <author>bhatta</author>
  </authors>
  <commentList>
    <comment ref="F16" authorId="0" shapeId="0">
      <text>
        <r>
          <rPr>
            <b/>
            <sz val="8"/>
            <color indexed="81"/>
            <rFont val="Tahoma"/>
            <family val="2"/>
          </rPr>
          <t>Bob:</t>
        </r>
        <r>
          <rPr>
            <sz val="8"/>
            <color indexed="81"/>
            <rFont val="Tahoma"/>
            <family val="2"/>
          </rPr>
          <t xml:space="preserve">
PRO for 2013-14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3A.16  In Relevant Year 2014/15 Kt will have the value zero.</t>
        </r>
      </text>
    </comment>
  </commentList>
</comments>
</file>

<file path=xl/comments5.xml><?xml version="1.0" encoding="utf-8"?>
<comments xmlns="http://schemas.openxmlformats.org/spreadsheetml/2006/main">
  <authors>
    <author>Amrita Bhatt</author>
    <author>Valerio Uccello</author>
  </authors>
  <commentList>
    <comment ref="B13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
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Took effect in 14/15.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SC4A.4: SOTRUt
has the value zero in Relevant Year 2013/14.</t>
        </r>
      </text>
    </comment>
    <comment ref="A6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DFAA.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Due to lead time of demand forecast there will be no calculated value for DFAA, hence no value for DFEA).</t>
        </r>
      </text>
    </comment>
    <comment ref="A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J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  <comment ref="K98" authorId="1" shapeId="0">
      <text>
        <r>
          <rPr>
            <b/>
            <sz val="9"/>
            <color indexed="81"/>
            <rFont val="Tahoma"/>
            <family val="2"/>
          </rPr>
          <t xml:space="preserve">Valerio Uccello:
</t>
        </r>
        <r>
          <rPr>
            <sz val="9"/>
            <color indexed="81"/>
            <rFont val="Tahoma"/>
            <family val="2"/>
          </rPr>
          <t>CfD surveys were not held in 2015/16 and 2016/17, hence the incentive is not applicable for years 2017/18 and 2018/19.</t>
        </r>
      </text>
    </comment>
  </commentList>
</comments>
</file>

<file path=xl/comments6.xml><?xml version="1.0" encoding="utf-8"?>
<comments xmlns="http://schemas.openxmlformats.org/spreadsheetml/2006/main">
  <authors>
    <author>bhatta</author>
    <author>Valerio Uccello</author>
  </authors>
  <commentList>
    <comment ref="F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S31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SC4J.</t>
        </r>
      </text>
    </comment>
    <comment ref="X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A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AD2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ONTRU has value zero from 2018/19 onwards (SC 4.J2).</t>
        </r>
      </text>
    </comment>
    <comment ref="F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I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  <comment ref="L216" authorId="0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0 as per SC4C.</t>
        </r>
      </text>
    </comment>
  </commentList>
</comments>
</file>

<file path=xl/comments7.xml><?xml version="1.0" encoding="utf-8"?>
<comments xmlns="http://schemas.openxmlformats.org/spreadsheetml/2006/main">
  <authors>
    <author>Amrita Bhatt</author>
    <author>Valerio Uccello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SC 4K.2: The term LBSt shall take the value zero, except for Relevant Years 2014/15 and 2015/16 and any other such Relevant Years as directed by the Authority in accordance with paragraph 4K.3.</t>
        </r>
      </text>
    </comment>
    <comment ref="A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Cost for 2016/17 are recovered (LBC&lt;&gt;0), as per 28 April 2017 decision document:
https://www.ofgem.gov.uk/system/files/docs/2017/04/20170412_draft_decision_on_sbr_and_dsbr_cost_recovery_for_2016_17.pdf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See 28 April 2017 decision document:
https://www.ofgem.gov.uk/system/files/docs/2017/04/20170412_draft_decision_on_sbr_and_dsbr_cost_recovery_for_2016_17.pdf</t>
        </r>
      </text>
    </comment>
  </commentList>
</comments>
</file>

<file path=xl/sharedStrings.xml><?xml version="1.0" encoding="utf-8"?>
<sst xmlns="http://schemas.openxmlformats.org/spreadsheetml/2006/main" count="2164" uniqueCount="907">
  <si>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</si>
  <si>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</si>
  <si>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</si>
  <si>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</si>
  <si>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</si>
  <si>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</si>
  <si>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</si>
  <si>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</si>
  <si>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</si>
  <si>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</si>
  <si>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</si>
  <si>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</si>
  <si>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</si>
  <si>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</si>
  <si>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Output Incentive Payments</t>
  </si>
  <si>
    <t>Transmission Investment</t>
  </si>
  <si>
    <t>Site Specific Adjustment</t>
  </si>
  <si>
    <t>Bi Lateral Diff Adjust</t>
  </si>
  <si>
    <t>PCFM Variable Values</t>
  </si>
  <si>
    <t>Base Revenue Allowance</t>
  </si>
  <si>
    <t>Pass Through Items Revenue</t>
  </si>
  <si>
    <t>LFt</t>
  </si>
  <si>
    <t>TPDt</t>
  </si>
  <si>
    <t>ITCt</t>
  </si>
  <si>
    <t>Business Rates Adjustment</t>
  </si>
  <si>
    <t>License Fee Adjustment</t>
  </si>
  <si>
    <t>Temp Physical Disconnection Term</t>
  </si>
  <si>
    <t>Offshore Transmission Revenue</t>
  </si>
  <si>
    <t>SP Transmission Revenue</t>
  </si>
  <si>
    <t>SHETL Revenue</t>
  </si>
  <si>
    <t>Offshore Distribution Revenue</t>
  </si>
  <si>
    <t>Term t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</si>
  <si>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</si>
  <si>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</si>
  <si>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</si>
  <si>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</si>
  <si>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</si>
  <si>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</si>
  <si>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</si>
  <si>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Transmission Network Revenue</t>
  </si>
  <si>
    <t>Interest Rate Adjustment in Yr T</t>
  </si>
  <si>
    <t>Network Innovation Competition</t>
  </si>
  <si>
    <t>Network Innovation Allowance</t>
  </si>
  <si>
    <t>Under/Over Recovery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</si>
  <si>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</si>
  <si>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</si>
  <si>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</si>
  <si>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</si>
  <si>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</si>
  <si>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</si>
  <si>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</si>
  <si>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</si>
  <si>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</si>
  <si>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</si>
  <si>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</si>
  <si>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</si>
  <si>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</si>
  <si>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</si>
  <si>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</si>
  <si>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Recovered NIA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</si>
  <si>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</si>
  <si>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</si>
  <si>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</si>
  <si>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</si>
  <si>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</si>
  <si>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</si>
  <si>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</si>
  <si>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</si>
  <si>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SO Base Internal Revenue Calculation and Components</t>
  </si>
  <si>
    <t>SO Base Internal Revenue</t>
  </si>
  <si>
    <t>SO Internal Revenue</t>
  </si>
  <si>
    <t>SO Base Revenue Allowance</t>
  </si>
  <si>
    <t>SO PCFM Variable Values</t>
  </si>
  <si>
    <t>SO True Up</t>
  </si>
  <si>
    <r>
      <t>SOTRU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((RPIA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– RPIF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)/RPIA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>) x SOREV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t-2</t>
    </r>
    <r>
      <rPr>
        <sz val="11"/>
        <color theme="1"/>
        <rFont val="Verdana"/>
        <family val="2"/>
      </rPr>
      <t xml:space="preserve"> x PVF</t>
    </r>
    <r>
      <rPr>
        <vertAlign val="subscript"/>
        <sz val="11"/>
        <color theme="1"/>
        <rFont val="Verdana"/>
        <family val="2"/>
      </rPr>
      <t>t-1</t>
    </r>
  </si>
  <si>
    <t>SO Revenue Adjustment</t>
  </si>
  <si>
    <t xml:space="preserve">RPI Base year adjustment </t>
  </si>
  <si>
    <t>License Fee Amount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</si>
  <si>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</si>
  <si>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</si>
  <si>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</si>
  <si>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</si>
  <si>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</si>
  <si>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</si>
  <si>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</si>
  <si>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</si>
  <si>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</si>
  <si>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Inter Transmission SO Compensation</t>
  </si>
  <si>
    <t>Inter Transmission Participation Compensation</t>
  </si>
  <si>
    <t>Inter Transmission SO Mechanism Allowance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</si>
  <si>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</si>
  <si>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</si>
  <si>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</si>
  <si>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</si>
  <si>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</si>
  <si>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</si>
  <si>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</si>
  <si>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</si>
  <si>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Excluded Services (inc. Connections Contributions)</t>
  </si>
  <si>
    <t>Other Turnover Items</t>
  </si>
  <si>
    <t>System Operator (Internal)</t>
  </si>
  <si>
    <t>System Operator (External)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</si>
  <si>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</si>
  <si>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</si>
  <si>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</si>
  <si>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</si>
  <si>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</si>
  <si>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</si>
  <si>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</si>
  <si>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</si>
  <si>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</si>
  <si>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</si>
  <si>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Present Value Factor</t>
  </si>
  <si>
    <t>RPI Adjustment</t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</si>
  <si>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</si>
  <si>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</si>
  <si>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</si>
  <si>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</si>
  <si>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</si>
  <si>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</si>
  <si>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</si>
  <si>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</si>
  <si>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</si>
  <si>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</si>
  <si>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</si>
  <si>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</si>
  <si>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</si>
  <si>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</si>
  <si>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</si>
  <si>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</si>
  <si>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</si>
  <si>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</si>
  <si>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</si>
  <si>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</si>
  <si>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</si>
  <si>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</si>
  <si>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</si>
  <si>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</si>
  <si>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</si>
  <si>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</si>
  <si>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</si>
  <si>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SOMOD</t>
  </si>
  <si>
    <t>Modification to Revenue from Annual Iteration Process - TO</t>
  </si>
  <si>
    <t>Modification to Revenue from Annual Iteration Process - SO</t>
  </si>
  <si>
    <t>RBE</t>
  </si>
  <si>
    <t>RBA</t>
  </si>
  <si>
    <t>LFE</t>
  </si>
  <si>
    <t>LFA</t>
  </si>
  <si>
    <t>Inter Transmission SO Compensation Calculation (NGET only)</t>
  </si>
  <si>
    <t>RPIA</t>
  </si>
  <si>
    <t>RPI Actual</t>
  </si>
  <si>
    <t>Actual RPI</t>
  </si>
  <si>
    <t>RPI indices</t>
  </si>
  <si>
    <t>PVF</t>
  </si>
  <si>
    <t xml:space="preserve">Present value factor </t>
  </si>
  <si>
    <t>License Fee Allowance</t>
  </si>
  <si>
    <t>Temporary physical disconnection</t>
  </si>
  <si>
    <t>ITC</t>
  </si>
  <si>
    <t>ITP</t>
  </si>
  <si>
    <t>ITA</t>
  </si>
  <si>
    <t>TPD</t>
  </si>
  <si>
    <t>TPA</t>
  </si>
  <si>
    <t>Physical disconnection costs</t>
  </si>
  <si>
    <t>LF</t>
  </si>
  <si>
    <t>Income from terminated bilateral agreements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</si>
  <si>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</si>
  <si>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</si>
  <si>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</si>
  <si>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</si>
  <si>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</si>
  <si>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</si>
  <si>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</si>
  <si>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</si>
  <si>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</si>
  <si>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ETIRGC</t>
  </si>
  <si>
    <t>Determination of TIRG Project - England / Scotland</t>
  </si>
  <si>
    <t>IPTIRG</t>
  </si>
  <si>
    <t>TIRGIncAdj</t>
  </si>
  <si>
    <t>FTIRG</t>
  </si>
  <si>
    <t>ETIRG</t>
  </si>
  <si>
    <t>ATIRG</t>
  </si>
  <si>
    <t>Determination of IPTIRG</t>
  </si>
  <si>
    <t>CFTIRG</t>
  </si>
  <si>
    <t>Determination of FTIRG</t>
  </si>
  <si>
    <t>AFFTIRG</t>
  </si>
  <si>
    <t>FTIRGDepn</t>
  </si>
  <si>
    <t>AFFTIRGDepn</t>
  </si>
  <si>
    <t>Determination of ETIRG</t>
  </si>
  <si>
    <t>SAFTIRG</t>
  </si>
  <si>
    <t>Authority Adjustment</t>
  </si>
  <si>
    <t>SAFRTIRG</t>
  </si>
  <si>
    <t>Cost of capital (TIRG)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</si>
  <si>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</si>
  <si>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</si>
  <si>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</si>
  <si>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</si>
  <si>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CCTIRG*(FTIRG+AFFTIRG)*RPIF</t>
  </si>
  <si>
    <t>(FTIRGDepn+AFFTIRGDepn)*RPIF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</si>
  <si>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</si>
  <si>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</si>
  <si>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</si>
  <si>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</si>
  <si>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</si>
  <si>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</si>
  <si>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</si>
  <si>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</si>
  <si>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</si>
  <si>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</si>
  <si>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</si>
  <si>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</si>
  <si>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</si>
  <si>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</si>
  <si>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</si>
  <si>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</si>
  <si>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</si>
  <si>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</si>
  <si>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</si>
  <si>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</si>
  <si>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</si>
  <si>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</si>
  <si>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National Grid Electricity Transmission Plc</t>
  </si>
  <si>
    <t>Present value factor</t>
  </si>
  <si>
    <t>From 2015/16 onwards</t>
  </si>
  <si>
    <t xml:space="preserve">For 2013/14: </t>
  </si>
  <si>
    <t>Average Specified Rate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</si>
  <si>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LF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TPD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ITC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Term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TSH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TOFTO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OFET</t>
    </r>
    <r>
      <rPr>
        <vertAlign val="subscript"/>
        <sz val="12"/>
        <color theme="1"/>
        <rFont val="Times New Roman"/>
        <family val="1"/>
      </rPr>
      <t>t</t>
    </r>
  </si>
  <si>
    <t>Licence Condition 3C</t>
  </si>
  <si>
    <t>RILEG</t>
  </si>
  <si>
    <t>Incentives</t>
  </si>
  <si>
    <t>Reliability</t>
  </si>
  <si>
    <t>VOLL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</si>
  <si>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</si>
  <si>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</si>
  <si>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</si>
  <si>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</si>
  <si>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</si>
  <si>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</si>
  <si>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</si>
  <si>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Revenue adjustment factor calculation</t>
  </si>
  <si>
    <t>CSSP</t>
  </si>
  <si>
    <t>Product</t>
  </si>
  <si>
    <t>Average specified rate</t>
  </si>
  <si>
    <t>TIRGt</t>
  </si>
  <si>
    <t>SER</t>
  </si>
  <si>
    <t>Incentive in respect of Sulphur Hexafluoride</t>
  </si>
  <si>
    <t>PTIS</t>
  </si>
  <si>
    <t>RPI factor</t>
  </si>
  <si>
    <t>PTIS calculation</t>
  </si>
  <si>
    <t>TIS</t>
  </si>
  <si>
    <t>Totex Incentive Strength</t>
  </si>
  <si>
    <t>TR</t>
  </si>
  <si>
    <t>Corporation tax rate</t>
  </si>
  <si>
    <t>Post tax incentive strength</t>
  </si>
  <si>
    <t>Sulphur Hexafluoride Incentive</t>
  </si>
  <si>
    <t>Base leakage</t>
  </si>
  <si>
    <t>Additional SF6 leakage</t>
  </si>
  <si>
    <t>ADD</t>
  </si>
  <si>
    <t>DSP</t>
  </si>
  <si>
    <t>Reduction from decommissioned assets</t>
  </si>
  <si>
    <t>ALE</t>
  </si>
  <si>
    <t>NTPC</t>
  </si>
  <si>
    <t>Non traded price of carbon</t>
  </si>
  <si>
    <t>SFI</t>
  </si>
  <si>
    <t>Customer &amp; Stakeholder Satisfaction Incentive</t>
  </si>
  <si>
    <t>Customer Satisfaction Survey</t>
  </si>
  <si>
    <t>CSSPRO</t>
  </si>
  <si>
    <t>SSST</t>
  </si>
  <si>
    <t>SSSCAP</t>
  </si>
  <si>
    <t>SSSUPA</t>
  </si>
  <si>
    <t>SSSCOL</t>
  </si>
  <si>
    <t>SSSDPA</t>
  </si>
  <si>
    <r>
      <t>If SSSP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&lt; SSST:</t>
    </r>
  </si>
  <si>
    <t>Stakeholder Satisfaction Target</t>
  </si>
  <si>
    <t>Stakeholder Satisfaction Survey cap</t>
  </si>
  <si>
    <t>Stakeholder Satisfaction Survey collar</t>
  </si>
  <si>
    <t>Stakeholder Satisfaction Survey upside adj</t>
  </si>
  <si>
    <t xml:space="preserve">Stakeholder Satisfaction Survey downside </t>
  </si>
  <si>
    <t>SSSP</t>
  </si>
  <si>
    <t>Stakeholder Satisfaction Survey score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</si>
  <si>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</si>
  <si>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t>EDRO</t>
  </si>
  <si>
    <t>EDR scheme adjustment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</si>
  <si>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))</t>
    </r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</si>
  <si>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</si>
  <si>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</si>
  <si>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</si>
  <si>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</si>
  <si>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NICF</t>
  </si>
  <si>
    <t>NIAR</t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</si>
  <si>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</si>
  <si>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</si>
  <si>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</si>
  <si>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</si>
  <si>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R11 TIRG</t>
  </si>
  <si>
    <t>Adjustment to Av asset depreciation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</si>
  <si>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</si>
  <si>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</si>
  <si>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</si>
  <si>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</si>
  <si>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</si>
  <si>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</si>
  <si>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</si>
  <si>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</si>
  <si>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Income adjusting event</t>
  </si>
  <si>
    <t xml:space="preserve">Total income from SHETPLC &amp; SPTL in respect of Site-Specific Charges </t>
  </si>
  <si>
    <t xml:space="preserve">Total Charged by SHETPLC &amp; SPTL in respect of Site-Specific Charges </t>
  </si>
  <si>
    <t>DIS</t>
  </si>
  <si>
    <t>Net adjustment</t>
  </si>
  <si>
    <t>TS</t>
  </si>
  <si>
    <t xml:space="preserve">Total Charged by SHETPLC &amp; SPTL in respect of TO Final Sums </t>
  </si>
  <si>
    <t xml:space="preserve">Total income from SHETPLC &amp; SPTL in respect of TO Final Sums 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</si>
  <si>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NICF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DIS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TS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</si>
  <si>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</si>
  <si>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</si>
  <si>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</si>
  <si>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</si>
  <si>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</si>
  <si>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</si>
  <si>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</si>
  <si>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</si>
  <si>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 xml:space="preserve">RPIF </t>
  </si>
  <si>
    <t>RPI Adjustment Factor</t>
  </si>
  <si>
    <t>SOREV</t>
  </si>
  <si>
    <t>SOPU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</si>
  <si>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</si>
  <si>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</si>
  <si>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</si>
  <si>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</si>
  <si>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</si>
  <si>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</si>
  <si>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</si>
  <si>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MOD</t>
  </si>
  <si>
    <t xml:space="preserve">Eligible NIA Internal Expenditure </t>
  </si>
  <si>
    <t>Allowable Network Innovation Expenditure</t>
  </si>
  <si>
    <t>NIAIE</t>
  </si>
  <si>
    <t>Z</t>
  </si>
  <si>
    <t>FOR INFORMATION ONLY</t>
  </si>
  <si>
    <t>CTE</t>
  </si>
  <si>
    <t>BR</t>
  </si>
  <si>
    <t>CSSAF</t>
  </si>
  <si>
    <t>SSSAF</t>
  </si>
  <si>
    <t>SSS</t>
  </si>
  <si>
    <t>RB</t>
  </si>
  <si>
    <t>Term</t>
  </si>
  <si>
    <t>TSP</t>
  </si>
  <si>
    <t>TSH</t>
  </si>
  <si>
    <t>TOFTO</t>
  </si>
  <si>
    <t>OFET</t>
  </si>
  <si>
    <t>PT</t>
  </si>
  <si>
    <t>(CCTIRG*(ETIRG*SAFRTIRG)*RPIF)</t>
  </si>
  <si>
    <t>OIP Output Incentive Calculation and Components</t>
  </si>
  <si>
    <t>Network Reliability Incentive Calculation</t>
  </si>
  <si>
    <t xml:space="preserve">Post Tax Totex Incentive Strength </t>
  </si>
  <si>
    <t>Actual RPI factor</t>
  </si>
  <si>
    <t>Forecast RPI factor</t>
  </si>
  <si>
    <t>SSO</t>
  </si>
  <si>
    <t>EDR</t>
  </si>
  <si>
    <t>SSO Calculation</t>
  </si>
  <si>
    <t>SSS Calculation</t>
  </si>
  <si>
    <t>Name</t>
  </si>
  <si>
    <t xml:space="preserve">R15 SO Base Internal Revenue </t>
  </si>
  <si>
    <t>I</t>
  </si>
  <si>
    <t xml:space="preserve">GRPIF </t>
  </si>
  <si>
    <t xml:space="preserve">RPIA </t>
  </si>
  <si>
    <t>TRU</t>
  </si>
  <si>
    <t>REV</t>
  </si>
  <si>
    <t xml:space="preserve">BR </t>
  </si>
  <si>
    <t>ANIA</t>
  </si>
  <si>
    <t>PR</t>
  </si>
  <si>
    <t>K</t>
  </si>
  <si>
    <t xml:space="preserve">TIRG </t>
  </si>
  <si>
    <t xml:space="preserve">PT </t>
  </si>
  <si>
    <t xml:space="preserve">OIP </t>
  </si>
  <si>
    <t xml:space="preserve">DIS </t>
  </si>
  <si>
    <t xml:space="preserve">TS </t>
  </si>
  <si>
    <t xml:space="preserve">K </t>
  </si>
  <si>
    <t xml:space="preserve">SOMOD </t>
  </si>
  <si>
    <t xml:space="preserve">SOTRU </t>
  </si>
  <si>
    <t xml:space="preserve">SOBR </t>
  </si>
  <si>
    <t xml:space="preserve">SOI </t>
  </si>
  <si>
    <t xml:space="preserve">SO Base Internal Revenue </t>
  </si>
  <si>
    <t xml:space="preserve">RPI Adjustment Factor </t>
  </si>
  <si>
    <t>SO terms</t>
  </si>
  <si>
    <t>SO Revenue Adjustment Calculation</t>
  </si>
  <si>
    <t>SOTRU</t>
  </si>
  <si>
    <t>Incremental change per PCFM</t>
  </si>
  <si>
    <t xml:space="preserve">SO Revenue Adjustment </t>
  </si>
  <si>
    <t>For 2014-15 only:</t>
  </si>
  <si>
    <t>CSOC</t>
  </si>
  <si>
    <t>NC</t>
  </si>
  <si>
    <t>Base revenue per SC AA5A</t>
  </si>
  <si>
    <t>Non incentivised costs</t>
  </si>
  <si>
    <t>SO Revenue</t>
  </si>
  <si>
    <t>Licence Fee Adjustment Calculation</t>
  </si>
  <si>
    <t>K Calculation and Components</t>
  </si>
  <si>
    <t>SOTRU Calculation</t>
  </si>
  <si>
    <t xml:space="preserve">R16 SO External Revenue </t>
  </si>
  <si>
    <t>SO External Revenue Calculation and Components</t>
  </si>
  <si>
    <t>CSOBM</t>
  </si>
  <si>
    <t>Contacts of availability for use of BM services</t>
  </si>
  <si>
    <t>BSCC</t>
  </si>
  <si>
    <t xml:space="preserve">Balancing service adjustments </t>
  </si>
  <si>
    <t>ET</t>
  </si>
  <si>
    <t xml:space="preserve">Balancing service provision to others </t>
  </si>
  <si>
    <t>OM</t>
  </si>
  <si>
    <t>Incentive Payments</t>
  </si>
  <si>
    <t>IncPayExt</t>
  </si>
  <si>
    <t>Balancing External Costs</t>
  </si>
  <si>
    <t>BX ext</t>
  </si>
  <si>
    <t>Determination of  Incentive Payments</t>
  </si>
  <si>
    <t>SF</t>
  </si>
  <si>
    <t>MT</t>
  </si>
  <si>
    <t>Cost of Balancing Services</t>
  </si>
  <si>
    <t>IBC</t>
  </si>
  <si>
    <t>CB</t>
  </si>
  <si>
    <t>Licensee Bids</t>
  </si>
  <si>
    <t>Contracts for Availability of use</t>
  </si>
  <si>
    <t>Allowed Income Adjustments</t>
  </si>
  <si>
    <t>RT</t>
  </si>
  <si>
    <t>Balancing Services to Others</t>
  </si>
  <si>
    <t>Cost of Incentivised Balancing Services</t>
  </si>
  <si>
    <t xml:space="preserve">This workbook incoporates the detailed and forecast returns referred to in Standard Condition B15 of the Electricity Transmission Licence.  
</t>
  </si>
  <si>
    <t>Customer Satisfaction Target</t>
  </si>
  <si>
    <t>Customer Satisfaction Survey cap</t>
  </si>
  <si>
    <t>Customer Satisfaction Survey collar</t>
  </si>
  <si>
    <t>Customer Satisfaction Survey upside adj</t>
  </si>
  <si>
    <t xml:space="preserve">Customer Satisfaction Survey downside </t>
  </si>
  <si>
    <t>CSST</t>
  </si>
  <si>
    <t>CSSCAP</t>
  </si>
  <si>
    <t>CSSCOL</t>
  </si>
  <si>
    <t>CSSUPA</t>
  </si>
  <si>
    <t>CSSDPA</t>
  </si>
  <si>
    <t>Excluded Services and De minimis Activities</t>
  </si>
  <si>
    <t xml:space="preserve">Building phase - depreciation value  </t>
  </si>
  <si>
    <t xml:space="preserve">Building phase - average asset value </t>
  </si>
  <si>
    <t xml:space="preserve">CTE calculation </t>
  </si>
  <si>
    <t>For relevant year beginning on 1 April 2015:</t>
  </si>
  <si>
    <t>Stakeholder Engagement Reward Limit (3D.5)</t>
  </si>
  <si>
    <t>If CSSPt-2&gt; CSST:</t>
  </si>
  <si>
    <t>Customer Satisfaction Survey score</t>
  </si>
  <si>
    <t>Qualifying NIA Internal Expenditure</t>
  </si>
  <si>
    <t>Eligible Internal NIA Expenditure</t>
  </si>
  <si>
    <t>Balancing Services Activity Revenue
Restriction on External Costs</t>
  </si>
  <si>
    <t>Determination of IBC (Cost of balancing services)</t>
  </si>
  <si>
    <t>Incentive Target Cost</t>
  </si>
  <si>
    <t>Modelled Target Costs</t>
  </si>
  <si>
    <t>MTC</t>
  </si>
  <si>
    <t>BSTC</t>
  </si>
  <si>
    <t>Target Cost for Black Start (SC 4G)</t>
  </si>
  <si>
    <t>Incentive Target Cost + 100</t>
  </si>
  <si>
    <t>Incentive Target Cost - 100</t>
  </si>
  <si>
    <t>Turnover as per Profit and Loss (Regulatory Accounts)</t>
  </si>
  <si>
    <t>Forecast pre-construction and contingency costs (</t>
  </si>
  <si>
    <t>Forecast pre-construction and contingency costs</t>
  </si>
  <si>
    <r>
      <t>BR</t>
    </r>
    <r>
      <rPr>
        <vertAlign val="subscript"/>
        <sz val="10"/>
        <rFont val="Verdana"/>
        <family val="2"/>
      </rPr>
      <t>t</t>
    </r>
  </si>
  <si>
    <r>
      <t>RB</t>
    </r>
    <r>
      <rPr>
        <vertAlign val="subscript"/>
        <sz val="10"/>
        <rFont val="Verdana"/>
        <family val="2"/>
      </rPr>
      <t>t</t>
    </r>
  </si>
  <si>
    <r>
      <t>REV</t>
    </r>
    <r>
      <rPr>
        <vertAlign val="subscript"/>
        <sz val="10"/>
        <rFont val="Verdana"/>
        <family val="2"/>
      </rPr>
      <t>t</t>
    </r>
  </si>
  <si>
    <t>fixed value - check cells</t>
  </si>
  <si>
    <t>Transmission Network Reliability Incentive</t>
  </si>
  <si>
    <t>RILT</t>
  </si>
  <si>
    <t>RIUT</t>
  </si>
  <si>
    <t>RIUPA</t>
  </si>
  <si>
    <t>Supply Collar</t>
  </si>
  <si>
    <t>RICOL</t>
  </si>
  <si>
    <t>Incentivised Loss Supply - Lower Limit</t>
  </si>
  <si>
    <t>Percentage Adjust - Lower Limit</t>
  </si>
  <si>
    <t xml:space="preserve">PR </t>
  </si>
  <si>
    <t>Base revenue in year t-1</t>
  </si>
  <si>
    <t>PR t-1</t>
  </si>
  <si>
    <t>Revenue Adjustment</t>
  </si>
  <si>
    <t>RIP</t>
  </si>
  <si>
    <t>Revenue Adjustment Factor in incentive period y</t>
  </si>
  <si>
    <t>RAF</t>
  </si>
  <si>
    <t>Incentivised Loss Supply - Upper Limit</t>
  </si>
  <si>
    <t>Percentage Adjust - UpperLimit</t>
  </si>
  <si>
    <t>Calculation for 2013/14 (taken from 2012/13 revenue model)</t>
  </si>
  <si>
    <t>Transmission Network Reliability Incentive (from 12/13 revenue model)</t>
  </si>
  <si>
    <t xml:space="preserve">Number of Incentivised loss of supply events </t>
  </si>
  <si>
    <t>Maximum Upside %</t>
  </si>
  <si>
    <t xml:space="preserve">Maximum Downside % </t>
  </si>
  <si>
    <t>Incentivised Upper Target</t>
  </si>
  <si>
    <t xml:space="preserve">Incentivised loss of supply collar </t>
  </si>
  <si>
    <t>Lower Limit target</t>
  </si>
  <si>
    <r>
      <t>CSSAF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</si>
  <si>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SSSAF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</si>
  <si>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r>
      <t>If SSSP</t>
    </r>
    <r>
      <rPr>
        <vertAlign val="subscript"/>
        <sz val="10"/>
        <rFont val="Verdana"/>
        <family val="2"/>
      </rPr>
      <t>t-2</t>
    </r>
    <r>
      <rPr>
        <sz val="10"/>
        <rFont val="Verdana"/>
        <family val="2"/>
      </rPr>
      <t>&gt; SSST:</t>
    </r>
  </si>
  <si>
    <r>
      <t>SF6 Incentive for 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 xml:space="preserve"> Equivalent Emissions</t>
    </r>
  </si>
  <si>
    <r>
      <t>EDR</t>
    </r>
    <r>
      <rPr>
        <b/>
        <vertAlign val="subscript"/>
        <sz val="10"/>
        <rFont val="Verdana"/>
        <family val="2"/>
      </rPr>
      <t>t</t>
    </r>
    <r>
      <rPr>
        <b/>
        <sz val="10"/>
        <rFont val="Verdana"/>
        <family val="2"/>
      </rPr>
      <t xml:space="preserve"> calculation</t>
    </r>
  </si>
  <si>
    <r>
      <t>SFI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(CTE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– ALE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x CF x NTPC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x PTIS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PVF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x RPIF</t>
    </r>
    <r>
      <rPr>
        <vertAlign val="subscript"/>
        <sz val="12"/>
        <rFont val="Times New Roman"/>
        <family val="1"/>
      </rPr>
      <t>t</t>
    </r>
  </si>
  <si>
    <r>
      <t>If CSSP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&lt; CSST:</t>
    </r>
  </si>
  <si>
    <r>
      <t>CTE</t>
    </r>
    <r>
      <rPr>
        <sz val="6"/>
        <rFont val="Verdana"/>
        <family val="2"/>
      </rPr>
      <t>t-2</t>
    </r>
    <r>
      <rPr>
        <sz val="10"/>
        <rFont val="Verdana"/>
        <family val="2"/>
      </rPr>
      <t xml:space="preserve"> = BASE + ADD</t>
    </r>
    <r>
      <rPr>
        <sz val="6"/>
        <rFont val="Verdana"/>
        <family val="2"/>
      </rPr>
      <t xml:space="preserve">t-2 </t>
    </r>
    <r>
      <rPr>
        <sz val="10"/>
        <rFont val="Verdana"/>
        <family val="2"/>
      </rPr>
      <t>- DSP</t>
    </r>
    <r>
      <rPr>
        <sz val="6"/>
        <rFont val="Verdana"/>
        <family val="2"/>
      </rPr>
      <t>t-2</t>
    </r>
  </si>
  <si>
    <t>IONT</t>
  </si>
  <si>
    <t>Outage Change Cost Allowance</t>
  </si>
  <si>
    <t>ON</t>
  </si>
  <si>
    <t>ONTRU</t>
  </si>
  <si>
    <t>Allowance for Payments</t>
  </si>
  <si>
    <t>SOEMR</t>
  </si>
  <si>
    <t>SOEMRCO</t>
  </si>
  <si>
    <t>EMR functions internal costs</t>
  </si>
  <si>
    <t>£m (09/10 prices)</t>
  </si>
  <si>
    <t>EMR adjustment to allowed revenue</t>
  </si>
  <si>
    <t>(SC 4A.3)</t>
  </si>
  <si>
    <t>Score</t>
  </si>
  <si>
    <t>Present value factors (SC 3A)</t>
  </si>
  <si>
    <t>Site specific charges (3A.4)</t>
  </si>
  <si>
    <t>Transmission Owner Final Sums (3A.4)</t>
  </si>
  <si>
    <r>
      <t xml:space="preserve">Pass through items </t>
    </r>
    <r>
      <rPr>
        <b/>
        <sz val="9"/>
        <color indexed="8"/>
        <rFont val="Verdana"/>
        <family val="2"/>
      </rPr>
      <t>(SC 3B)</t>
    </r>
  </si>
  <si>
    <r>
      <t xml:space="preserve">Incentive Payments </t>
    </r>
    <r>
      <rPr>
        <b/>
        <sz val="9"/>
        <color indexed="8"/>
        <rFont val="Verdana"/>
        <family val="2"/>
      </rPr>
      <t>(SC 3F)</t>
    </r>
  </si>
  <si>
    <t>Reliability incentive legacy term (SC 3C)</t>
  </si>
  <si>
    <t>Unsupplied Energy Volumes - events</t>
  </si>
  <si>
    <t>#</t>
  </si>
  <si>
    <t>Volume</t>
  </si>
  <si>
    <t>Network Reliability Incentive (SC 3C.4)</t>
  </si>
  <si>
    <t>Customer and Stakeholder Incentive (SC 3D)</t>
  </si>
  <si>
    <t>KG</t>
  </si>
  <si>
    <t>Sulphur Hexafluoride Incentive (SC 3E)</t>
  </si>
  <si>
    <t>Innovation Incentive (SC 3H)</t>
  </si>
  <si>
    <t>TIRG (SC 3J)</t>
  </si>
  <si>
    <t>SC 3A.5</t>
  </si>
  <si>
    <t>SC 3A.7</t>
  </si>
  <si>
    <t>SC 3A.8</t>
  </si>
  <si>
    <t>(SC 3A.10)</t>
  </si>
  <si>
    <t>SC 3A.11</t>
  </si>
  <si>
    <t>In 2014/15:</t>
  </si>
  <si>
    <t>Base Transmission Revenue 12/13</t>
  </si>
  <si>
    <r>
      <t xml:space="preserve">PR </t>
    </r>
    <r>
      <rPr>
        <sz val="8"/>
        <rFont val="Verdana"/>
        <family val="2"/>
      </rPr>
      <t>t-2</t>
    </r>
  </si>
  <si>
    <t>Transmission Investment Incentives Projects adjustment 12/13</t>
  </si>
  <si>
    <r>
      <t xml:space="preserve">TOInc </t>
    </r>
    <r>
      <rPr>
        <sz val="8"/>
        <rFont val="Verdana"/>
        <family val="2"/>
      </rPr>
      <t>t-2</t>
    </r>
  </si>
  <si>
    <t>Subtotal TIRG 12/13</t>
  </si>
  <si>
    <r>
      <t xml:space="preserve">TIRG </t>
    </r>
    <r>
      <rPr>
        <sz val="8"/>
        <rFont val="Verdana"/>
        <family val="2"/>
      </rPr>
      <t>t-2</t>
    </r>
  </si>
  <si>
    <t>Capital expenditure inventive revenue adjustment 12/13</t>
  </si>
  <si>
    <r>
      <t xml:space="preserve">CXIncRA </t>
    </r>
    <r>
      <rPr>
        <sz val="8"/>
        <rFont val="Verdana"/>
        <family val="2"/>
      </rPr>
      <t>t-2</t>
    </r>
  </si>
  <si>
    <t>RPI Forecast 12/13</t>
  </si>
  <si>
    <r>
      <t xml:space="preserve">RPIF </t>
    </r>
    <r>
      <rPr>
        <sz val="8"/>
        <rFont val="Verdana"/>
        <family val="2"/>
      </rPr>
      <t>t-2</t>
    </r>
  </si>
  <si>
    <t>Network rates allowance 12/13</t>
  </si>
  <si>
    <r>
      <t xml:space="preserve">RV </t>
    </r>
    <r>
      <rPr>
        <sz val="8"/>
        <rFont val="Verdana"/>
        <family val="2"/>
      </rPr>
      <t>t-2</t>
    </r>
  </si>
  <si>
    <t>(SC 3B.3)</t>
  </si>
  <si>
    <t>(SC 3B.5)</t>
  </si>
  <si>
    <t>Index</t>
  </si>
  <si>
    <t>(SC 3B.9)</t>
  </si>
  <si>
    <t>(SC 3B.12)</t>
  </si>
  <si>
    <t>(SC 3B.15)</t>
  </si>
  <si>
    <t>(SC 3A.12)</t>
  </si>
  <si>
    <t>SC 3D.3</t>
  </si>
  <si>
    <t>Events</t>
  </si>
  <si>
    <t>(SC 3D.11)</t>
  </si>
  <si>
    <t>(SC 3E.3)</t>
  </si>
  <si>
    <t>kg</t>
  </si>
  <si>
    <t>(SC 3E.6)</t>
  </si>
  <si>
    <t>(SC 3F.7)</t>
  </si>
  <si>
    <t>SC 3E.4</t>
  </si>
  <si>
    <t>For relevant year beginning on 1 April 2016 onwards:</t>
  </si>
  <si>
    <t>(SC 3H)</t>
  </si>
  <si>
    <t>SC 3H.4</t>
  </si>
  <si>
    <t>SC 3H.6</t>
  </si>
  <si>
    <t>SC 3H.7</t>
  </si>
  <si>
    <t>PRO</t>
  </si>
  <si>
    <t>SC 3A.15</t>
  </si>
  <si>
    <t>SC 3A.14</t>
  </si>
  <si>
    <t>(SC 3J.2)</t>
  </si>
  <si>
    <t>(SC 3J.3)</t>
  </si>
  <si>
    <t>(SC 3J.5)</t>
  </si>
  <si>
    <t>(SC 3J.7)</t>
  </si>
  <si>
    <t>(SC 3A.3)</t>
  </si>
  <si>
    <t>(SC 4A.5)</t>
  </si>
  <si>
    <t>SOREVt</t>
  </si>
  <si>
    <t>Base revenue per SC AA5A (12/13)</t>
  </si>
  <si>
    <t>Non incentivised costs (12/13)</t>
  </si>
  <si>
    <t>RPI Adjustment Factor (12/13)</t>
  </si>
  <si>
    <t>SO Revenue Adjustment (14/15)</t>
  </si>
  <si>
    <t>(SC 4C.1)</t>
  </si>
  <si>
    <t>£m/tonne</t>
  </si>
  <si>
    <t>Base Transmission Revenue</t>
  </si>
  <si>
    <t>PRt-2</t>
  </si>
  <si>
    <r>
      <t>TOInc</t>
    </r>
    <r>
      <rPr>
        <sz val="8"/>
        <rFont val="Verdana"/>
        <family val="2"/>
      </rPr>
      <t>t-2</t>
    </r>
  </si>
  <si>
    <t>IPTIRGt-2</t>
  </si>
  <si>
    <t>TIRG Annual preconstruction and contingency revenue allowance</t>
  </si>
  <si>
    <t>TIRG Annual construction revenue allowance</t>
  </si>
  <si>
    <t>TIRG Annual incentive revenue allowance</t>
  </si>
  <si>
    <t>FTIRGt-2</t>
  </si>
  <si>
    <t>ETIRGt-2</t>
  </si>
  <si>
    <t>Licence fee payments allowance</t>
  </si>
  <si>
    <t>PFt-2</t>
  </si>
  <si>
    <t>ITVt-2</t>
  </si>
  <si>
    <t>Inter-transmission system operator compensation scheme allowance</t>
  </si>
  <si>
    <r>
      <t xml:space="preserve">PF </t>
    </r>
    <r>
      <rPr>
        <sz val="8"/>
        <rFont val="Verdana"/>
        <family val="2"/>
      </rPr>
      <t>t-2</t>
    </r>
  </si>
  <si>
    <r>
      <t xml:space="preserve">ITV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</si>
  <si>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</si>
  <si>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Revenue total for 2012/13 (SC 3A.11)</t>
  </si>
  <si>
    <t>EMR incentive revenue</t>
  </si>
  <si>
    <t>External Revenue Annual Summary</t>
  </si>
  <si>
    <t>Summary of External Costs by Scheme</t>
  </si>
  <si>
    <t>2013/14 Scheme Total</t>
  </si>
  <si>
    <t>2014/15 Scheme Total</t>
  </si>
  <si>
    <t>2015/16 Scheme Total</t>
  </si>
  <si>
    <t>2016/17 Scheme Total</t>
  </si>
  <si>
    <t>2017/18 Scheme Total</t>
  </si>
  <si>
    <t>2018/19 Scheme Total</t>
  </si>
  <si>
    <t>2019/20 Scheme Total</t>
  </si>
  <si>
    <t>2020/21 Scheme Total</t>
  </si>
  <si>
    <t>2012/13 Accounts</t>
  </si>
  <si>
    <t>2013/14 Accounts</t>
  </si>
  <si>
    <t>2014/15 Accounts</t>
  </si>
  <si>
    <t>2015/16 Accounts</t>
  </si>
  <si>
    <t>2016/17 Accounts</t>
  </si>
  <si>
    <t>2017/18 Accounts</t>
  </si>
  <si>
    <t>2018/19 Accounts</t>
  </si>
  <si>
    <t>2019/20 Accounts</t>
  </si>
  <si>
    <t>2020/21 Accounts</t>
  </si>
  <si>
    <t>2021/22 Accounts</t>
  </si>
  <si>
    <t>Cost of Licensee Bids and Offers in BM less non-delivery charges</t>
  </si>
  <si>
    <t>Non cash costs within BSCC for which income not received</t>
  </si>
  <si>
    <t>Revenue derived from new balancing services</t>
  </si>
  <si>
    <t>LBS</t>
  </si>
  <si>
    <t>Outage Change Allowance RPI True Up</t>
  </si>
  <si>
    <t>RPI Estimate</t>
  </si>
  <si>
    <t>2010/11 Scheme</t>
  </si>
  <si>
    <t>2011/12 Scheme</t>
  </si>
  <si>
    <t>2012/13 Scheme</t>
  </si>
  <si>
    <t>2013/14 Scheme</t>
  </si>
  <si>
    <t>2014/15 Scheme</t>
  </si>
  <si>
    <t>2015/16 Scheme</t>
  </si>
  <si>
    <t>2016/17 Scheme</t>
  </si>
  <si>
    <t>2017/18 Scheme</t>
  </si>
  <si>
    <t>2018/19 Scheme</t>
  </si>
  <si>
    <t>New Balancing Services</t>
  </si>
  <si>
    <t>(SC 4K.2)</t>
  </si>
  <si>
    <t>Total revenue deriving from DSBR</t>
  </si>
  <si>
    <t>DSBR</t>
  </si>
  <si>
    <t>Total revenue deriving from SBR</t>
  </si>
  <si>
    <t>SBR</t>
  </si>
  <si>
    <t>Tender Option Contracts</t>
  </si>
  <si>
    <t>TOC</t>
  </si>
  <si>
    <t>Revenue associated with procuring and using DSBR and SBR</t>
  </si>
  <si>
    <t>Demand Side Balancing Reserve</t>
  </si>
  <si>
    <t>DSBR Set Up Payments</t>
  </si>
  <si>
    <t>DSBRS</t>
  </si>
  <si>
    <t>Authority adjustments to DSBR Set Up Payments</t>
  </si>
  <si>
    <t>DSBRSA</t>
  </si>
  <si>
    <t>DSBR Administration Payments</t>
  </si>
  <si>
    <t>DSBRAd</t>
  </si>
  <si>
    <t>Authority adjustments to DSBR Administration Payments</t>
  </si>
  <si>
    <t>DSBRAdA</t>
  </si>
  <si>
    <t>DSBR Testing Payments</t>
  </si>
  <si>
    <t>DSBRT</t>
  </si>
  <si>
    <t>Authority adjustments to DSBR Testing Payments</t>
  </si>
  <si>
    <t>DSBR Utilisation Payments</t>
  </si>
  <si>
    <t>DSBRU</t>
  </si>
  <si>
    <t>Supplemental Balancing Reserve</t>
  </si>
  <si>
    <t>SBR Capability Payments</t>
  </si>
  <si>
    <t>SBRC</t>
  </si>
  <si>
    <t>Authority adjustments to SBR Capability Payments</t>
  </si>
  <si>
    <t>SBRCA</t>
  </si>
  <si>
    <t>SBR Testing Payments</t>
  </si>
  <si>
    <t>SBRT</t>
  </si>
  <si>
    <t>Authority adjustments to SBR Testing Payments</t>
  </si>
  <si>
    <t>SBRTA</t>
  </si>
  <si>
    <t>SBR Availability Payments</t>
  </si>
  <si>
    <t>SBRA</t>
  </si>
  <si>
    <t>SBR Utilisation Payments</t>
  </si>
  <si>
    <t>SBRU</t>
  </si>
  <si>
    <t>SBR Tender Option Contract Payments</t>
  </si>
  <si>
    <t>SBRTO</t>
  </si>
  <si>
    <t>Authority adjustments to SBR Tender Option Contract Payments</t>
  </si>
  <si>
    <t>SBRTOA</t>
  </si>
  <si>
    <t>DSBR Tender Option Contract Payments</t>
  </si>
  <si>
    <t>DSBRTO</t>
  </si>
  <si>
    <t>Authority adjustments to DSBR Tender Option Contract Payments</t>
  </si>
  <si>
    <t>DSBRTOA</t>
  </si>
  <si>
    <t>Revenue restriction on Tender Option Contract Payments</t>
  </si>
  <si>
    <t>TOCap</t>
  </si>
  <si>
    <t>R17 SO Balancing Services</t>
  </si>
  <si>
    <t>v1</t>
  </si>
  <si>
    <t>£m 09/10 prices</t>
  </si>
  <si>
    <t>Opening Base Revenue Allowance - TO (SC 3A Appendix 1)</t>
  </si>
  <si>
    <t>Opening Base Revenue Allowance - SO (SC 4A Appendix 1)</t>
  </si>
  <si>
    <t>Business Rates Allowance (SC 3B Appendix 1)</t>
  </si>
  <si>
    <t>Ofgem Licence Fee Allowance (SC 3B Appendix 2)</t>
  </si>
  <si>
    <t>Inter Transmission SO Compensation Calculation (SC 3B Appendix 3)</t>
  </si>
  <si>
    <t>Value of lost load per MWh (SC 3C.4)</t>
  </si>
  <si>
    <t>Loss of Supply Volume Target (SC 3C.4)</t>
  </si>
  <si>
    <t>Max Downside Adjustment (SC 3C.4)</t>
  </si>
  <si>
    <t>£/tonne 09/10 prices</t>
  </si>
  <si>
    <t>Non traded price of carbon (SC 3E.3)</t>
  </si>
  <si>
    <t>Totex Incentive Strength (SC 6C Appendix 1)</t>
  </si>
  <si>
    <t>Conversion Factor (SC 3E.3)</t>
  </si>
  <si>
    <t>Licensee's NIA Percentage (SC 3H Appendix 1)</t>
  </si>
  <si>
    <t>Pass Through Factor (SC 3H.6)</t>
  </si>
  <si>
    <t>Target Cost for Black Start (SC 4G.2)</t>
  </si>
  <si>
    <t>(SC 3J)</t>
  </si>
  <si>
    <t>EMR functions internal costs (SC 4A Appendix 2)</t>
  </si>
  <si>
    <t xml:space="preserve">Business rates payments </t>
  </si>
  <si>
    <t xml:space="preserve">Ofgem Licence fee payments </t>
  </si>
  <si>
    <t xml:space="preserve">Temporary physical disconnection </t>
  </si>
  <si>
    <t xml:space="preserve">Inter-transmission system SO compensation </t>
  </si>
  <si>
    <t xml:space="preserve">Environmental discretionary reward scheme - 3F </t>
  </si>
  <si>
    <t xml:space="preserve">Total Incentivised Energy not supplied </t>
  </si>
  <si>
    <t xml:space="preserve">Stakeholder satisfaction survey result </t>
  </si>
  <si>
    <t xml:space="preserve">Stakeholder engagement reward </t>
  </si>
  <si>
    <t xml:space="preserve">Customer satisfaction survey result </t>
  </si>
  <si>
    <t xml:space="preserve">Additional SF6 leakage </t>
  </si>
  <si>
    <t xml:space="preserve">Reduction from decommissioned assets </t>
  </si>
  <si>
    <t xml:space="preserve">Actual emissions </t>
  </si>
  <si>
    <t>Full year effect of previous year additions</t>
  </si>
  <si>
    <t>FYADD</t>
  </si>
  <si>
    <t>Full year effect of previous year disposals</t>
  </si>
  <si>
    <t>FYDSP</t>
  </si>
  <si>
    <t>Previous year base leakage</t>
  </si>
  <si>
    <t>Full year impact of previous year additions</t>
  </si>
  <si>
    <t>Full year impact of previous year disposals</t>
  </si>
  <si>
    <t>CTE/FYCTE</t>
  </si>
  <si>
    <t>SSSPRO</t>
  </si>
  <si>
    <t>Proportion</t>
  </si>
  <si>
    <t>Stakeholder Satisfaction Survey</t>
  </si>
  <si>
    <r>
      <t>SOI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= (SOPU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SOMOD</t>
    </r>
    <r>
      <rPr>
        <vertAlign val="subscript"/>
        <sz val="11"/>
        <color theme="1"/>
        <rFont val="Times New Roman"/>
        <family val="1"/>
      </rPr>
      <t xml:space="preserve">t </t>
    </r>
    <r>
      <rPr>
        <sz val="11"/>
        <color theme="1"/>
        <rFont val="Verdana"/>
        <family val="2"/>
      </rPr>
      <t>+ SOEMRINC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SOEMRCO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 xml:space="preserve"> + SOTRU</t>
    </r>
    <r>
      <rPr>
        <vertAlign val="subscript"/>
        <sz val="11"/>
        <color theme="1"/>
        <rFont val="Times New Roman"/>
        <family val="1"/>
      </rPr>
      <t>t</t>
    </r>
    <r>
      <rPr>
        <sz val="11"/>
        <color theme="1"/>
        <rFont val="Verdana"/>
        <family val="2"/>
      </rPr>
      <t>) x RPIF</t>
    </r>
    <r>
      <rPr>
        <vertAlign val="subscript"/>
        <sz val="11"/>
        <color theme="1"/>
        <rFont val="Times New Roman"/>
        <family val="1"/>
      </rPr>
      <t>t       </t>
    </r>
  </si>
  <si>
    <t>SOEMRINC</t>
  </si>
  <si>
    <t>(SC 4L)</t>
  </si>
  <si>
    <r>
      <t>SOEMRINC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DRI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DFA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DSR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</t>
    </r>
  </si>
  <si>
    <t>DRI</t>
  </si>
  <si>
    <t>DFA</t>
  </si>
  <si>
    <t>DSR</t>
  </si>
  <si>
    <t>CSSS</t>
  </si>
  <si>
    <t>Dispute Resolution Incentive</t>
  </si>
  <si>
    <t>Peak National Demand Forecasting Accuracy Incentive</t>
  </si>
  <si>
    <t xml:space="preserve">Demand Side Response Incentive </t>
  </si>
  <si>
    <t>Customer and Stakeholder Satisfaction Survey Incentive</t>
  </si>
  <si>
    <t>EMR Incentive Revenue</t>
  </si>
  <si>
    <t>EMR  Incentive Revenue</t>
  </si>
  <si>
    <r>
      <t>DFA</t>
    </r>
    <r>
      <rPr>
        <vertAlign val="subscript"/>
        <sz val="12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DFAA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+ DFAB</t>
    </r>
    <r>
      <rPr>
        <vertAlign val="subscript"/>
        <sz val="12"/>
        <color theme="1"/>
        <rFont val="Times New Roman"/>
        <family val="1"/>
      </rPr>
      <t xml:space="preserve"> t-2 </t>
    </r>
    <r>
      <rPr>
        <sz val="12"/>
        <color theme="1"/>
        <rFont val="Times New Roman"/>
        <family val="1"/>
      </rPr>
      <t>+ DFAC</t>
    </r>
    <r>
      <rPr>
        <vertAlign val="subscript"/>
        <sz val="12"/>
        <color theme="1"/>
        <rFont val="Times New Roman"/>
        <family val="1"/>
      </rPr>
      <t xml:space="preserve"> t-2</t>
    </r>
    <r>
      <rPr>
        <sz val="12"/>
        <color theme="1"/>
        <rFont val="Times New Roman"/>
        <family val="1"/>
      </rPr>
      <t xml:space="preserve"> </t>
    </r>
  </si>
  <si>
    <t>DFAA</t>
  </si>
  <si>
    <t>DFAB</t>
  </si>
  <si>
    <t>DFAC</t>
  </si>
  <si>
    <t>Incentive for Relevant year t-2 arising from the Peak National Demand Forecast made in year t-6</t>
  </si>
  <si>
    <t>Incentive for year t-2 arising from the Peak National Demand Forecast made in year t-3</t>
  </si>
  <si>
    <t>Incentive for year 2017/18 arising from the Peak National Demand Forecast made in year 2016/17</t>
  </si>
  <si>
    <r>
      <t>CSSS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CSSSCfD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CSSSCM</t>
    </r>
    <r>
      <rPr>
        <vertAlign val="subscript"/>
        <sz val="12"/>
        <color theme="1"/>
        <rFont val="Times New Roman"/>
        <family val="1"/>
      </rPr>
      <t>t</t>
    </r>
  </si>
  <si>
    <t>CSSSCM</t>
  </si>
  <si>
    <r>
      <t>CSSSCfD</t>
    </r>
    <r>
      <rPr>
        <vertAlign val="subscript"/>
        <sz val="12"/>
        <color theme="1"/>
        <rFont val="Times New Roman"/>
        <family val="1"/>
      </rPr>
      <t>t</t>
    </r>
  </si>
  <si>
    <t>Contracts for Difference (“CfD”) Customer and Stakeholder Satisfaction Survey Scores adjustment</t>
  </si>
  <si>
    <t>Capacity Market (“CM”) Customer and Stakeholder Satisfaction Survey Scores adjustment</t>
  </si>
  <si>
    <t>CSSS Calculation</t>
  </si>
  <si>
    <t>EMR Financial Incentives (SC 4L)</t>
  </si>
  <si>
    <t>TotAdj</t>
  </si>
  <si>
    <t>IncAdj</t>
  </si>
  <si>
    <t>Incentive adjustment</t>
  </si>
  <si>
    <t>- 2016-17 template set up for RIGS Consultation.
- Changed Cell C82 unit on R5 Input Page, from Score to £m.
- Changed order of NIA and NICF on tabs R8 and R12.
- Replaced SOEMRDRI with SOEMRINC as per SC 4L. i) SOEMRDRI deleted from tabs R5 &amp; R15; ii) SOEMRINC included in SOI &amp; SOREV formulae in tab R15; and ii) Added formulae for the SOEMRINC calculation to tab R15, and added relevant input rows to tab R5.
- Tab 16: Updated BXext formula as per SC 4C (ET replaced with TotAdj). Added an input row for the term IncAdj.</t>
  </si>
  <si>
    <t>Peak National Demand Actual</t>
  </si>
  <si>
    <t>PEAKA</t>
  </si>
  <si>
    <t>Peak National Demand Forecast t-6</t>
  </si>
  <si>
    <t>PEAK6</t>
  </si>
  <si>
    <t>Peak National Demand Forecast t-3</t>
  </si>
  <si>
    <t>PEAK3</t>
  </si>
  <si>
    <t>Peak National Demand t-6</t>
  </si>
  <si>
    <t>Peak National Demand t-3</t>
  </si>
  <si>
    <t>Difference between Peak National Demand observed in year t-2 and the Peak National Demand Forecast for year t-2 made in year t-6 expressed as an absolute percentage.</t>
  </si>
  <si>
    <t>DFEA</t>
  </si>
  <si>
    <t>Difference between Peak National Demand observed in year t-2 and the Peak National Demand Forecast for year t-2 made in year t-3 expressed as an absolute percentage.</t>
  </si>
  <si>
    <t>DFEB</t>
  </si>
  <si>
    <t>Difference between Peak National Demand observed in Relavant Year 2017/18 and the Peak National Demand Forecast for year 2017/18 made in year 2016/17 expressed as an absolute percentage</t>
  </si>
  <si>
    <t>DFEC</t>
  </si>
  <si>
    <t xml:space="preserve">Volume of DSR pre-qualifying for year ahead auction </t>
  </si>
  <si>
    <t>GW 3dp</t>
  </si>
  <si>
    <t>DSRpq</t>
  </si>
  <si>
    <t>Demand Side Response Incentive</t>
  </si>
  <si>
    <t>DSRC</t>
  </si>
  <si>
    <t>Volume of demand side reponse capacity target</t>
  </si>
  <si>
    <t>DSRT</t>
  </si>
  <si>
    <t>CfD customer and satisfaction survey score</t>
  </si>
  <si>
    <t>CfDS</t>
  </si>
  <si>
    <t>CfD customer and satisfaction survey deviation</t>
  </si>
  <si>
    <t>CfDSD</t>
  </si>
  <si>
    <t>CM customer and satisfaction survey score</t>
  </si>
  <si>
    <t>CMS</t>
  </si>
  <si>
    <t>CM customer and satisfaction survey deviation</t>
  </si>
  <si>
    <t>CMSD</t>
  </si>
  <si>
    <t>CfD customer and satisfaction survey cap</t>
  </si>
  <si>
    <t>CfDC</t>
  </si>
  <si>
    <t>CfDT</t>
  </si>
  <si>
    <t>CfD customer and satisfaction survey target</t>
  </si>
  <si>
    <t>CfDF</t>
  </si>
  <si>
    <t>CfD customer and satisfaction survey score incentive</t>
  </si>
  <si>
    <t>CSSSCfD</t>
  </si>
  <si>
    <t>£</t>
  </si>
  <si>
    <t>CM customer and satisfaction survey cap</t>
  </si>
  <si>
    <t>CMC</t>
  </si>
  <si>
    <t>CM customer and satisfaction survey floor</t>
  </si>
  <si>
    <t>CMT</t>
  </si>
  <si>
    <t>CM customer and satisfaction survey target</t>
  </si>
  <si>
    <t>CMF</t>
  </si>
  <si>
    <t>CM customer and satisfaction survey score incentive</t>
  </si>
  <si>
    <t>4.0.1</t>
  </si>
  <si>
    <t>Added the following for 16/17 in R5 input page:
- RPI Indices: 264.992
- GRPIFc 2016 row
- Average specified rate: 0.34%
- Corporation Tax Rate: 20%</t>
  </si>
  <si>
    <t>Consultation Decision</t>
  </si>
  <si>
    <t>Populated with historic data.</t>
  </si>
  <si>
    <t>(1)</t>
  </si>
  <si>
    <t>SF6 Emissions Incentive</t>
  </si>
  <si>
    <t>£m/MWh</t>
  </si>
  <si>
    <r>
      <t>SSS</t>
    </r>
    <r>
      <rPr>
        <sz val="10"/>
        <rFont val="Verdana"/>
        <family val="2"/>
      </rPr>
      <t xml:space="preserve">t-2 </t>
    </r>
    <r>
      <rPr>
        <sz val="12"/>
        <rFont val="Verdana"/>
        <family val="2"/>
      </rPr>
      <t>= (BR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+ TIRG</t>
    </r>
    <r>
      <rPr>
        <sz val="10"/>
        <rFont val="Verdana"/>
        <family val="2"/>
      </rPr>
      <t>t-2</t>
    </r>
    <r>
      <rPr>
        <sz val="12"/>
        <rFont val="Verdana"/>
        <family val="2"/>
      </rPr>
      <t>) x [(CSSAF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CSSPRO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 + (SSSAF</t>
    </r>
    <r>
      <rPr>
        <sz val="10"/>
        <rFont val="Verdana"/>
        <family val="2"/>
      </rPr>
      <t>t-2</t>
    </r>
    <r>
      <rPr>
        <sz val="12"/>
        <rFont val="Verdana"/>
        <family val="2"/>
      </rPr>
      <t xml:space="preserve"> x SSSPRO</t>
    </r>
    <r>
      <rPr>
        <sz val="10"/>
        <rFont val="Verdana"/>
        <family val="2"/>
      </rPr>
      <t>t-2</t>
    </r>
    <r>
      <rPr>
        <sz val="12"/>
        <rFont val="Verdana"/>
        <family val="2"/>
      </rPr>
      <t>)</t>
    </r>
  </si>
  <si>
    <t>AFFTIRGDEPN</t>
  </si>
  <si>
    <t>TIRGINCADJ</t>
  </si>
  <si>
    <t>CfD customer and satisfaction survey floor</t>
  </si>
  <si>
    <t>2012/13 Scheme Total (Indicative)</t>
  </si>
  <si>
    <t>2012/13 Scheme Total</t>
  </si>
  <si>
    <t>DSBRTA</t>
  </si>
  <si>
    <t>Customer Satisfaction Survey Target</t>
  </si>
  <si>
    <t>Stakeholder Satisfaction Survey Target</t>
  </si>
  <si>
    <t>SERLIMIT</t>
  </si>
  <si>
    <t>Preconstruction and contingency allowance</t>
  </si>
  <si>
    <t>Construction period allowance</t>
  </si>
  <si>
    <t>Incentive period allowance</t>
  </si>
  <si>
    <t>Actual annual revenue allowance</t>
  </si>
  <si>
    <t>Actual Annual Revenue Allowance</t>
  </si>
  <si>
    <t>Transmission investment revenue allowance</t>
  </si>
  <si>
    <t>Black Start Services Cost Allowance</t>
  </si>
  <si>
    <t>BSC</t>
  </si>
  <si>
    <t>FIIR</t>
  </si>
  <si>
    <t>Wind Generation and National Demand Forecasting Incentive</t>
  </si>
  <si>
    <t>SOTOC</t>
  </si>
  <si>
    <t>SO-TO Cost Allowance</t>
  </si>
  <si>
    <t>(SC 4C.11)</t>
  </si>
  <si>
    <t>Sharing Factors (4C.29)</t>
  </si>
  <si>
    <t>Target for balancing services (4C.29)</t>
  </si>
  <si>
    <t>(SC 4C.12)</t>
  </si>
  <si>
    <t>Balancing Services Offset (4C.29)</t>
  </si>
  <si>
    <t>Black Start Allowed Revenue</t>
  </si>
  <si>
    <t>(SC 4G.2)</t>
  </si>
  <si>
    <t>Black Start Total Costs</t>
  </si>
  <si>
    <t>BSTA</t>
  </si>
  <si>
    <t>Black Start Total Costs Adjustment</t>
  </si>
  <si>
    <t>WFI</t>
  </si>
  <si>
    <t>WUI</t>
  </si>
  <si>
    <t>D1FI</t>
  </si>
  <si>
    <t>D1UI</t>
  </si>
  <si>
    <t>D2FI</t>
  </si>
  <si>
    <t>D2UI</t>
  </si>
  <si>
    <t>D7FI</t>
  </si>
  <si>
    <t>D7UI</t>
  </si>
  <si>
    <t>Day Ahead Wind Generation Forecast Accuracy Incentive</t>
  </si>
  <si>
    <t>Day Ahead Wind Generation Unbiased Forecast Incentive</t>
  </si>
  <si>
    <t>Day Ahead National Demand Forecast Accuracy Incentive</t>
  </si>
  <si>
    <t>Day Ahead National Demand Unbiased Forecast Incentive</t>
  </si>
  <si>
    <t>Two-Day Ahead National Demand Forecast Accuracy Incentive</t>
  </si>
  <si>
    <t>Two-Day Ahead National Demand Unbiased Forecast Incentive</t>
  </si>
  <si>
    <t>Week Ahead National Demand Forecast Accuracy Incentive</t>
  </si>
  <si>
    <t>Week Ahead National Demand Unbiased Forecast Incentive</t>
  </si>
  <si>
    <t>SO-TO Mechanism</t>
  </si>
  <si>
    <t>(SC 4J.2)</t>
  </si>
  <si>
    <t>OC</t>
  </si>
  <si>
    <t>COS</t>
  </si>
  <si>
    <t>OCTRU</t>
  </si>
  <si>
    <t>JW</t>
  </si>
  <si>
    <t>OIPay</t>
  </si>
  <si>
    <t>Commercial Operational Services payments to SPTL/SHET</t>
  </si>
  <si>
    <t>Outage Changes payments to SPTL/SHET</t>
  </si>
  <si>
    <t>SO-TO Cost Allowance True-Up</t>
  </si>
  <si>
    <t>Outage Changes Cost Allowance True-Up</t>
  </si>
  <si>
    <t>cells containing formula</t>
  </si>
  <si>
    <t>Joint Works Projects payments to SPTL/SHET</t>
  </si>
  <si>
    <t>Outage Cost adjustments</t>
  </si>
  <si>
    <t>(SC 4J.3)</t>
  </si>
  <si>
    <t>SO-TO Cost Allowance RPI True Up</t>
  </si>
  <si>
    <t>(SC 4J.4)</t>
  </si>
  <si>
    <t>Outage Change Cost Allowance Calculation</t>
  </si>
  <si>
    <t>Check on ONTRU</t>
  </si>
  <si>
    <t>Source: RPIF Calculation</t>
  </si>
  <si>
    <t>Amended formulas in tab R15 SO Internal rows 98 and 105 as agreed with Amrita on 13 June 2017.</t>
  </si>
  <si>
    <t>Amended WACC value in cell I44 to M44 to 4.228 as agreed with Amrita Bhatt on 11 May 2017.</t>
  </si>
  <si>
    <t>Wind Generation Forecasting Incentive</t>
  </si>
  <si>
    <t>RFIIR</t>
  </si>
  <si>
    <t>Roll Out Value</t>
  </si>
  <si>
    <t>ROV</t>
  </si>
  <si>
    <t>Feasibility Studies</t>
  </si>
  <si>
    <t>BSFS</t>
  </si>
  <si>
    <t>Allowed Outage Cost Adjustment</t>
  </si>
  <si>
    <t>Until 2016/17:</t>
  </si>
  <si>
    <t>From 2017/18:</t>
  </si>
  <si>
    <t>TL</t>
  </si>
  <si>
    <t>Costs recovered - Feasibility Studies</t>
  </si>
  <si>
    <t>Notional cost of losses</t>
  </si>
  <si>
    <t>Sharing Factor</t>
  </si>
  <si>
    <t>Balancing Services (High)</t>
  </si>
  <si>
    <t>Balancing Services (Low)</t>
  </si>
  <si>
    <t>(SC 4C.30)</t>
  </si>
  <si>
    <r>
      <t>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SSO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SFI</t>
    </r>
    <r>
      <rPr>
        <vertAlign val="subscript"/>
        <sz val="12"/>
        <color theme="1"/>
        <rFont val="Times New Roman"/>
        <family val="1"/>
      </rPr>
      <t>t</t>
    </r>
    <r>
      <rPr>
        <u/>
        <vertAlign val="subscript"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+ EDR</t>
    </r>
    <r>
      <rPr>
        <vertAlign val="subscript"/>
        <sz val="12"/>
        <color theme="1"/>
        <rFont val="Times New Roman"/>
        <family val="1"/>
      </rPr>
      <t>t</t>
    </r>
  </si>
  <si>
    <t>v2</t>
  </si>
  <si>
    <t>- 2017-18 template set up for RIGS Consultation.
- Added the following for 17/18 in R5 input page:
    - RPI Indices: 274.056 (provisionary)    
    - GRPIFc 2017 row
    - MOD: -253.3
    - SOMOD: 9.2
    - WACC: 4.132%
    - Average specified rate: 0.35%
    - Corporation Tax Rate: 19%
- Tab 4: amended unit of measure labels in cell C22 (from "£m" to "£m 09/10 prices").
- Tab 4: amended unit of measure labels in cells C29, C30 and C35 (from "MW" to "MWh").
- Tab 5: amended 2019-2021 RPI indices in cells K11:M11 (assuming 2.8% inflation rate from final proposals).
- Tab 5: amended 2019-2021 WACC values in cells K44:M44 (source: 2017 AIP PCFM).
- Tab 5: amended 2015-2017 MOD (cells G25:I25) and SOMOD (cells G27:I27), by rounding to 1 d.p. figures from 2017 AIP PCFM.
- Tab 5: amended calculation of DIS and TS (rows 50 and 55 respectively), to use input values from year t-1, as per SC 3A.4. 
- Tab 8: amended unit of measure labels (cell C22 from "£/MWh" to "£m/MWh"; cell C24 from "Volume" to "MWh").
- Tab 9: deleted content of cells B35 and C35 (item label and unit of measure not applicable). 
- Tab 11: amended unit of measure labels in cell C57 (from "£m" to "index").
- Tab 11: item label "Inflation" replaced with "RPI Forecast" throughout sheet.
- Tab 12: corrected links for items DIS, TS (rows 15-16). Links selected data from previous year.
- Tab 13: modified formula in cell G53 to include all table items.
- Tab 15: modified formulae in rows 96, 101 and 103 in order to obtain figures rounded to 1 d.p., as per SC 4L.17.
- Tab 15: deleted content of cells J89:K89, H93:I93, J98:K98. This is to reflect that CfD surveys were not held in 2015/16 and 2016/17, hence the incentive is not applicable for years 2017/18 and 2018/19.</t>
  </si>
  <si>
    <t>- Restructuring Tab 16 to reflect modified SC 4C, 4G, 4H, 4J, 4K:
    - Added summary "Balancing External Cost" item (rows 12-14).
    - Split BXext calculation into "Until 2016/17" and "From 2017/18", created "From 2017/18"
       BXext calculation section (rows 20-52).
    - Added "Sharing Factor", "Balancing Serverices (High)" and "Balancing Serverices (Low)"
       items (rows 58-60). Split IncPayExt calculation into "Until 2016/17" and "From 2017/18",
       created "From 2017/18" IncPayExt calculation section (rows 62-76).
    - Amended calculation methodology of SF, MT, CB items (rows 63, 64, 66), to reflect 
       SC 4C.29: "=IF(IBC&lt;=ITC-100, ...)" replaced with "=IF(IBC&lt;ITC-100, ...)".  
    - Split "Cost of Incentivised Balancing Services" into "Until 2016/17" and "From 2017/18",
       created "From 2017/18 Cost of Incentivised Balancing Services" section (rows 81-105).
    - Split "Incentive Target Cost" calculation into "Until 2016/17" and "From 2017/18",
       created "From 2017/18 Incentive Target Cost" input item (rows 111-118).
    - Amended calculation of "Incentive Target Cost + 100" and "Incentive Target Cost - 100" for 
       2013, by adding and subtracting 100 as opposed to 205 (cells F84:G85 only).
    - Added "Black Start Allowed Revenue" calculation section (rows 138-142).
    - Added "Wind Generation Forecasting Incentive" calculation section (rows 145-158).
    - Added "SO-TO Mechanism" calculation section (rows 161-174).
    - Added "SO-TO Cost Allowance RPI True Up" calculation section (rows 177-184).
    - Inserted and updated "Outage Change Allowance RPI True Up" calculation section 
      (rows 187-194).
    - Inserted and updated "Outage Change Cost Allowance Calculation" section (rows 196-203).
- Tab 17: set LBS values to zero from year 2017/18 onwards (row 10), to reflect modified SC 4C.1, SC 4K and decision document dated 28 April 2017.
- Corrected typos, inserted missing item labels, units of measures and named ranges.</t>
  </si>
  <si>
    <t>v3</t>
  </si>
  <si>
    <t>- Tab 5: updated GRPIF value for 2018 in cell J21, reflecting revised HMT November 2017 forecast publication.</t>
  </si>
  <si>
    <t>v3.1</t>
  </si>
  <si>
    <t>- Tab 5: updated RPI value for 2018 in cell J11, reflecting finalised RPI index.</t>
  </si>
  <si>
    <t>v3.2</t>
  </si>
  <si>
    <t>Updated to reflect RPI, MOD and Interest rates</t>
  </si>
  <si>
    <t>Regulatory Year ending 31 March 2019</t>
  </si>
  <si>
    <t>From 2018/19:</t>
  </si>
  <si>
    <t>For 2017/18:</t>
  </si>
  <si>
    <t>Incentive payment (upto 2018/19)</t>
  </si>
  <si>
    <t>R14 - At top of R14 tab added "[Reported in RFPR, not required for 2018-19 reporting]"</t>
  </si>
  <si>
    <t>R12 Maximum allowed revenue summary</t>
  </si>
  <si>
    <t xml:space="preserve"> [Reported in RFPR, not required for 2018-19 reporting]</t>
  </si>
  <si>
    <t>Wind Generation Forecasting incentive - 2017/18 only</t>
  </si>
  <si>
    <t>Max Allowed Revenue</t>
  </si>
  <si>
    <t>v3.3</t>
  </si>
  <si>
    <t>Tab R10 Correction - The T-1 suffix label for Maximum Allowed Revenue has been removed</t>
  </si>
  <si>
    <t xml:space="preserve">Updated to reflect removal of BSIS scheme for 2018/19 onwards.  In Tab R16, FIIR, LBS and OIPay removed, and new rows inserted to reflect changed formulae for 18/19 onwards. New IncPayExt payment is now reflected in row 92.  In Tab R17, new Balancing Services conclude in 2017/18.  </t>
  </si>
  <si>
    <t>R5 and R9 - The formula for Allowable NIA now excludes BPC from 2018/19. Removed as an input from R5 and from NIA formulae in R9</t>
  </si>
  <si>
    <t>v3.4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</si>
</sst>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_-* #,##0_-;\-* #,##0_-;_-* &quot;-&quot;??_-;_-@_-"/>
    <numFmt numFmtId="168" formatCode="#,##0.000"/>
    <numFmt numFmtId="169" formatCode="0.000"/>
    <numFmt numFmtId="170" formatCode="#,##0.00;[Red]\-#,##0.00;0.00"/>
    <numFmt numFmtId="171" formatCode="#,##0.00;[Red]\-#,##0.00;\-"/>
    <numFmt numFmtId="172" formatCode="#,##0.000;[Red]\-#,##0.000;\-"/>
    <numFmt numFmtId="173" formatCode="0.0%"/>
    <numFmt numFmtId="174" formatCode="#,##0.000;[Red]\-#,##0.000;0.000"/>
    <numFmt numFmtId="175" formatCode="#,##0;[Red]\-#,##0;\-"/>
    <numFmt numFmtId="176" formatCode="_-* #,##0.0_-;\-* #,##0.0_-;_-* &quot;-&quot;??_-;_-@_-"/>
    <numFmt numFmtId="177" formatCode="#,##0.0;[Red]\-#,##0.0;\-"/>
    <numFmt numFmtId="178" formatCode="0.0"/>
    <numFmt numFmtId="179" formatCode="#,##0.0;[Red]\-#,##0.0;0.0"/>
    <numFmt numFmtId="180" formatCode="#,##0.000_ ;[Red]\-#,##0.000\ "/>
    <numFmt numFmtId="181" formatCode="#,##0.000_ ;\-#,##0.000\ "/>
    <numFmt numFmtId="182" formatCode="#,##0.0_ ;[Red]\-#,##0.0\ "/>
    <numFmt numFmtId="183" formatCode="_-* #,##0.000_-;\-* #,##0.000_-;_-* &quot;-&quot;???_-;_-@_-"/>
    <numFmt numFmtId="184" formatCode="0.000%"/>
    <numFmt numFmtId="185" formatCode="#,##0.000_);\(#,##0.000\);\-"/>
    <numFmt numFmtId="186" formatCode="0.00;\-0.00;\-"/>
    <numFmt numFmtId="187" formatCode="#,##0.00000000000000_ ;[Red]\-#,##0.00000000000000\ "/>
    <numFmt numFmtId="188" formatCode="#,##0.0000;[Red]\-#,##0.0000;0.0000"/>
    <numFmt numFmtId="189" formatCode="#,##0.0000;[Red]\-#,##0.0000;\-"/>
    <numFmt numFmtId="190" formatCode="_(* #,##0.000_);_(* \(#,##0.000\);_(* &quot;-&quot;??_);_(@_)"/>
    <numFmt numFmtId="191" formatCode="#,##0.00_ ;[Red]\-#,##0.00\ "/>
    <numFmt numFmtId="192" formatCode="_(&quot;£&quot;* #,##0_);_(&quot;£&quot;* \(#,##0\);_(&quot;£&quot;* &quot;-&quot;_);_(@_)"/>
    <numFmt numFmtId="193" formatCode="_(* #,##0_);_(* \(#,##0\);_(* &quot;-&quot;_);_(@_)"/>
    <numFmt numFmtId="194" formatCode="_(&quot;£&quot;* #,##0.00_);_(&quot;£&quot;* \(#,##0.00\);_(&quot;£&quot;* &quot;-&quot;??_);_(@_)"/>
    <numFmt numFmtId="195" formatCode="_-[$€-2]* #,##0.00_-;\-[$€-2]* #,##0.00_-;_-[$€-2]* &quot;-&quot;??_-"/>
    <numFmt numFmtId="196" formatCode="#,##0;\(#,##0\)"/>
    <numFmt numFmtId="197" formatCode="#,##0_);\(#,##0\)"/>
    <numFmt numFmtId="198" formatCode="d\-mmm\-yyyy"/>
    <numFmt numFmtId="199" formatCode="_(* #,##0.0000_);_(* \(#,##0.0000\);_(* &quot;-&quot;??_);_(@_)"/>
    <numFmt numFmtId="200" formatCode="_(* #,##0_);_(* \(#,##0\);_(* &quot;-&quot;??_);_(@_)"/>
    <numFmt numFmtId="201" formatCode="0.0000000"/>
    <numFmt numFmtId="202" formatCode="_(* #,##0.000000_);_(* \(#,##0.000000\);_(* &quot;-&quot;??_);_(@_)"/>
    <numFmt numFmtId="203" formatCode="_(* #,##0.0000000_);_(* \(#,##0.0000000\);_(* &quot;-&quot;??_);_(@_)"/>
    <numFmt numFmtId="204" formatCode="[$$-409]#,##0.00"/>
    <numFmt numFmtId="205" formatCode="_(* #,##0.0_);_(* \(#,##0.0\);_(* &quot;-&quot;??_);_(@_)"/>
    <numFmt numFmtId="206" formatCode="#,##0.0"/>
  </numFmts>
  <fonts count="156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vertAlign val="subscript"/>
      <sz val="10"/>
      <color rgb="FFFF0000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u/>
      <vertAlign val="subscript"/>
      <sz val="12"/>
      <color rgb="FF008080"/>
      <name val="Times New Roman"/>
      <family val="1"/>
    </font>
    <font>
      <sz val="11"/>
      <color rgb="FFFF0000"/>
      <name val="Arial"/>
      <family val="2"/>
    </font>
    <font>
      <b/>
      <u/>
      <sz val="11"/>
      <name val="Verdana"/>
      <family val="2"/>
    </font>
    <font>
      <sz val="10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name val="CG Omega"/>
      <family val="2"/>
    </font>
    <font>
      <sz val="10"/>
      <color rgb="FF00B0F0"/>
      <name val="Verdana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i/>
      <u/>
      <sz val="10"/>
      <name val="Verdana"/>
      <family val="2"/>
    </font>
    <font>
      <vertAlign val="subscript"/>
      <sz val="10"/>
      <name val="Verdana"/>
      <family val="2"/>
    </font>
    <font>
      <i/>
      <sz val="9"/>
      <color indexed="10"/>
      <name val="Arial"/>
      <family val="2"/>
    </font>
    <font>
      <i/>
      <sz val="11"/>
      <name val="Arial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vertAlign val="subscript"/>
      <sz val="10"/>
      <name val="Verdana"/>
      <family val="2"/>
    </font>
    <font>
      <b/>
      <sz val="11"/>
      <name val="Calibri"/>
      <family val="2"/>
      <scheme val="minor"/>
    </font>
    <font>
      <sz val="6"/>
      <name val="Verdana"/>
      <family val="2"/>
    </font>
    <font>
      <b/>
      <sz val="10"/>
      <name val="Arial"/>
      <family val="2"/>
    </font>
    <font>
      <sz val="11"/>
      <color rgb="FFFF0000"/>
      <name val="Verdana"/>
      <family val="2"/>
    </font>
    <font>
      <b/>
      <sz val="9"/>
      <color indexed="8"/>
      <name val="Verdana"/>
      <family val="2"/>
    </font>
    <font>
      <sz val="8"/>
      <name val="Verdana"/>
      <family val="2"/>
    </font>
    <font>
      <sz val="10"/>
      <color rgb="FFFF33CC"/>
      <name val="Verdana"/>
      <family val="2"/>
    </font>
    <font>
      <b/>
      <sz val="11"/>
      <color theme="1"/>
      <name val="Times New Roman"/>
      <family val="1"/>
    </font>
    <font>
      <b/>
      <sz val="9"/>
      <name val="Verdana"/>
      <family val="2"/>
    </font>
    <font>
      <b/>
      <sz val="8"/>
      <color theme="1"/>
      <name val="Verdana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i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Helv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NewsGoth Lt BT"/>
      <family val="2"/>
    </font>
    <font>
      <sz val="12"/>
      <name val="Verdana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5">
    <xf numFmtId="0" fontId="0" fillId="0" borderId="0"/>
    <xf numFmtId="0" fontId="5" fillId="0" borderId="0"/>
    <xf numFmtId="0" fontId="6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/>
    <xf numFmtId="0" fontId="30" fillId="0" borderId="0"/>
    <xf numFmtId="9" fontId="31" fillId="0" borderId="0" applyFont="0" applyFill="0" applyBorder="0" applyAlignment="0" applyProtection="0"/>
    <xf numFmtId="4" fontId="32" fillId="17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5" fillId="0" borderId="0"/>
    <xf numFmtId="0" fontId="5" fillId="0" borderId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64" fillId="0" borderId="0"/>
    <xf numFmtId="0" fontId="67" fillId="0" borderId="0"/>
    <xf numFmtId="0" fontId="67" fillId="0" borderId="0"/>
    <xf numFmtId="164" fontId="6" fillId="0" borderId="0" applyFont="0" applyFill="0" applyBorder="0" applyAlignment="0" applyProtection="0"/>
    <xf numFmtId="0" fontId="5" fillId="0" borderId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3" borderId="0" applyNumberFormat="0" applyBorder="0" applyAlignment="0" applyProtection="0"/>
    <xf numFmtId="0" fontId="34" fillId="32" borderId="0" applyNumberFormat="0" applyBorder="0" applyAlignment="0" applyProtection="0"/>
    <xf numFmtId="0" fontId="34" fillId="31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78" borderId="0" applyNumberFormat="0" applyBorder="0" applyAlignment="0" applyProtection="0"/>
    <xf numFmtId="0" fontId="34" fillId="30" borderId="0" applyNumberFormat="0" applyBorder="0" applyAlignment="0" applyProtection="0"/>
    <xf numFmtId="0" fontId="34" fillId="79" borderId="0" applyNumberFormat="0" applyBorder="0" applyAlignment="0" applyProtection="0"/>
    <xf numFmtId="0" fontId="104" fillId="30" borderId="0" applyNumberFormat="0" applyBorder="0" applyAlignment="0" applyProtection="0"/>
    <xf numFmtId="0" fontId="104" fillId="20" borderId="0" applyNumberFormat="0" applyBorder="0" applyAlignment="0" applyProtection="0"/>
    <xf numFmtId="0" fontId="104" fillId="25" borderId="0" applyNumberFormat="0" applyBorder="0" applyAlignment="0" applyProtection="0"/>
    <xf numFmtId="0" fontId="104" fillId="78" borderId="0" applyNumberFormat="0" applyBorder="0" applyAlignment="0" applyProtection="0"/>
    <xf numFmtId="0" fontId="104" fillId="30" borderId="0" applyNumberFormat="0" applyBorder="0" applyAlignment="0" applyProtection="0"/>
    <xf numFmtId="0" fontId="104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105" fillId="7" borderId="0" applyNumberFormat="0" applyBorder="0" applyAlignment="0" applyProtection="0"/>
    <xf numFmtId="0" fontId="106" fillId="85" borderId="30" applyNumberFormat="0" applyAlignment="0" applyProtection="0"/>
    <xf numFmtId="0" fontId="107" fillId="8" borderId="31" applyNumberFormat="0" applyAlignment="0" applyProtection="0"/>
    <xf numFmtId="0" fontId="108" fillId="0" borderId="0" applyNumberFormat="0" applyFill="0" applyBorder="0" applyAlignment="0" applyProtection="0"/>
    <xf numFmtId="0" fontId="109" fillId="86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0" applyNumberFormat="0" applyAlignment="0" applyProtection="0"/>
    <xf numFmtId="0" fontId="114" fillId="0" borderId="35" applyNumberFormat="0" applyFill="0" applyAlignment="0" applyProtection="0"/>
    <xf numFmtId="0" fontId="115" fillId="13" borderId="0" applyNumberFormat="0" applyBorder="0" applyAlignment="0" applyProtection="0"/>
    <xf numFmtId="0" fontId="5" fillId="12" borderId="36" applyNumberFormat="0" applyFont="0" applyAlignment="0" applyProtection="0"/>
    <xf numFmtId="0" fontId="116" fillId="85" borderId="37" applyNumberFormat="0" applyAlignment="0" applyProtection="0"/>
    <xf numFmtId="0" fontId="27" fillId="84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38" applyNumberFormat="0" applyFill="0" applyAlignment="0" applyProtection="0"/>
    <xf numFmtId="0" fontId="117" fillId="0" borderId="0" applyNumberFormat="0" applyFill="0" applyBorder="0" applyAlignment="0" applyProtection="0"/>
    <xf numFmtId="0" fontId="3" fillId="0" borderId="0"/>
    <xf numFmtId="4" fontId="34" fillId="29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0" fontId="118" fillId="30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4" fontId="118" fillId="0" borderId="39" applyNumberFormat="0" applyProtection="0">
      <alignment horizontal="right" vertical="center"/>
    </xf>
    <xf numFmtId="0" fontId="5" fillId="0" borderId="0"/>
    <xf numFmtId="0" fontId="5" fillId="0" borderId="0"/>
    <xf numFmtId="0" fontId="118" fillId="91" borderId="0"/>
    <xf numFmtId="0" fontId="27" fillId="80" borderId="0" applyNumberFormat="0" applyBorder="0" applyAlignment="0" applyProtection="0"/>
    <xf numFmtId="0" fontId="26" fillId="92" borderId="0" applyNumberFormat="0" applyBorder="0" applyAlignment="0" applyProtection="0"/>
    <xf numFmtId="0" fontId="26" fillId="11" borderId="0" applyNumberFormat="0" applyBorder="0" applyAlignment="0" applyProtection="0"/>
    <xf numFmtId="0" fontId="27" fillId="93" borderId="0" applyNumberFormat="0" applyBorder="0" applyAlignment="0" applyProtection="0"/>
    <xf numFmtId="0" fontId="27" fillId="81" borderId="0" applyNumberFormat="0" applyBorder="0" applyAlignment="0" applyProtection="0"/>
    <xf numFmtId="0" fontId="26" fillId="94" borderId="0" applyNumberFormat="0" applyBorder="0" applyAlignment="0" applyProtection="0"/>
    <xf numFmtId="0" fontId="26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6" fillId="94" borderId="0" applyNumberFormat="0" applyBorder="0" applyAlignment="0" applyProtection="0"/>
    <xf numFmtId="0" fontId="26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3" borderId="0" applyNumberFormat="0" applyBorder="0" applyAlignment="0" applyProtection="0"/>
    <xf numFmtId="0" fontId="26" fillId="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6" fillId="13" borderId="0" applyNumberFormat="0" applyBorder="0" applyAlignment="0" applyProtection="0"/>
    <xf numFmtId="0" fontId="27" fillId="101" borderId="0" applyNumberFormat="0" applyBorder="0" applyAlignment="0" applyProtection="0"/>
    <xf numFmtId="0" fontId="126" fillId="12" borderId="0" applyNumberFormat="0" applyBorder="0" applyAlignment="0" applyProtection="0"/>
    <xf numFmtId="0" fontId="127" fillId="102" borderId="39" applyNumberFormat="0" applyAlignment="0" applyProtection="0"/>
    <xf numFmtId="0" fontId="107" fillId="99" borderId="31" applyNumberFormat="0" applyAlignment="0" applyProtection="0"/>
    <xf numFmtId="0" fontId="28" fillId="103" borderId="0" applyNumberFormat="0" applyBorder="0" applyAlignment="0" applyProtection="0"/>
    <xf numFmtId="0" fontId="28" fillId="104" borderId="0" applyNumberFormat="0" applyBorder="0" applyAlignment="0" applyProtection="0"/>
    <xf numFmtId="0" fontId="26" fillId="97" borderId="0" applyNumberFormat="0" applyBorder="0" applyAlignment="0" applyProtection="0"/>
    <xf numFmtId="0" fontId="110" fillId="0" borderId="32" applyNumberFormat="0" applyFill="0" applyAlignment="0" applyProtection="0"/>
    <xf numFmtId="0" fontId="111" fillId="0" borderId="40" applyNumberFormat="0" applyFill="0" applyAlignment="0" applyProtection="0"/>
    <xf numFmtId="0" fontId="112" fillId="0" borderId="41" applyNumberFormat="0" applyFill="0" applyAlignment="0" applyProtection="0"/>
    <xf numFmtId="0" fontId="112" fillId="0" borderId="0" applyNumberFormat="0" applyFill="0" applyBorder="0" applyAlignment="0" applyProtection="0"/>
    <xf numFmtId="0" fontId="113" fillId="13" borderId="39" applyNumberFormat="0" applyAlignment="0" applyProtection="0"/>
    <xf numFmtId="0" fontId="109" fillId="0" borderId="42" applyNumberFormat="0" applyFill="0" applyAlignment="0" applyProtection="0"/>
    <xf numFmtId="0" fontId="109" fillId="13" borderId="0" applyNumberFormat="0" applyBorder="0" applyAlignment="0" applyProtection="0"/>
    <xf numFmtId="0" fontId="118" fillId="12" borderId="39" applyNumberFormat="0" applyFont="0" applyAlignment="0" applyProtection="0"/>
    <xf numFmtId="0" fontId="116" fillId="102" borderId="37" applyNumberFormat="0" applyAlignment="0" applyProtection="0"/>
    <xf numFmtId="4" fontId="118" fillId="17" borderId="39" applyNumberFormat="0" applyProtection="0">
      <alignment vertical="center"/>
    </xf>
    <xf numFmtId="4" fontId="129" fillId="105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0" fontId="123" fillId="17" borderId="8" applyNumberFormat="0" applyProtection="0">
      <alignment horizontal="left" vertical="top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118" fillId="32" borderId="44" applyNumberFormat="0">
      <protection locked="0"/>
    </xf>
    <xf numFmtId="0" fontId="121" fillId="30" borderId="45" applyBorder="0"/>
    <xf numFmtId="4" fontId="122" fillId="33" borderId="8" applyNumberFormat="0" applyProtection="0">
      <alignment vertical="center"/>
    </xf>
    <xf numFmtId="4" fontId="129" fillId="37" borderId="1" applyNumberFormat="0" applyProtection="0">
      <alignment vertical="center"/>
    </xf>
    <xf numFmtId="4" fontId="122" fillId="78" borderId="8" applyNumberFormat="0" applyProtection="0">
      <alignment horizontal="left" vertical="center" indent="1"/>
    </xf>
    <xf numFmtId="0" fontId="122" fillId="33" borderId="8" applyNumberFormat="0" applyProtection="0">
      <alignment horizontal="left" vertical="top" indent="1"/>
    </xf>
    <xf numFmtId="4" fontId="129" fillId="36" borderId="39" applyNumberFormat="0" applyProtection="0">
      <alignment horizontal="right" vertical="center"/>
    </xf>
    <xf numFmtId="0" fontId="122" fillId="18" borderId="8" applyNumberFormat="0" applyProtection="0">
      <alignment horizontal="left" vertical="top" indent="1"/>
    </xf>
    <xf numFmtId="4" fontId="124" fillId="34" borderId="43" applyNumberFormat="0" applyProtection="0">
      <alignment horizontal="left" vertical="center" indent="1"/>
    </xf>
    <xf numFmtId="0" fontId="118" fillId="108" borderId="1"/>
    <xf numFmtId="4" fontId="125" fillId="32" borderId="39" applyNumberFormat="0" applyProtection="0">
      <alignment horizontal="right" vertical="center"/>
    </xf>
    <xf numFmtId="0" fontId="28" fillId="0" borderId="38" applyNumberFormat="0" applyFill="0" applyAlignment="0" applyProtection="0"/>
    <xf numFmtId="0" fontId="128" fillId="0" borderId="0" applyNumberFormat="0" applyFill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27" fillId="100" borderId="0" applyNumberFormat="0" applyBorder="0" applyAlignment="0" applyProtection="0"/>
    <xf numFmtId="0" fontId="27" fillId="93" borderId="0" applyNumberFormat="0" applyBorder="0" applyAlignment="0" applyProtection="0"/>
    <xf numFmtId="0" fontId="27" fillId="99" borderId="0" applyNumberFormat="0" applyBorder="0" applyAlignment="0" applyProtection="0"/>
    <xf numFmtId="0" fontId="27" fillId="95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95" borderId="0" applyNumberFormat="0" applyBorder="0" applyAlignment="0" applyProtection="0"/>
    <xf numFmtId="0" fontId="27" fillId="99" borderId="0" applyNumberFormat="0" applyBorder="0" applyAlignment="0" applyProtection="0"/>
    <xf numFmtId="0" fontId="27" fillId="93" borderId="0" applyNumberFormat="0" applyBorder="0" applyAlignment="0" applyProtection="0"/>
    <xf numFmtId="0" fontId="27" fillId="100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8" fillId="91" borderId="0"/>
    <xf numFmtId="0" fontId="5" fillId="0" borderId="0"/>
    <xf numFmtId="9" fontId="5" fillId="0" borderId="0" applyFont="0" applyFill="0" applyBorder="0" applyAlignment="0" applyProtection="0"/>
    <xf numFmtId="0" fontId="26" fillId="113" borderId="0" applyNumberFormat="0" applyBorder="0" applyAlignment="0" applyProtection="0"/>
    <xf numFmtId="0" fontId="34" fillId="18" borderId="0" applyNumberFormat="0" applyBorder="0" applyAlignment="0" applyProtection="0"/>
    <xf numFmtId="0" fontId="26" fillId="110" borderId="0" applyNumberFormat="0" applyBorder="0" applyAlignment="0" applyProtection="0"/>
    <xf numFmtId="0" fontId="133" fillId="0" borderId="0"/>
    <xf numFmtId="0" fontId="5" fillId="0" borderId="0"/>
    <xf numFmtId="9" fontId="5" fillId="0" borderId="0" applyFont="0" applyFill="0" applyBorder="0" applyAlignment="0" applyProtection="0"/>
    <xf numFmtId="0" fontId="34" fillId="30" borderId="0" applyNumberFormat="0" applyBorder="0" applyAlignment="0" applyProtection="0"/>
    <xf numFmtId="0" fontId="26" fillId="78" borderId="0" applyNumberFormat="0" applyBorder="0" applyAlignment="0" applyProtection="0"/>
    <xf numFmtId="0" fontId="34" fillId="78" borderId="0" applyNumberFormat="0" applyBorder="0" applyAlignment="0" applyProtection="0"/>
    <xf numFmtId="0" fontId="27" fillId="118" borderId="0" applyNumberFormat="0" applyBorder="0" applyAlignment="0" applyProtection="0"/>
    <xf numFmtId="0" fontId="26" fillId="6" borderId="0" applyNumberFormat="0" applyBorder="0" applyAlignment="0" applyProtection="0"/>
    <xf numFmtId="0" fontId="27" fillId="81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104" fillId="3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04" fillId="22" borderId="0" applyNumberFormat="0" applyBorder="0" applyAlignment="0" applyProtection="0"/>
    <xf numFmtId="0" fontId="27" fillId="117" borderId="0" applyNumberFormat="0" applyBorder="0" applyAlignment="0" applyProtection="0"/>
    <xf numFmtId="0" fontId="104" fillId="115" borderId="0" applyNumberFormat="0" applyBorder="0" applyAlignment="0" applyProtection="0"/>
    <xf numFmtId="0" fontId="104" fillId="78" borderId="0" applyNumberFormat="0" applyBorder="0" applyAlignment="0" applyProtection="0"/>
    <xf numFmtId="0" fontId="104" fillId="78" borderId="0" applyNumberFormat="0" applyBorder="0" applyAlignment="0" applyProtection="0"/>
    <xf numFmtId="0" fontId="104" fillId="20" borderId="0" applyNumberFormat="0" applyBorder="0" applyAlignment="0" applyProtection="0"/>
    <xf numFmtId="0" fontId="27" fillId="27" borderId="0" applyNumberFormat="0" applyBorder="0" applyAlignment="0" applyProtection="0"/>
    <xf numFmtId="0" fontId="104" fillId="25" borderId="0" applyNumberFormat="0" applyBorder="0" applyAlignment="0" applyProtection="0"/>
    <xf numFmtId="0" fontId="104" fillId="20" borderId="0" applyNumberFormat="0" applyBorder="0" applyAlignment="0" applyProtection="0"/>
    <xf numFmtId="0" fontId="27" fillId="116" borderId="0" applyNumberFormat="0" applyBorder="0" applyAlignment="0" applyProtection="0"/>
    <xf numFmtId="0" fontId="104" fillId="30" borderId="0" applyNumberFormat="0" applyBorder="0" applyAlignment="0" applyProtection="0"/>
    <xf numFmtId="0" fontId="104" fillId="30" borderId="0" applyNumberFormat="0" applyBorder="0" applyAlignment="0" applyProtection="0"/>
    <xf numFmtId="0" fontId="27" fillId="116" borderId="0" applyNumberFormat="0" applyBorder="0" applyAlignment="0" applyProtection="0"/>
    <xf numFmtId="0" fontId="34" fillId="7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26" fillId="112" borderId="0" applyNumberFormat="0" applyBorder="0" applyAlignment="0" applyProtection="0"/>
    <xf numFmtId="0" fontId="26" fillId="112" borderId="0" applyNumberFormat="0" applyBorder="0" applyAlignment="0" applyProtection="0"/>
    <xf numFmtId="0" fontId="34" fillId="114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4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111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110" borderId="0" applyNumberFormat="0" applyBorder="0" applyAlignment="0" applyProtection="0"/>
    <xf numFmtId="0" fontId="34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6" fillId="109" borderId="0" applyNumberFormat="0" applyBorder="0" applyAlignment="0" applyProtection="0"/>
    <xf numFmtId="0" fontId="26" fillId="109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5" fillId="0" borderId="0"/>
    <xf numFmtId="0" fontId="148" fillId="0" borderId="0"/>
    <xf numFmtId="0" fontId="5" fillId="0" borderId="0"/>
    <xf numFmtId="0" fontId="133" fillId="0" borderId="0"/>
    <xf numFmtId="0" fontId="133" fillId="0" borderId="0"/>
    <xf numFmtId="0" fontId="133" fillId="0" borderId="0"/>
    <xf numFmtId="0" fontId="5" fillId="0" borderId="0" applyFont="0" applyFill="0" applyBorder="0" applyAlignment="0" applyProtection="0"/>
    <xf numFmtId="0" fontId="5" fillId="0" borderId="0"/>
    <xf numFmtId="0" fontId="27" fillId="118" borderId="0" applyNumberFormat="0" applyBorder="0" applyAlignment="0" applyProtection="0"/>
    <xf numFmtId="0" fontId="27" fillId="80" borderId="0" applyNumberFormat="0" applyBorder="0" applyAlignment="0" applyProtection="0"/>
    <xf numFmtId="0" fontId="104" fillId="30" borderId="0" applyNumberFormat="0" applyBorder="0" applyAlignment="0" applyProtection="0"/>
    <xf numFmtId="0" fontId="27" fillId="117" borderId="0" applyNumberFormat="0" applyBorder="0" applyAlignment="0" applyProtection="0"/>
    <xf numFmtId="0" fontId="27" fillId="20" borderId="0" applyNumberFormat="0" applyBorder="0" applyAlignment="0" applyProtection="0"/>
    <xf numFmtId="0" fontId="104" fillId="115" borderId="0" applyNumberFormat="0" applyBorder="0" applyAlignment="0" applyProtection="0"/>
    <xf numFmtId="0" fontId="26" fillId="22" borderId="0" applyNumberFormat="0" applyBorder="0" applyAlignment="0" applyProtection="0"/>
    <xf numFmtId="0" fontId="27" fillId="20" borderId="0" applyNumberFormat="0" applyBorder="0" applyAlignment="0" applyProtection="0"/>
    <xf numFmtId="0" fontId="104" fillId="114" borderId="0" applyNumberFormat="0" applyBorder="0" applyAlignment="0" applyProtection="0"/>
    <xf numFmtId="0" fontId="27" fillId="90" borderId="0" applyNumberFormat="0" applyBorder="0" applyAlignment="0" applyProtection="0"/>
    <xf numFmtId="0" fontId="104" fillId="79" borderId="0" applyNumberFormat="0" applyBorder="0" applyAlignment="0" applyProtection="0"/>
    <xf numFmtId="0" fontId="27" fillId="5" borderId="0" applyNumberFormat="0" applyBorder="0" applyAlignment="0" applyProtection="0"/>
    <xf numFmtId="0" fontId="34" fillId="25" borderId="0" applyNumberFormat="0" applyBorder="0" applyAlignment="0" applyProtection="0"/>
    <xf numFmtId="0" fontId="26" fillId="113" borderId="0" applyNumberFormat="0" applyBorder="0" applyAlignment="0" applyProtection="0"/>
    <xf numFmtId="0" fontId="34" fillId="19" borderId="0" applyNumberFormat="0" applyBorder="0" applyAlignment="0" applyProtection="0"/>
    <xf numFmtId="0" fontId="104" fillId="79" borderId="0" applyNumberFormat="0" applyBorder="0" applyAlignment="0" applyProtection="0"/>
    <xf numFmtId="0" fontId="27" fillId="90" borderId="0" applyNumberFormat="0" applyBorder="0" applyAlignment="0" applyProtection="0"/>
    <xf numFmtId="0" fontId="27" fillId="27" borderId="0" applyNumberFormat="0" applyBorder="0" applyAlignment="0" applyProtection="0"/>
    <xf numFmtId="0" fontId="104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7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112" borderId="0" applyNumberFormat="0" applyBorder="0" applyAlignment="0" applyProtection="0"/>
    <xf numFmtId="0" fontId="34" fillId="32" borderId="0" applyNumberFormat="0" applyBorder="0" applyAlignment="0" applyProtection="0"/>
    <xf numFmtId="0" fontId="34" fillId="30" borderId="0" applyNumberFormat="0" applyBorder="0" applyAlignment="0" applyProtection="0"/>
    <xf numFmtId="0" fontId="34" fillId="20" borderId="0" applyNumberFormat="0" applyBorder="0" applyAlignment="0" applyProtection="0"/>
    <xf numFmtId="0" fontId="34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79" borderId="0" applyNumberFormat="0" applyBorder="0" applyAlignment="0" applyProtection="0"/>
    <xf numFmtId="0" fontId="34" fillId="32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9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117" borderId="0" applyNumberFormat="0" applyBorder="0" applyAlignment="0" applyProtection="0"/>
    <xf numFmtId="0" fontId="27" fillId="117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7" fillId="9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90" borderId="0" applyNumberFormat="0" applyBorder="0" applyAlignment="0" applyProtection="0"/>
    <xf numFmtId="0" fontId="27" fillId="90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7" fillId="100" borderId="0" applyNumberFormat="0" applyBorder="0" applyAlignment="0" applyProtection="0"/>
    <xf numFmtId="0" fontId="26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134" fillId="19" borderId="0" applyNumberFormat="0" applyBorder="0" applyAlignment="0" applyProtection="0"/>
    <xf numFmtId="0" fontId="134" fillId="19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35" fillId="78" borderId="30" applyNumberFormat="0" applyAlignment="0" applyProtection="0"/>
    <xf numFmtId="0" fontId="135" fillId="78" borderId="30" applyNumberFormat="0" applyAlignment="0" applyProtection="0"/>
    <xf numFmtId="0" fontId="106" fillId="85" borderId="30" applyNumberFormat="0" applyAlignment="0" applyProtection="0"/>
    <xf numFmtId="0" fontId="106" fillId="85" borderId="30" applyNumberFormat="0" applyAlignment="0" applyProtection="0"/>
    <xf numFmtId="0" fontId="107" fillId="119" borderId="31" applyNumberFormat="0" applyAlignment="0" applyProtection="0"/>
    <xf numFmtId="0" fontId="107" fillId="119" borderId="31" applyNumberFormat="0" applyAlignment="0" applyProtection="0"/>
    <xf numFmtId="0" fontId="107" fillId="8" borderId="31" applyNumberFormat="0" applyAlignment="0" applyProtection="0"/>
    <xf numFmtId="0" fontId="107" fillId="8" borderId="31" applyNumberFormat="0" applyAlignment="0" applyProtection="0"/>
    <xf numFmtId="197" fontId="80" fillId="0" borderId="7">
      <alignment horizontal="center"/>
    </xf>
    <xf numFmtId="197" fontId="80" fillId="0" borderId="0">
      <alignment horizontal="center" vertical="center" wrapText="1"/>
    </xf>
    <xf numFmtId="164" fontId="5" fillId="0" borderId="0" applyFont="0" applyFill="0" applyBorder="0" applyAlignment="0" applyProtection="0"/>
    <xf numFmtId="0" fontId="5" fillId="0" borderId="0" applyNumberFormat="0" applyFont="0" applyBorder="0" applyAlignment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4" fontId="3" fillId="0" borderId="0" applyFont="0" applyFill="0" applyBorder="0" applyAlignment="0" applyProtection="0"/>
    <xf numFmtId="198" fontId="5" fillId="0" borderId="0" applyFill="0" applyBorder="0"/>
    <xf numFmtId="198" fontId="5" fillId="0" borderId="0" applyFill="0" applyBorder="0"/>
    <xf numFmtId="198" fontId="5" fillId="0" borderId="0" applyFill="0" applyBorder="0"/>
    <xf numFmtId="19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131" fillId="0" borderId="14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110" borderId="0" applyNumberFormat="0" applyBorder="0" applyAlignment="0" applyProtection="0"/>
    <xf numFmtId="0" fontId="109" fillId="110" borderId="0" applyNumberFormat="0" applyBorder="0" applyAlignment="0" applyProtection="0"/>
    <xf numFmtId="0" fontId="109" fillId="86" borderId="0" applyNumberFormat="0" applyBorder="0" applyAlignment="0" applyProtection="0"/>
    <xf numFmtId="0" fontId="109" fillId="86" borderId="0" applyNumberFormat="0" applyBorder="0" applyAlignment="0" applyProtection="0"/>
    <xf numFmtId="0" fontId="5" fillId="78" borderId="0" applyNumberFormat="0" applyFont="0" applyBorder="0" applyAlignment="0" applyProtection="0"/>
    <xf numFmtId="0" fontId="137" fillId="0" borderId="46" applyNumberFormat="0" applyFill="0" applyAlignment="0" applyProtection="0"/>
    <xf numFmtId="0" fontId="137" fillId="0" borderId="46" applyNumberFormat="0" applyFill="0" applyAlignment="0" applyProtection="0"/>
    <xf numFmtId="0" fontId="138" fillId="0" borderId="33" applyNumberFormat="0" applyFill="0" applyAlignment="0" applyProtection="0"/>
    <xf numFmtId="0" fontId="138" fillId="0" borderId="33" applyNumberFormat="0" applyFill="0" applyAlignment="0" applyProtection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12" fillId="0" borderId="34" applyNumberFormat="0" applyFill="0" applyAlignment="0" applyProtection="0"/>
    <xf numFmtId="0" fontId="112" fillId="0" borderId="34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78" borderId="30" applyNumberFormat="0" applyAlignment="0" applyProtection="0"/>
    <xf numFmtId="0" fontId="141" fillId="78" borderId="30" applyNumberFormat="0" applyAlignment="0" applyProtection="0"/>
    <xf numFmtId="0" fontId="113" fillId="13" borderId="30" applyNumberFormat="0" applyAlignment="0" applyProtection="0"/>
    <xf numFmtId="0" fontId="113" fillId="13" borderId="30" applyNumberFormat="0" applyAlignment="0" applyProtection="0"/>
    <xf numFmtId="0" fontId="142" fillId="0" borderId="48" applyNumberFormat="0" applyFill="0" applyAlignment="0" applyProtection="0"/>
    <xf numFmtId="0" fontId="142" fillId="0" borderId="48" applyNumberFormat="0" applyFill="0" applyAlignment="0" applyProtection="0"/>
    <xf numFmtId="0" fontId="114" fillId="0" borderId="35" applyNumberFormat="0" applyFill="0" applyAlignment="0" applyProtection="0"/>
    <xf numFmtId="0" fontId="114" fillId="0" borderId="35" applyNumberFormat="0" applyFill="0" applyAlignment="0" applyProtection="0"/>
    <xf numFmtId="197" fontId="119" fillId="0" borderId="0"/>
    <xf numFmtId="0" fontId="115" fillId="17" borderId="0" applyNumberFormat="0" applyBorder="0" applyAlignment="0" applyProtection="0"/>
    <xf numFmtId="0" fontId="115" fillId="17" borderId="0" applyNumberFormat="0" applyBorder="0" applyAlignment="0" applyProtection="0"/>
    <xf numFmtId="0" fontId="115" fillId="13" borderId="0" applyNumberFormat="0" applyBorder="0" applyAlignment="0" applyProtection="0"/>
    <xf numFmtId="0" fontId="11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2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2" fillId="0" borderId="0" applyFill="0" applyBorder="0">
      <protection locked="0"/>
    </xf>
    <xf numFmtId="0" fontId="5" fillId="33" borderId="36" applyNumberFormat="0" applyFont="0" applyAlignment="0" applyProtection="0"/>
    <xf numFmtId="0" fontId="5" fillId="33" borderId="36" applyNumberFormat="0" applyFont="0" applyAlignment="0" applyProtection="0"/>
    <xf numFmtId="0" fontId="118" fillId="12" borderId="39" applyNumberFormat="0" applyFont="0" applyAlignment="0" applyProtection="0"/>
    <xf numFmtId="0" fontId="5" fillId="12" borderId="36" applyNumberFormat="0" applyFont="0" applyAlignment="0" applyProtection="0"/>
    <xf numFmtId="0" fontId="5" fillId="12" borderId="36" applyNumberFormat="0" applyFont="0" applyAlignment="0" applyProtection="0"/>
    <xf numFmtId="0" fontId="116" fillId="78" borderId="37" applyNumberFormat="0" applyAlignment="0" applyProtection="0"/>
    <xf numFmtId="0" fontId="116" fillId="78" borderId="37" applyNumberFormat="0" applyAlignment="0" applyProtection="0"/>
    <xf numFmtId="0" fontId="116" fillId="85" borderId="37" applyNumberFormat="0" applyAlignment="0" applyProtection="0"/>
    <xf numFmtId="0" fontId="116" fillId="85" borderId="3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0" fontId="149" fillId="0" borderId="0" applyNumberFormat="0" applyFont="0" applyFill="0" applyBorder="0" applyAlignment="0" applyProtection="0">
      <alignment horizontal="left"/>
    </xf>
    <xf numFmtId="4" fontId="32" fillId="17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5" fillId="105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32" fillId="17" borderId="8" applyNumberFormat="0" applyProtection="0">
      <alignment vertical="center"/>
    </xf>
    <xf numFmtId="4" fontId="118" fillId="17" borderId="39" applyNumberFormat="0" applyProtection="0">
      <alignment vertical="center"/>
    </xf>
    <xf numFmtId="4" fontId="33" fillId="17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144" fillId="105" borderId="8" applyNumberFormat="0" applyProtection="0">
      <alignment vertical="center"/>
    </xf>
    <xf numFmtId="4" fontId="33" fillId="17" borderId="8" applyNumberFormat="0" applyProtection="0">
      <alignment vertical="center"/>
    </xf>
    <xf numFmtId="4" fontId="32" fillId="17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145" fillId="105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32" fillId="17" borderId="8" applyNumberFormat="0" applyProtection="0">
      <alignment horizontal="left" vertical="center" indent="1"/>
    </xf>
    <xf numFmtId="4" fontId="118" fillId="105" borderId="39" applyNumberFormat="0" applyProtection="0">
      <alignment horizontal="left" vertical="center" indent="1"/>
    </xf>
    <xf numFmtId="0" fontId="32" fillId="17" borderId="8" applyNumberFormat="0" applyProtection="0">
      <alignment horizontal="left" vertical="top" indent="1"/>
    </xf>
    <xf numFmtId="4" fontId="32" fillId="18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145" fillId="120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9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145" fillId="121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34" fillId="19" borderId="8" applyNumberFormat="0" applyProtection="0">
      <alignment horizontal="right" vertical="center"/>
    </xf>
    <xf numFmtId="4" fontId="118" fillId="19" borderId="39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145" fillId="89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34" fillId="20" borderId="8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145" fillId="122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34" fillId="21" borderId="8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145" fillId="35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34" fillId="22" borderId="8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145" fillId="1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34" fillId="23" borderId="8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145" fillId="38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34" fillId="24" borderId="8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145" fillId="124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34" fillId="25" borderId="8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145" fillId="125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145" fillId="126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34" fillId="27" borderId="8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32" fillId="28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5" fillId="127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32" fillId="28" borderId="9" applyNumberFormat="0" applyProtection="0">
      <alignment horizontal="left" vertical="center" indent="1"/>
    </xf>
    <xf numFmtId="4" fontId="118" fillId="28" borderId="43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5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12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34" fillId="18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145" fillId="87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34" fillId="18" borderId="8" applyNumberFormat="0" applyProtection="0">
      <alignment horizontal="right" vertical="center"/>
    </xf>
    <xf numFmtId="4" fontId="118" fillId="18" borderId="39" applyNumberFormat="0" applyProtection="0">
      <alignment horizontal="right" vertical="center"/>
    </xf>
    <xf numFmtId="4" fontId="34" fillId="87" borderId="0" applyNumberFormat="0" applyProtection="0">
      <alignment horizontal="left" vertical="center" indent="1"/>
    </xf>
    <xf numFmtId="4" fontId="34" fillId="87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34" fillId="29" borderId="0" applyNumberFormat="0" applyProtection="0">
      <alignment horizontal="left" vertical="center" indent="1"/>
    </xf>
    <xf numFmtId="4" fontId="118" fillId="29" borderId="43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20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34" fillId="18" borderId="0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5" fillId="30" borderId="8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5" fillId="30" borderId="8" applyNumberFormat="0" applyProtection="0">
      <alignment horizontal="left" vertical="top" indent="1"/>
    </xf>
    <xf numFmtId="0" fontId="118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30" borderId="8" applyNumberFormat="0" applyProtection="0">
      <alignment horizontal="left" vertical="top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5" fillId="18" borderId="8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5" fillId="18" borderId="8" applyNumberFormat="0" applyProtection="0">
      <alignment horizontal="left" vertical="top" indent="1"/>
    </xf>
    <xf numFmtId="0" fontId="118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18" borderId="8" applyNumberFormat="0" applyProtection="0">
      <alignment horizontal="left" vertical="top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5" fillId="31" borderId="8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5" fillId="31" borderId="8" applyNumberFormat="0" applyProtection="0">
      <alignment horizontal="left" vertical="top" indent="1"/>
    </xf>
    <xf numFmtId="0" fontId="118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31" borderId="8" applyNumberFormat="0" applyProtection="0">
      <alignment horizontal="left" vertical="top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5" fillId="29" borderId="8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0" fontId="5" fillId="29" borderId="8" applyNumberFormat="0" applyProtection="0">
      <alignment horizontal="left" vertical="top" indent="1"/>
    </xf>
    <xf numFmtId="0" fontId="118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29" borderId="8" applyNumberFormat="0" applyProtection="0">
      <alignment horizontal="left" vertical="top" indent="1"/>
    </xf>
    <xf numFmtId="0" fontId="5" fillId="32" borderId="1" applyNumberFormat="0">
      <protection locked="0"/>
    </xf>
    <xf numFmtId="0" fontId="118" fillId="32" borderId="44" applyNumberFormat="0">
      <protection locked="0"/>
    </xf>
    <xf numFmtId="0" fontId="5" fillId="32" borderId="1" applyNumberFormat="0">
      <protection locked="0"/>
    </xf>
    <xf numFmtId="0" fontId="5" fillId="32" borderId="1" applyNumberFormat="0">
      <protection locked="0"/>
    </xf>
    <xf numFmtId="4" fontId="34" fillId="33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145" fillId="128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146" fillId="128" borderId="8" applyNumberFormat="0" applyProtection="0">
      <alignment vertical="center"/>
    </xf>
    <xf numFmtId="4" fontId="36" fillId="33" borderId="8" applyNumberFormat="0" applyProtection="0">
      <alignment vertical="center"/>
    </xf>
    <xf numFmtId="4" fontId="34" fillId="33" borderId="8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5" fillId="87" borderId="49" applyNumberFormat="0" applyProtection="0">
      <alignment horizontal="left" vertical="center" indent="1"/>
    </xf>
    <xf numFmtId="4" fontId="34" fillId="33" borderId="8" applyNumberFormat="0" applyProtection="0">
      <alignment horizontal="left" vertical="center" indent="1"/>
    </xf>
    <xf numFmtId="0" fontId="34" fillId="33" borderId="8" applyNumberFormat="0" applyProtection="0">
      <alignment horizontal="left" vertical="top" indent="1"/>
    </xf>
    <xf numFmtId="4" fontId="34" fillId="29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145" fillId="128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118" fillId="0" borderId="39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146" fillId="1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4" fontId="35" fillId="87" borderId="8" applyNumberFormat="0" applyProtection="0">
      <alignment horizontal="left" vertical="center" indent="1"/>
    </xf>
    <xf numFmtId="4" fontId="34" fillId="18" borderId="8" applyNumberFormat="0" applyProtection="0">
      <alignment horizontal="left" vertical="center" indent="1"/>
    </xf>
    <xf numFmtId="0" fontId="34" fillId="18" borderId="8" applyNumberFormat="0" applyProtection="0">
      <alignment horizontal="left" vertical="top" indent="1"/>
    </xf>
    <xf numFmtId="4" fontId="37" fillId="34" borderId="0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88" borderId="49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0" fontId="118" fillId="108" borderId="1"/>
    <xf numFmtId="0" fontId="118" fillId="108" borderId="1"/>
    <xf numFmtId="4" fontId="38" fillId="29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147" fillId="128" borderId="8" applyNumberFormat="0" applyProtection="0">
      <alignment horizontal="right" vertical="center"/>
    </xf>
    <xf numFmtId="4" fontId="38" fillId="29" borderId="8" applyNumberFormat="0" applyProtection="0">
      <alignment horizontal="right" vertical="center"/>
    </xf>
    <xf numFmtId="0" fontId="5" fillId="129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97" fontId="80" fillId="0" borderId="14" applyNumberFormat="0"/>
    <xf numFmtId="0" fontId="150" fillId="0" borderId="50" applyNumberFormat="0" applyAlignment="0" applyProtection="0"/>
    <xf numFmtId="0" fontId="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6" fontId="80" fillId="0" borderId="12" applyFill="0"/>
    <xf numFmtId="0" fontId="28" fillId="0" borderId="51" applyNumberFormat="0" applyFill="0" applyAlignment="0" applyProtection="0"/>
    <xf numFmtId="0" fontId="28" fillId="0" borderId="51" applyNumberFormat="0" applyFill="0" applyAlignment="0" applyProtection="0"/>
    <xf numFmtId="197" fontId="80" fillId="0" borderId="10" applyNumberFormat="0" applyFill="0"/>
    <xf numFmtId="19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33" borderId="0" applyNumberFormat="0" applyFont="0" applyBorder="0" applyAlignment="0" applyProtection="0"/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47" borderId="0" applyNumberFormat="0" applyBorder="0" applyAlignment="0" applyProtection="0"/>
    <xf numFmtId="0" fontId="94" fillId="48" borderId="0" applyNumberFormat="0" applyBorder="0" applyAlignment="0" applyProtection="0"/>
    <xf numFmtId="0" fontId="95" fillId="49" borderId="0" applyNumberFormat="0" applyBorder="0" applyAlignment="0" applyProtection="0"/>
    <xf numFmtId="0" fontId="96" fillId="50" borderId="24" applyNumberFormat="0" applyAlignment="0" applyProtection="0"/>
    <xf numFmtId="0" fontId="97" fillId="51" borderId="25" applyNumberFormat="0" applyAlignment="0" applyProtection="0"/>
    <xf numFmtId="0" fontId="98" fillId="51" borderId="24" applyNumberFormat="0" applyAlignment="0" applyProtection="0"/>
    <xf numFmtId="0" fontId="99" fillId="0" borderId="26" applyNumberFormat="0" applyFill="0" applyAlignment="0" applyProtection="0"/>
    <xf numFmtId="0" fontId="100" fillId="52" borderId="27" applyNumberFormat="0" applyAlignment="0" applyProtection="0"/>
    <xf numFmtId="0" fontId="101" fillId="0" borderId="0" applyNumberFormat="0" applyFill="0" applyBorder="0" applyAlignment="0" applyProtection="0"/>
    <xf numFmtId="0" fontId="3" fillId="53" borderId="28" applyNumberFormat="0" applyFont="0" applyAlignment="0" applyProtection="0"/>
    <xf numFmtId="0" fontId="102" fillId="0" borderId="0" applyNumberFormat="0" applyFill="0" applyBorder="0" applyAlignment="0" applyProtection="0"/>
    <xf numFmtId="0" fontId="9" fillId="0" borderId="29" applyNumberFormat="0" applyFill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69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77" borderId="0" applyNumberFormat="0" applyBorder="0" applyAlignment="0" applyProtection="0"/>
    <xf numFmtId="0" fontId="118" fillId="91" borderId="0"/>
    <xf numFmtId="4" fontId="118" fillId="17" borderId="39" applyNumberFormat="0" applyProtection="0">
      <alignment vertical="center"/>
    </xf>
    <xf numFmtId="4" fontId="118" fillId="105" borderId="39" applyNumberFormat="0" applyProtection="0">
      <alignment horizontal="left" vertical="center" indent="1"/>
    </xf>
    <xf numFmtId="4" fontId="118" fillId="90" borderId="39" applyNumberFormat="0" applyProtection="0">
      <alignment horizontal="left" vertical="center" indent="1"/>
    </xf>
    <xf numFmtId="4" fontId="118" fillId="19" borderId="39" applyNumberFormat="0" applyProtection="0">
      <alignment horizontal="right" vertical="center"/>
    </xf>
    <xf numFmtId="4" fontId="118" fillId="106" borderId="39" applyNumberFormat="0" applyProtection="0">
      <alignment horizontal="right" vertical="center"/>
    </xf>
    <xf numFmtId="4" fontId="118" fillId="21" borderId="43" applyNumberFormat="0" applyProtection="0">
      <alignment horizontal="right" vertical="center"/>
    </xf>
    <xf numFmtId="4" fontId="118" fillId="22" borderId="39" applyNumberFormat="0" applyProtection="0">
      <alignment horizontal="right" vertical="center"/>
    </xf>
    <xf numFmtId="4" fontId="118" fillId="23" borderId="39" applyNumberFormat="0" applyProtection="0">
      <alignment horizontal="right" vertical="center"/>
    </xf>
    <xf numFmtId="4" fontId="118" fillId="24" borderId="39" applyNumberFormat="0" applyProtection="0">
      <alignment horizontal="right" vertical="center"/>
    </xf>
    <xf numFmtId="4" fontId="118" fillId="25" borderId="39" applyNumberFormat="0" applyProtection="0">
      <alignment horizontal="right" vertical="center"/>
    </xf>
    <xf numFmtId="4" fontId="118" fillId="26" borderId="39" applyNumberFormat="0" applyProtection="0">
      <alignment horizontal="right" vertical="center"/>
    </xf>
    <xf numFmtId="4" fontId="118" fillId="27" borderId="39" applyNumberFormat="0" applyProtection="0">
      <alignment horizontal="right" vertical="center"/>
    </xf>
    <xf numFmtId="4" fontId="118" fillId="28" borderId="43" applyNumberFormat="0" applyProtection="0">
      <alignment horizontal="left" vertical="center" indent="1"/>
    </xf>
    <xf numFmtId="4" fontId="118" fillId="18" borderId="39" applyNumberFormat="0" applyProtection="0">
      <alignment horizontal="right" vertical="center"/>
    </xf>
    <xf numFmtId="4" fontId="118" fillId="29" borderId="43" applyNumberFormat="0" applyProtection="0">
      <alignment horizontal="left" vertical="center" indent="1"/>
    </xf>
    <xf numFmtId="4" fontId="118" fillId="18" borderId="43" applyNumberFormat="0" applyProtection="0">
      <alignment horizontal="left" vertical="center" indent="1"/>
    </xf>
    <xf numFmtId="0" fontId="118" fillId="78" borderId="39" applyNumberFormat="0" applyProtection="0">
      <alignment horizontal="left" vertical="center" indent="1"/>
    </xf>
    <xf numFmtId="0" fontId="118" fillId="107" borderId="39" applyNumberFormat="0" applyProtection="0">
      <alignment horizontal="left" vertical="center" indent="1"/>
    </xf>
    <xf numFmtId="0" fontId="118" fillId="31" borderId="39" applyNumberFormat="0" applyProtection="0">
      <alignment horizontal="left" vertical="center" indent="1"/>
    </xf>
    <xf numFmtId="0" fontId="118" fillId="29" borderId="39" applyNumberFormat="0" applyProtection="0">
      <alignment horizontal="left" vertical="center" indent="1"/>
    </xf>
    <xf numFmtId="4" fontId="118" fillId="0" borderId="39" applyNumberFormat="0" applyProtection="0">
      <alignment horizontal="right" vertical="center"/>
    </xf>
    <xf numFmtId="0" fontId="118" fillId="108" borderId="1"/>
    <xf numFmtId="0" fontId="118" fillId="91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4" fillId="18" borderId="8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3" fillId="53" borderId="28" applyNumberFormat="0" applyFont="0" applyAlignment="0" applyProtection="0"/>
    <xf numFmtId="0" fontId="10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0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10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103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103" fillId="70" borderId="0" applyNumberFormat="0" applyBorder="0" applyAlignment="0" applyProtection="0"/>
    <xf numFmtId="0" fontId="3" fillId="71" borderId="0" applyNumberFormat="0" applyBorder="0" applyAlignment="0" applyProtection="0"/>
    <xf numFmtId="0" fontId="3" fillId="72" borderId="0" applyNumberFormat="0" applyBorder="0" applyAlignment="0" applyProtection="0"/>
    <xf numFmtId="0" fontId="103" fillId="74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17" borderId="8" applyNumberFormat="0" applyProtection="0">
      <alignment horizontal="left" vertical="top" indent="1"/>
    </xf>
    <xf numFmtId="4" fontId="118" fillId="90" borderId="39" applyNumberFormat="0" applyProtection="0">
      <alignment horizontal="left" vertical="center" indent="1"/>
    </xf>
    <xf numFmtId="4" fontId="38" fillId="29" borderId="8" applyNumberFormat="0" applyProtection="0">
      <alignment horizontal="right" vertical="center"/>
    </xf>
    <xf numFmtId="0" fontId="3" fillId="0" borderId="0"/>
    <xf numFmtId="4" fontId="5" fillId="30" borderId="43" applyNumberFormat="0" applyProtection="0">
      <alignment horizontal="left" vertical="center" indent="1"/>
    </xf>
    <xf numFmtId="4" fontId="5" fillId="30" borderId="43" applyNumberFormat="0" applyProtection="0">
      <alignment horizontal="left" vertical="center" indent="1"/>
    </xf>
    <xf numFmtId="0" fontId="103" fillId="54" borderId="0" applyNumberFormat="0" applyBorder="0" applyAlignment="0" applyProtection="0"/>
    <xf numFmtId="0" fontId="103" fillId="58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70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62" borderId="0" applyNumberFormat="0" applyBorder="0" applyAlignment="0" applyProtection="0"/>
    <xf numFmtId="0" fontId="103" fillId="66" borderId="0" applyNumberFormat="0" applyBorder="0" applyAlignment="0" applyProtection="0"/>
    <xf numFmtId="0" fontId="103" fillId="5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54" borderId="0" applyNumberFormat="0" applyBorder="0" applyAlignment="0" applyProtection="0"/>
    <xf numFmtId="0" fontId="103" fillId="66" borderId="0" applyNumberFormat="0" applyBorder="0" applyAlignment="0" applyProtection="0"/>
    <xf numFmtId="0" fontId="103" fillId="70" borderId="0" applyNumberFormat="0" applyBorder="0" applyAlignment="0" applyProtection="0"/>
    <xf numFmtId="0" fontId="103" fillId="54" borderId="0" applyNumberFormat="0" applyBorder="0" applyAlignment="0" applyProtection="0"/>
    <xf numFmtId="0" fontId="103" fillId="62" borderId="0" applyNumberFormat="0" applyBorder="0" applyAlignment="0" applyProtection="0"/>
    <xf numFmtId="0" fontId="103" fillId="74" borderId="0" applyNumberFormat="0" applyBorder="0" applyAlignment="0" applyProtection="0"/>
    <xf numFmtId="0" fontId="103" fillId="66" borderId="0" applyNumberFormat="0" applyBorder="0" applyAlignment="0" applyProtection="0"/>
    <xf numFmtId="0" fontId="103" fillId="62" borderId="0" applyNumberFormat="0" applyBorder="0" applyAlignment="0" applyProtection="0"/>
    <xf numFmtId="0" fontId="103" fillId="58" borderId="0" applyNumberFormat="0" applyBorder="0" applyAlignment="0" applyProtection="0"/>
    <xf numFmtId="0" fontId="103" fillId="54" borderId="0" applyNumberFormat="0" applyBorder="0" applyAlignment="0" applyProtection="0"/>
    <xf numFmtId="0" fontId="103" fillId="70" borderId="0" applyNumberFormat="0" applyBorder="0" applyAlignment="0" applyProtection="0"/>
    <xf numFmtId="0" fontId="103" fillId="58" borderId="0" applyNumberFormat="0" applyBorder="0" applyAlignment="0" applyProtection="0"/>
    <xf numFmtId="0" fontId="103" fillId="58" borderId="0" applyNumberFormat="0" applyBorder="0" applyAlignment="0" applyProtection="0"/>
    <xf numFmtId="0" fontId="103" fillId="66" borderId="0" applyNumberFormat="0" applyBorder="0" applyAlignment="0" applyProtection="0"/>
    <xf numFmtId="0" fontId="103" fillId="58" borderId="0" applyNumberFormat="0" applyBorder="0" applyAlignment="0" applyProtection="0"/>
    <xf numFmtId="0" fontId="103" fillId="70" borderId="0" applyNumberFormat="0" applyBorder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27" fillId="80" borderId="0" applyNumberFormat="0" applyBorder="0" applyAlignment="0" applyProtection="0"/>
    <xf numFmtId="0" fontId="27" fillId="8" borderId="0" applyNumberFormat="0" applyBorder="0" applyAlignment="0" applyProtection="0"/>
    <xf numFmtId="0" fontId="27" fillId="84" borderId="0" applyNumberFormat="0" applyBorder="0" applyAlignment="0" applyProtection="0"/>
    <xf numFmtId="0" fontId="27" fillId="84" borderId="0" applyNumberFormat="0" applyBorder="0" applyAlignment="0" applyProtection="0"/>
    <xf numFmtId="0" fontId="27" fillId="82" borderId="0" applyNumberFormat="0" applyBorder="0" applyAlignment="0" applyProtection="0"/>
    <xf numFmtId="0" fontId="27" fillId="8" borderId="0" applyNumberFormat="0" applyBorder="0" applyAlignment="0" applyProtection="0"/>
    <xf numFmtId="0" fontId="27" fillId="81" borderId="0" applyNumberFormat="0" applyBorder="0" applyAlignment="0" applyProtection="0"/>
    <xf numFmtId="0" fontId="27" fillId="80" borderId="0" applyNumberFormat="0" applyBorder="0" applyAlignment="0" applyProtection="0"/>
    <xf numFmtId="0" fontId="27" fillId="83" borderId="0" applyNumberFormat="0" applyBorder="0" applyAlignment="0" applyProtection="0"/>
    <xf numFmtId="0" fontId="27" fillId="82" borderId="0" applyNumberFormat="0" applyBorder="0" applyAlignment="0" applyProtection="0"/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8" fillId="29" borderId="52" applyNumberFormat="0" applyProtection="0">
      <alignment horizontal="right" vertical="center"/>
    </xf>
    <xf numFmtId="0" fontId="6" fillId="0" borderId="0"/>
    <xf numFmtId="0" fontId="6" fillId="0" borderId="0"/>
    <xf numFmtId="0" fontId="106" fillId="85" borderId="53" applyNumberFormat="0" applyAlignment="0" applyProtection="0"/>
    <xf numFmtId="0" fontId="113" fillId="13" borderId="53" applyNumberFormat="0" applyAlignment="0" applyProtection="0"/>
    <xf numFmtId="0" fontId="5" fillId="12" borderId="54" applyNumberFormat="0" applyFont="0" applyAlignment="0" applyProtection="0"/>
    <xf numFmtId="0" fontId="28" fillId="0" borderId="55" applyNumberFormat="0" applyFill="0" applyAlignment="0" applyProtection="0"/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0" fontId="118" fillId="30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4" fontId="118" fillId="0" borderId="56" applyNumberFormat="0" applyProtection="0">
      <alignment horizontal="right" vertical="center"/>
    </xf>
    <xf numFmtId="0" fontId="127" fillId="102" borderId="56" applyNumberFormat="0" applyAlignment="0" applyProtection="0"/>
    <xf numFmtId="0" fontId="113" fillId="13" borderId="56" applyNumberFormat="0" applyAlignment="0" applyProtection="0"/>
    <xf numFmtId="0" fontId="118" fillId="12" borderId="56" applyNumberFormat="0" applyFont="0" applyAlignment="0" applyProtection="0"/>
    <xf numFmtId="4" fontId="118" fillId="17" borderId="56" applyNumberFormat="0" applyProtection="0">
      <alignment vertical="center"/>
    </xf>
    <xf numFmtId="4" fontId="129" fillId="105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0" fontId="123" fillId="17" borderId="52" applyNumberFormat="0" applyProtection="0">
      <alignment horizontal="left" vertical="top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0" fontId="121" fillId="30" borderId="58" applyBorder="0"/>
    <xf numFmtId="4" fontId="122" fillId="33" borderId="52" applyNumberFormat="0" applyProtection="0">
      <alignment vertical="center"/>
    </xf>
    <xf numFmtId="4" fontId="122" fillId="78" borderId="52" applyNumberFormat="0" applyProtection="0">
      <alignment horizontal="left" vertical="center" indent="1"/>
    </xf>
    <xf numFmtId="0" fontId="122" fillId="33" borderId="52" applyNumberFormat="0" applyProtection="0">
      <alignment horizontal="left" vertical="top" indent="1"/>
    </xf>
    <xf numFmtId="4" fontId="129" fillId="36" borderId="56" applyNumberFormat="0" applyProtection="0">
      <alignment horizontal="right" vertical="center"/>
    </xf>
    <xf numFmtId="0" fontId="122" fillId="18" borderId="52" applyNumberFormat="0" applyProtection="0">
      <alignment horizontal="left" vertical="top" indent="1"/>
    </xf>
    <xf numFmtId="4" fontId="124" fillId="34" borderId="57" applyNumberFormat="0" applyProtection="0">
      <alignment horizontal="left" vertical="center" indent="1"/>
    </xf>
    <xf numFmtId="4" fontId="125" fillId="32" borderId="56" applyNumberFormat="0" applyProtection="0">
      <alignment horizontal="right" vertical="center"/>
    </xf>
    <xf numFmtId="0" fontId="28" fillId="0" borderId="55" applyNumberFormat="0" applyFill="0" applyAlignment="0" applyProtection="0"/>
    <xf numFmtId="0" fontId="135" fillId="78" borderId="53" applyNumberFormat="0" applyAlignment="0" applyProtection="0"/>
    <xf numFmtId="0" fontId="135" fillId="78" borderId="53" applyNumberFormat="0" applyAlignment="0" applyProtection="0"/>
    <xf numFmtId="0" fontId="106" fillId="85" borderId="53" applyNumberFormat="0" applyAlignment="0" applyProtection="0"/>
    <xf numFmtId="0" fontId="106" fillId="85" borderId="53" applyNumberFormat="0" applyAlignment="0" applyProtection="0"/>
    <xf numFmtId="0" fontId="141" fillId="78" borderId="53" applyNumberFormat="0" applyAlignment="0" applyProtection="0"/>
    <xf numFmtId="0" fontId="141" fillId="78" borderId="53" applyNumberFormat="0" applyAlignment="0" applyProtection="0"/>
    <xf numFmtId="0" fontId="113" fillId="13" borderId="53" applyNumberFormat="0" applyAlignment="0" applyProtection="0"/>
    <xf numFmtId="0" fontId="113" fillId="13" borderId="53" applyNumberFormat="0" applyAlignment="0" applyProtection="0"/>
    <xf numFmtId="0" fontId="5" fillId="33" borderId="54" applyNumberFormat="0" applyFont="0" applyAlignment="0" applyProtection="0"/>
    <xf numFmtId="0" fontId="5" fillId="33" borderId="54" applyNumberFormat="0" applyFont="0" applyAlignment="0" applyProtection="0"/>
    <xf numFmtId="0" fontId="118" fillId="12" borderId="56" applyNumberFormat="0" applyFont="0" applyAlignment="0" applyProtection="0"/>
    <xf numFmtId="0" fontId="5" fillId="12" borderId="54" applyNumberFormat="0" applyFont="0" applyAlignment="0" applyProtection="0"/>
    <xf numFmtId="0" fontId="5" fillId="12" borderId="54" applyNumberFormat="0" applyFont="0" applyAlignment="0" applyProtection="0"/>
    <xf numFmtId="4" fontId="32" fillId="17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5" fillId="105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2" fillId="17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144" fillId="105" borderId="52" applyNumberFormat="0" applyProtection="0">
      <alignment vertical="center"/>
    </xf>
    <xf numFmtId="4" fontId="33" fillId="17" borderId="52" applyNumberFormat="0" applyProtection="0">
      <alignment vertical="center"/>
    </xf>
    <xf numFmtId="4" fontId="32" fillId="17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145" fillId="105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4" fontId="32" fillId="17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34" fillId="19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145" fillId="121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1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145" fillId="89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0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145" fillId="122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1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145" fillId="35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2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145" fillId="1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3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145" fillId="38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145" fillId="124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145" fillId="125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145" fillId="126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2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145" fillId="87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4" fontId="34" fillId="18" borderId="52" applyNumberFormat="0" applyProtection="0">
      <alignment horizontal="right" vertical="center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center" indent="1"/>
    </xf>
    <xf numFmtId="0" fontId="5" fillId="30" borderId="52" applyNumberFormat="0" applyProtection="0">
      <alignment horizontal="left" vertical="top" indent="1"/>
    </xf>
    <xf numFmtId="0" fontId="118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30" borderId="52" applyNumberFormat="0" applyProtection="0">
      <alignment horizontal="left" vertical="top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center" indent="1"/>
    </xf>
    <xf numFmtId="0" fontId="5" fillId="18" borderId="52" applyNumberFormat="0" applyProtection="0">
      <alignment horizontal="left" vertical="top" indent="1"/>
    </xf>
    <xf numFmtId="0" fontId="118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18" borderId="52" applyNumberFormat="0" applyProtection="0">
      <alignment horizontal="left" vertical="top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center" indent="1"/>
    </xf>
    <xf numFmtId="0" fontId="5" fillId="31" borderId="52" applyNumberFormat="0" applyProtection="0">
      <alignment horizontal="left" vertical="top" indent="1"/>
    </xf>
    <xf numFmtId="0" fontId="118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31" borderId="52" applyNumberFormat="0" applyProtection="0">
      <alignment horizontal="left" vertical="top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center" indent="1"/>
    </xf>
    <xf numFmtId="0" fontId="5" fillId="29" borderId="52" applyNumberFormat="0" applyProtection="0">
      <alignment horizontal="left" vertical="top" indent="1"/>
    </xf>
    <xf numFmtId="0" fontId="118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0" fontId="5" fillId="29" borderId="52" applyNumberFormat="0" applyProtection="0">
      <alignment horizontal="left" vertical="top" indent="1"/>
    </xf>
    <xf numFmtId="4" fontId="34" fillId="33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145" fillId="128" borderId="52" applyNumberFormat="0" applyProtection="0">
      <alignment vertical="center"/>
    </xf>
    <xf numFmtId="4" fontId="34" fillId="33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146" fillId="128" borderId="52" applyNumberFormat="0" applyProtection="0">
      <alignment vertical="center"/>
    </xf>
    <xf numFmtId="4" fontId="36" fillId="33" borderId="52" applyNumberFormat="0" applyProtection="0">
      <alignment vertical="center"/>
    </xf>
    <xf numFmtId="4" fontId="34" fillId="33" borderId="52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5" fillId="87" borderId="59" applyNumberFormat="0" applyProtection="0">
      <alignment horizontal="left" vertical="center" indent="1"/>
    </xf>
    <xf numFmtId="4" fontId="34" fillId="33" borderId="52" applyNumberFormat="0" applyProtection="0">
      <alignment horizontal="left" vertical="center" indent="1"/>
    </xf>
    <xf numFmtId="0" fontId="34" fillId="33" borderId="52" applyNumberFormat="0" applyProtection="0">
      <alignment horizontal="left" vertical="top" indent="1"/>
    </xf>
    <xf numFmtId="4" fontId="34" fillId="29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145" fillId="128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4" fillId="29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146" fillId="128" borderId="52" applyNumberFormat="0" applyProtection="0">
      <alignment horizontal="right" vertical="center"/>
    </xf>
    <xf numFmtId="4" fontId="36" fillId="29" borderId="52" applyNumberFormat="0" applyProtection="0">
      <alignment horizontal="right" vertical="center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34" fillId="18" borderId="52" applyNumberFormat="0" applyProtection="0">
      <alignment horizontal="left" vertical="center" indent="1"/>
    </xf>
    <xf numFmtId="4" fontId="35" fillId="87" borderId="52" applyNumberFormat="0" applyProtection="0">
      <alignment horizontal="left" vertical="center" indent="1"/>
    </xf>
    <xf numFmtId="0" fontId="34" fillId="18" borderId="52" applyNumberFormat="0" applyProtection="0">
      <alignment horizontal="left" vertical="top" indent="1"/>
    </xf>
    <xf numFmtId="4" fontId="37" fillId="88" borderId="59" applyNumberFormat="0" applyProtection="0">
      <alignment horizontal="left" vertical="center" indent="1"/>
    </xf>
    <xf numFmtId="4" fontId="37" fillId="88" borderId="59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147" fillId="128" borderId="52" applyNumberFormat="0" applyProtection="0">
      <alignment horizontal="right" vertical="center"/>
    </xf>
    <xf numFmtId="4" fontId="38" fillId="29" borderId="52" applyNumberFormat="0" applyProtection="0">
      <alignment horizontal="right" vertical="center"/>
    </xf>
    <xf numFmtId="0" fontId="28" fillId="0" borderId="60" applyNumberFormat="0" applyFill="0" applyAlignment="0" applyProtection="0"/>
    <xf numFmtId="0" fontId="28" fillId="0" borderId="60" applyNumberFormat="0" applyFill="0" applyAlignment="0" applyProtection="0"/>
    <xf numFmtId="4" fontId="118" fillId="17" borderId="56" applyNumberFormat="0" applyProtection="0">
      <alignment vertical="center"/>
    </xf>
    <xf numFmtId="4" fontId="118" fillId="105" borderId="56" applyNumberFormat="0" applyProtection="0">
      <alignment horizontal="left" vertical="center" indent="1"/>
    </xf>
    <xf numFmtId="4" fontId="118" fillId="90" borderId="56" applyNumberFormat="0" applyProtection="0">
      <alignment horizontal="left" vertical="center" indent="1"/>
    </xf>
    <xf numFmtId="4" fontId="118" fillId="19" borderId="56" applyNumberFormat="0" applyProtection="0">
      <alignment horizontal="right" vertical="center"/>
    </xf>
    <xf numFmtId="4" fontId="118" fillId="106" borderId="56" applyNumberFormat="0" applyProtection="0">
      <alignment horizontal="right" vertical="center"/>
    </xf>
    <xf numFmtId="4" fontId="118" fillId="21" borderId="57" applyNumberFormat="0" applyProtection="0">
      <alignment horizontal="right" vertical="center"/>
    </xf>
    <xf numFmtId="4" fontId="118" fillId="22" borderId="56" applyNumberFormat="0" applyProtection="0">
      <alignment horizontal="right" vertical="center"/>
    </xf>
    <xf numFmtId="4" fontId="118" fillId="23" borderId="56" applyNumberFormat="0" applyProtection="0">
      <alignment horizontal="right" vertical="center"/>
    </xf>
    <xf numFmtId="4" fontId="118" fillId="24" borderId="56" applyNumberFormat="0" applyProtection="0">
      <alignment horizontal="right" vertical="center"/>
    </xf>
    <xf numFmtId="4" fontId="118" fillId="25" borderId="56" applyNumberFormat="0" applyProtection="0">
      <alignment horizontal="right" vertical="center"/>
    </xf>
    <xf numFmtId="4" fontId="118" fillId="26" borderId="56" applyNumberFormat="0" applyProtection="0">
      <alignment horizontal="right" vertical="center"/>
    </xf>
    <xf numFmtId="4" fontId="118" fillId="27" borderId="56" applyNumberFormat="0" applyProtection="0">
      <alignment horizontal="right" vertical="center"/>
    </xf>
    <xf numFmtId="4" fontId="118" fillId="28" borderId="57" applyNumberFormat="0" applyProtection="0">
      <alignment horizontal="left" vertical="center" indent="1"/>
    </xf>
    <xf numFmtId="4" fontId="118" fillId="18" borderId="56" applyNumberFormat="0" applyProtection="0">
      <alignment horizontal="right" vertical="center"/>
    </xf>
    <xf numFmtId="4" fontId="118" fillId="29" borderId="57" applyNumberFormat="0" applyProtection="0">
      <alignment horizontal="left" vertical="center" indent="1"/>
    </xf>
    <xf numFmtId="4" fontId="118" fillId="18" borderId="57" applyNumberFormat="0" applyProtection="0">
      <alignment horizontal="left" vertical="center" indent="1"/>
    </xf>
    <xf numFmtId="0" fontId="118" fillId="78" borderId="56" applyNumberFormat="0" applyProtection="0">
      <alignment horizontal="left" vertical="center" indent="1"/>
    </xf>
    <xf numFmtId="0" fontId="118" fillId="107" borderId="56" applyNumberFormat="0" applyProtection="0">
      <alignment horizontal="left" vertical="center" indent="1"/>
    </xf>
    <xf numFmtId="0" fontId="118" fillId="31" borderId="56" applyNumberFormat="0" applyProtection="0">
      <alignment horizontal="left" vertical="center" indent="1"/>
    </xf>
    <xf numFmtId="0" fontId="118" fillId="29" borderId="56" applyNumberFormat="0" applyProtection="0">
      <alignment horizontal="left" vertical="center" indent="1"/>
    </xf>
    <xf numFmtId="4" fontId="118" fillId="0" borderId="56" applyNumberFormat="0" applyProtection="0">
      <alignment horizontal="right" vertical="center"/>
    </xf>
    <xf numFmtId="4" fontId="34" fillId="18" borderId="52" applyNumberFormat="0" applyProtection="0">
      <alignment horizontal="left" vertical="center" indent="1"/>
    </xf>
    <xf numFmtId="0" fontId="32" fillId="17" borderId="52" applyNumberFormat="0" applyProtection="0">
      <alignment horizontal="left" vertical="top" indent="1"/>
    </xf>
    <xf numFmtId="4" fontId="118" fillId="90" borderId="56" applyNumberFormat="0" applyProtection="0">
      <alignment horizontal="left" vertical="center" indent="1"/>
    </xf>
    <xf numFmtId="4" fontId="38" fillId="29" borderId="52" applyNumberFormat="0" applyProtection="0">
      <alignment horizontal="right" vertical="center"/>
    </xf>
    <xf numFmtId="4" fontId="5" fillId="30" borderId="57" applyNumberFormat="0" applyProtection="0">
      <alignment horizontal="left" vertical="center" indent="1"/>
    </xf>
    <xf numFmtId="4" fontId="5" fillId="30" borderId="57" applyNumberFormat="0" applyProtection="0">
      <alignment horizontal="left" vertical="center" indent="1"/>
    </xf>
    <xf numFmtId="0" fontId="2" fillId="0" borderId="0"/>
    <xf numFmtId="164" fontId="2" fillId="0" borderId="0" applyFont="0" applyFill="0" applyBorder="0" applyAlignment="0" applyProtection="0"/>
    <xf numFmtId="204" fontId="1" fillId="0" borderId="0" applyFont="0" applyFill="0" applyBorder="0" applyAlignment="0" applyProtection="0"/>
  </cellStyleXfs>
  <cellXfs count="581">
    <xf numFmtId="0" fontId="0" fillId="0" borderId="0" xfId="0"/>
    <xf numFmtId="0" fontId="14" fillId="0" borderId="0" xfId="0" applyFont="1"/>
    <xf numFmtId="0" fontId="10" fillId="0" borderId="0" xfId="0" applyFont="1"/>
    <xf numFmtId="0" fontId="22" fillId="0" borderId="0" xfId="0" applyFont="1"/>
    <xf numFmtId="0" fontId="12" fillId="0" borderId="0" xfId="31" applyFont="1" applyBorder="1" applyProtection="1"/>
    <xf numFmtId="0" fontId="12" fillId="0" borderId="0" xfId="31" applyFont="1" applyBorder="1" applyAlignment="1" applyProtection="1">
      <alignment horizontal="center"/>
    </xf>
    <xf numFmtId="169" fontId="12" fillId="0" borderId="0" xfId="31" applyNumberFormat="1" applyFont="1" applyFill="1" applyBorder="1" applyAlignment="1" applyProtection="1">
      <alignment horizontal="right"/>
    </xf>
    <xf numFmtId="0" fontId="11" fillId="0" borderId="0" xfId="31" applyFont="1" applyBorder="1" applyProtection="1"/>
    <xf numFmtId="0" fontId="12" fillId="0" borderId="0" xfId="31" applyFont="1" applyBorder="1" applyProtection="1">
      <protection locked="0"/>
    </xf>
    <xf numFmtId="0" fontId="12" fillId="0" borderId="0" xfId="31" applyFont="1" applyFill="1" applyBorder="1" applyProtection="1"/>
    <xf numFmtId="0" fontId="12" fillId="0" borderId="0" xfId="31" applyFont="1" applyFill="1" applyBorder="1" applyAlignment="1" applyProtection="1">
      <alignment horizontal="center"/>
    </xf>
    <xf numFmtId="0" fontId="43" fillId="36" borderId="0" xfId="0" applyFont="1" applyFill="1" applyProtection="1"/>
    <xf numFmtId="0" fontId="31" fillId="36" borderId="0" xfId="0" applyFont="1" applyFill="1" applyProtection="1"/>
    <xf numFmtId="0" fontId="44" fillId="36" borderId="0" xfId="0" applyFont="1" applyFill="1" applyProtection="1"/>
    <xf numFmtId="0" fontId="31" fillId="36" borderId="0" xfId="0" applyFont="1" applyFill="1" applyAlignment="1" applyProtection="1">
      <alignment horizontal="center"/>
    </xf>
    <xf numFmtId="0" fontId="45" fillId="36" borderId="0" xfId="0" applyFont="1" applyFill="1" applyProtection="1"/>
    <xf numFmtId="0" fontId="31" fillId="0" borderId="0" xfId="0" applyFont="1" applyProtection="1"/>
    <xf numFmtId="0" fontId="31" fillId="36" borderId="0" xfId="0" applyFont="1" applyFill="1" applyBorder="1" applyProtection="1"/>
    <xf numFmtId="0" fontId="46" fillId="36" borderId="0" xfId="0" applyFont="1" applyFill="1" applyBorder="1" applyProtection="1"/>
    <xf numFmtId="0" fontId="46" fillId="36" borderId="0" xfId="0" applyFont="1" applyFill="1" applyBorder="1" applyAlignment="1" applyProtection="1">
      <alignment horizontal="center"/>
    </xf>
    <xf numFmtId="17" fontId="46" fillId="36" borderId="0" xfId="0" quotePrefix="1" applyNumberFormat="1" applyFont="1" applyFill="1" applyBorder="1" applyProtection="1"/>
    <xf numFmtId="0" fontId="31" fillId="36" borderId="0" xfId="0" applyFont="1" applyFill="1" applyBorder="1" applyAlignment="1" applyProtection="1">
      <alignment vertical="center" wrapText="1"/>
    </xf>
    <xf numFmtId="0" fontId="31" fillId="36" borderId="0" xfId="0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wrapText="1"/>
    </xf>
    <xf numFmtId="170" fontId="31" fillId="35" borderId="1" xfId="73" applyNumberFormat="1" applyFont="1" applyFill="1" applyBorder="1" applyAlignment="1" applyProtection="1">
      <alignment horizontal="center" vertical="center"/>
    </xf>
    <xf numFmtId="170" fontId="31" fillId="37" borderId="1" xfId="74" applyNumberFormat="1" applyFont="1" applyFill="1" applyBorder="1" applyAlignment="1" applyProtection="1">
      <alignment horizontal="center" vertical="center"/>
    </xf>
    <xf numFmtId="170" fontId="31" fillId="38" borderId="1" xfId="0" applyNumberFormat="1" applyFont="1" applyFill="1" applyBorder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43" fillId="36" borderId="0" xfId="0" applyFont="1" applyFill="1"/>
    <xf numFmtId="0" fontId="31" fillId="36" borderId="0" xfId="0" applyFont="1" applyFill="1"/>
    <xf numFmtId="0" fontId="44" fillId="36" borderId="0" xfId="0" applyFont="1" applyFill="1"/>
    <xf numFmtId="0" fontId="31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3" fillId="36" borderId="0" xfId="0" applyFont="1" applyFill="1" applyAlignment="1">
      <alignment horizontal="center"/>
    </xf>
    <xf numFmtId="170" fontId="31" fillId="36" borderId="0" xfId="0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/>
    </xf>
    <xf numFmtId="0" fontId="43" fillId="36" borderId="0" xfId="0" applyFont="1" applyFill="1" applyAlignment="1">
      <alignment vertical="top"/>
    </xf>
    <xf numFmtId="0" fontId="31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horizontal="center" vertical="top"/>
    </xf>
    <xf numFmtId="0" fontId="45" fillId="36" borderId="0" xfId="0" applyFont="1" applyFill="1" applyAlignment="1" applyProtection="1">
      <alignment vertical="top"/>
    </xf>
    <xf numFmtId="0" fontId="22" fillId="36" borderId="0" xfId="0" applyFont="1" applyFill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top" wrapText="1"/>
    </xf>
    <xf numFmtId="0" fontId="31" fillId="39" borderId="0" xfId="0" applyFont="1" applyFill="1" applyAlignment="1" applyProtection="1">
      <alignment vertical="top" wrapText="1"/>
    </xf>
    <xf numFmtId="0" fontId="31" fillId="0" borderId="0" xfId="0" applyFont="1" applyAlignment="1" applyProtection="1">
      <alignment vertical="top" wrapText="1"/>
    </xf>
    <xf numFmtId="0" fontId="7" fillId="36" borderId="0" xfId="0" applyFont="1" applyFill="1" applyAlignment="1" applyProtection="1">
      <alignment vertical="top"/>
    </xf>
    <xf numFmtId="0" fontId="7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50" fillId="36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22" fillId="36" borderId="0" xfId="0" applyFont="1" applyFill="1" applyBorder="1" applyAlignment="1" applyProtection="1">
      <alignment horizontal="center" vertical="center" wrapText="1"/>
    </xf>
    <xf numFmtId="0" fontId="48" fillId="36" borderId="0" xfId="0" applyFont="1" applyFill="1" applyAlignment="1" applyProtection="1">
      <alignment vertical="center" wrapText="1"/>
    </xf>
    <xf numFmtId="0" fontId="22" fillId="36" borderId="0" xfId="0" applyFont="1" applyFill="1" applyAlignment="1" applyProtection="1">
      <alignment vertical="center" wrapText="1"/>
    </xf>
    <xf numFmtId="171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 wrapText="1"/>
    </xf>
    <xf numFmtId="0" fontId="31" fillId="0" borderId="0" xfId="0" applyFont="1" applyAlignment="1" applyProtection="1">
      <alignment horizontal="center" vertical="center" wrapText="1"/>
    </xf>
    <xf numFmtId="0" fontId="52" fillId="36" borderId="0" xfId="0" applyFont="1" applyFill="1"/>
    <xf numFmtId="0" fontId="31" fillId="0" borderId="0" xfId="0" applyFont="1"/>
    <xf numFmtId="0" fontId="54" fillId="0" borderId="0" xfId="0" applyFont="1"/>
    <xf numFmtId="0" fontId="4" fillId="36" borderId="0" xfId="0" applyFont="1" applyFill="1" applyAlignment="1" applyProtection="1">
      <alignment vertical="top"/>
    </xf>
    <xf numFmtId="0" fontId="55" fillId="36" borderId="0" xfId="0" applyFont="1" applyFill="1" applyAlignment="1" applyProtection="1">
      <alignment vertical="top"/>
    </xf>
    <xf numFmtId="0" fontId="10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70" fontId="57" fillId="40" borderId="1" xfId="0" applyNumberFormat="1" applyFont="1" applyFill="1" applyBorder="1" applyAlignment="1" applyProtection="1">
      <alignment horizontal="center"/>
    </xf>
    <xf numFmtId="173" fontId="31" fillId="41" borderId="1" xfId="76" applyNumberFormat="1" applyFont="1" applyFill="1" applyBorder="1" applyAlignment="1" applyProtection="1">
      <alignment horizontal="center" vertical="center"/>
    </xf>
    <xf numFmtId="0" fontId="10" fillId="36" borderId="0" xfId="0" applyFont="1" applyFill="1" applyAlignment="1" applyProtection="1">
      <alignment vertical="center" wrapText="1"/>
    </xf>
    <xf numFmtId="171" fontId="31" fillId="0" borderId="0" xfId="74" applyNumberFormat="1" applyFont="1" applyFill="1" applyBorder="1" applyAlignment="1" applyProtection="1">
      <alignment horizontal="center" vertical="center"/>
      <protection locked="0"/>
    </xf>
    <xf numFmtId="171" fontId="10" fillId="0" borderId="0" xfId="74" applyNumberFormat="1" applyFont="1" applyFill="1" applyBorder="1" applyAlignment="1" applyProtection="1">
      <alignment horizontal="center" vertical="center"/>
      <protection locked="0"/>
    </xf>
    <xf numFmtId="170" fontId="31" fillId="35" borderId="1" xfId="73" applyNumberFormat="1" applyFont="1" applyFill="1" applyBorder="1" applyAlignment="1" applyProtection="1">
      <alignment horizontal="right" vertical="center"/>
    </xf>
    <xf numFmtId="177" fontId="31" fillId="37" borderId="1" xfId="74" applyNumberFormat="1" applyFont="1" applyFill="1" applyBorder="1" applyAlignment="1" applyProtection="1">
      <alignment horizontal="center" vertical="center"/>
      <protection locked="0"/>
    </xf>
    <xf numFmtId="170" fontId="22" fillId="35" borderId="1" xfId="73" applyNumberFormat="1" applyFont="1" applyFill="1" applyBorder="1" applyAlignment="1" applyProtection="1">
      <alignment horizontal="center" vertical="center"/>
    </xf>
    <xf numFmtId="179" fontId="22" fillId="35" borderId="1" xfId="73" applyNumberFormat="1" applyFont="1" applyFill="1" applyBorder="1" applyAlignment="1" applyProtection="1">
      <alignment horizontal="center" vertical="center"/>
    </xf>
    <xf numFmtId="171" fontId="68" fillId="37" borderId="1" xfId="74" applyNumberFormat="1" applyFont="1" applyFill="1" applyBorder="1" applyAlignment="1" applyProtection="1">
      <alignment horizontal="center" vertical="center"/>
      <protection locked="0"/>
    </xf>
    <xf numFmtId="0" fontId="68" fillId="36" borderId="0" xfId="0" applyFont="1" applyFill="1" applyAlignment="1" applyProtection="1">
      <alignment vertical="center" wrapText="1"/>
    </xf>
    <xf numFmtId="0" fontId="68" fillId="0" borderId="0" xfId="0" applyFont="1"/>
    <xf numFmtId="173" fontId="31" fillId="43" borderId="0" xfId="76" applyNumberFormat="1" applyFont="1" applyFill="1" applyBorder="1" applyAlignment="1" applyProtection="1">
      <alignment horizontal="center" vertical="top"/>
    </xf>
    <xf numFmtId="0" fontId="10" fillId="43" borderId="0" xfId="0" applyFont="1" applyFill="1" applyAlignment="1" applyProtection="1">
      <alignment vertical="top"/>
    </xf>
    <xf numFmtId="0" fontId="31" fillId="36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vertical="top"/>
    </xf>
    <xf numFmtId="0" fontId="68" fillId="43" borderId="0" xfId="0" applyFont="1" applyFill="1" applyAlignment="1" applyProtection="1">
      <alignment vertical="center" wrapText="1"/>
    </xf>
    <xf numFmtId="0" fontId="68" fillId="43" borderId="0" xfId="0" applyFont="1" applyFill="1" applyAlignment="1" applyProtection="1">
      <alignment horizontal="center" vertical="center" wrapText="1"/>
    </xf>
    <xf numFmtId="0" fontId="10" fillId="43" borderId="0" xfId="0" applyFont="1" applyFill="1" applyAlignment="1" applyProtection="1">
      <alignment vertical="center" wrapText="1"/>
    </xf>
    <xf numFmtId="0" fontId="0" fillId="43" borderId="0" xfId="0" applyFont="1" applyFill="1" applyAlignment="1" applyProtection="1">
      <alignment vertical="top"/>
    </xf>
    <xf numFmtId="171" fontId="31" fillId="43" borderId="0" xfId="74" applyNumberFormat="1" applyFont="1" applyFill="1" applyBorder="1" applyAlignment="1" applyProtection="1">
      <alignment horizontal="center" vertical="center"/>
      <protection locked="0"/>
    </xf>
    <xf numFmtId="180" fontId="31" fillId="37" borderId="1" xfId="74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/>
    <xf numFmtId="0" fontId="69" fillId="0" borderId="0" xfId="0" applyFont="1"/>
    <xf numFmtId="0" fontId="22" fillId="36" borderId="0" xfId="0" applyFont="1" applyFill="1" applyAlignment="1" applyProtection="1">
      <alignment vertical="top"/>
    </xf>
    <xf numFmtId="0" fontId="31" fillId="43" borderId="0" xfId="0" applyFont="1" applyFill="1" applyAlignment="1" applyProtection="1">
      <alignment horizontal="center" vertical="center" wrapText="1"/>
    </xf>
    <xf numFmtId="0" fontId="0" fillId="43" borderId="0" xfId="0" applyFill="1" applyAlignment="1" applyProtection="1">
      <alignment vertical="top"/>
    </xf>
    <xf numFmtId="171" fontId="31" fillId="44" borderId="1" xfId="74" applyNumberFormat="1" applyFont="1" applyFill="1" applyBorder="1" applyAlignment="1" applyProtection="1">
      <alignment horizontal="center" vertical="center"/>
      <protection locked="0"/>
    </xf>
    <xf numFmtId="10" fontId="31" fillId="44" borderId="1" xfId="76" applyNumberFormat="1" applyFont="1" applyFill="1" applyBorder="1" applyAlignment="1" applyProtection="1">
      <alignment horizontal="center" vertical="center"/>
      <protection locked="0"/>
    </xf>
    <xf numFmtId="172" fontId="31" fillId="44" borderId="1" xfId="0" applyNumberFormat="1" applyFont="1" applyFill="1" applyBorder="1" applyAlignment="1" applyProtection="1">
      <alignment horizontal="center" vertical="top"/>
    </xf>
    <xf numFmtId="175" fontId="31" fillId="44" borderId="1" xfId="0" applyNumberFormat="1" applyFont="1" applyFill="1" applyBorder="1" applyAlignment="1" applyProtection="1">
      <alignment horizontal="center" vertical="top"/>
    </xf>
    <xf numFmtId="173" fontId="31" fillId="44" borderId="1" xfId="76" applyNumberFormat="1" applyFont="1" applyFill="1" applyBorder="1" applyAlignment="1" applyProtection="1">
      <alignment horizontal="center" vertical="top"/>
    </xf>
    <xf numFmtId="10" fontId="31" fillId="44" borderId="1" xfId="76" applyNumberFormat="1" applyFont="1" applyFill="1" applyBorder="1" applyAlignment="1" applyProtection="1">
      <alignment horizontal="center" vertical="top"/>
    </xf>
    <xf numFmtId="177" fontId="31" fillId="44" borderId="1" xfId="74" applyNumberFormat="1" applyFont="1" applyFill="1" applyBorder="1" applyAlignment="1" applyProtection="1">
      <alignment horizontal="center" vertical="center"/>
      <protection locked="0"/>
    </xf>
    <xf numFmtId="170" fontId="31" fillId="44" borderId="1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31" fillId="36" borderId="0" xfId="0" applyFont="1" applyFill="1" applyAlignment="1" applyProtection="1">
      <alignment vertical="center" wrapText="1"/>
    </xf>
    <xf numFmtId="14" fontId="31" fillId="38" borderId="1" xfId="0" applyNumberFormat="1" applyFont="1" applyFill="1" applyBorder="1" applyAlignment="1" applyProtection="1">
      <alignment horizontal="center"/>
    </xf>
    <xf numFmtId="180" fontId="31" fillId="44" borderId="1" xfId="0" applyNumberFormat="1" applyFont="1" applyFill="1" applyBorder="1" applyAlignment="1" applyProtection="1">
      <alignment horizontal="center" vertical="top"/>
    </xf>
    <xf numFmtId="0" fontId="14" fillId="44" borderId="1" xfId="0" applyFont="1" applyFill="1" applyBorder="1"/>
    <xf numFmtId="173" fontId="14" fillId="44" borderId="1" xfId="32" applyNumberFormat="1" applyFont="1" applyFill="1" applyBorder="1"/>
    <xf numFmtId="182" fontId="31" fillId="44" borderId="1" xfId="0" applyNumberFormat="1" applyFont="1" applyFill="1" applyBorder="1" applyAlignment="1" applyProtection="1">
      <alignment horizontal="center" vertical="top"/>
    </xf>
    <xf numFmtId="169" fontId="31" fillId="44" borderId="1" xfId="76" applyNumberFormat="1" applyFont="1" applyFill="1" applyBorder="1" applyAlignment="1" applyProtection="1">
      <alignment horizontal="center" vertical="top"/>
    </xf>
    <xf numFmtId="164" fontId="31" fillId="44" borderId="1" xfId="0" applyNumberFormat="1" applyFont="1" applyFill="1" applyBorder="1"/>
    <xf numFmtId="164" fontId="31" fillId="43" borderId="0" xfId="0" applyNumberFormat="1" applyFont="1" applyFill="1" applyBorder="1"/>
    <xf numFmtId="0" fontId="65" fillId="0" borderId="0" xfId="0" applyFont="1"/>
    <xf numFmtId="0" fontId="14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31" fillId="43" borderId="0" xfId="0" applyFont="1" applyFill="1" applyAlignment="1" applyProtection="1">
      <alignment vertical="top"/>
    </xf>
    <xf numFmtId="0" fontId="11" fillId="0" borderId="0" xfId="31" applyFont="1" applyBorder="1" applyAlignment="1" applyProtection="1">
      <alignment horizontal="right"/>
    </xf>
    <xf numFmtId="0" fontId="43" fillId="36" borderId="0" xfId="0" applyFont="1" applyFill="1" applyAlignment="1" applyProtection="1">
      <alignment vertical="center"/>
      <protection locked="0"/>
    </xf>
    <xf numFmtId="0" fontId="51" fillId="36" borderId="0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Alignment="1" applyProtection="1">
      <alignment horizontal="center" vertical="center" wrapText="1"/>
      <protection locked="0"/>
    </xf>
    <xf numFmtId="0" fontId="7" fillId="36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 wrapText="1"/>
      <protection locked="0"/>
    </xf>
    <xf numFmtId="0" fontId="48" fillId="36" borderId="0" xfId="0" applyFont="1" applyFill="1" applyAlignment="1" applyProtection="1">
      <alignment vertical="center" wrapText="1"/>
      <protection locked="0"/>
    </xf>
    <xf numFmtId="0" fontId="22" fillId="36" borderId="0" xfId="0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 applyProtection="1">
      <alignment vertical="center" wrapText="1"/>
      <protection locked="0"/>
    </xf>
    <xf numFmtId="0" fontId="7" fillId="36" borderId="0" xfId="0" applyFont="1" applyFill="1" applyBorder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horizontal="center" vertical="center" wrapText="1"/>
      <protection locked="0"/>
    </xf>
    <xf numFmtId="0" fontId="46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6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4" fillId="0" borderId="0" xfId="0" applyFont="1" applyProtection="1">
      <protection locked="0"/>
    </xf>
    <xf numFmtId="0" fontId="68" fillId="36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vertical="top"/>
      <protection locked="0"/>
    </xf>
    <xf numFmtId="0" fontId="68" fillId="36" borderId="0" xfId="0" applyFont="1" applyFill="1" applyAlignment="1" applyProtection="1">
      <alignment vertical="center" wrapText="1"/>
      <protection locked="0"/>
    </xf>
    <xf numFmtId="0" fontId="68" fillId="0" borderId="0" xfId="0" applyFont="1" applyAlignment="1" applyProtection="1">
      <alignment vertical="center" wrapText="1"/>
      <protection locked="0"/>
    </xf>
    <xf numFmtId="0" fontId="0" fillId="43" borderId="0" xfId="0" applyFill="1" applyBorder="1" applyProtection="1">
      <protection locked="0"/>
    </xf>
    <xf numFmtId="0" fontId="31" fillId="43" borderId="0" xfId="0" applyFont="1" applyFill="1" applyBorder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4" fillId="36" borderId="0" xfId="0" applyFont="1" applyFill="1" applyAlignment="1" applyProtection="1">
      <alignment vertical="top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31" fillId="36" borderId="0" xfId="0" applyFont="1" applyFill="1" applyAlignment="1" applyProtection="1">
      <alignment horizontal="center" vertical="top"/>
      <protection locked="0"/>
    </xf>
    <xf numFmtId="0" fontId="45" fillId="36" borderId="0" xfId="0" applyFont="1" applyFill="1" applyAlignment="1" applyProtection="1">
      <alignment vertical="top"/>
      <protection locked="0"/>
    </xf>
    <xf numFmtId="0" fontId="23" fillId="0" borderId="0" xfId="0" applyFont="1" applyAlignment="1" applyProtection="1">
      <alignment horizontal="left" indent="4"/>
      <protection locked="0"/>
    </xf>
    <xf numFmtId="0" fontId="22" fillId="36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176" fontId="0" fillId="40" borderId="1" xfId="0" applyNumberFormat="1" applyFill="1" applyBorder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165" fontId="0" fillId="40" borderId="1" xfId="0" applyNumberFormat="1" applyFill="1" applyBorder="1" applyProtection="1">
      <protection locked="0"/>
    </xf>
    <xf numFmtId="174" fontId="31" fillId="4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76" fontId="0" fillId="41" borderId="1" xfId="0" applyNumberFormat="1" applyFont="1" applyFill="1" applyBorder="1" applyProtection="1"/>
    <xf numFmtId="178" fontId="4" fillId="41" borderId="1" xfId="0" applyNumberFormat="1" applyFont="1" applyFill="1" applyBorder="1" applyAlignment="1" applyProtection="1">
      <alignment horizontal="center" vertical="center"/>
    </xf>
    <xf numFmtId="165" fontId="4" fillId="41" borderId="1" xfId="0" applyNumberFormat="1" applyFont="1" applyFill="1" applyBorder="1" applyProtection="1"/>
    <xf numFmtId="164" fontId="4" fillId="41" borderId="1" xfId="0" applyNumberFormat="1" applyFont="1" applyFill="1" applyBorder="1" applyProtection="1"/>
    <xf numFmtId="176" fontId="4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3" fillId="0" borderId="0" xfId="0" applyFont="1" applyProtection="1">
      <protection locked="0"/>
    </xf>
    <xf numFmtId="164" fontId="31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1" fillId="36" borderId="0" xfId="0" applyFont="1" applyFill="1" applyAlignment="1" applyProtection="1">
      <alignment vertical="top"/>
      <protection locked="0"/>
    </xf>
    <xf numFmtId="0" fontId="22" fillId="36" borderId="0" xfId="0" applyFont="1" applyFill="1" applyAlignment="1" applyProtection="1">
      <alignment vertical="top"/>
      <protection locked="0"/>
    </xf>
    <xf numFmtId="0" fontId="31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75" fillId="0" borderId="0" xfId="0" applyFont="1" applyProtection="1">
      <protection locked="0"/>
    </xf>
    <xf numFmtId="0" fontId="78" fillId="0" borderId="1" xfId="0" applyFont="1" applyBorder="1" applyAlignment="1" applyProtection="1">
      <alignment horizontal="center"/>
      <protection locked="0"/>
    </xf>
    <xf numFmtId="164" fontId="31" fillId="44" borderId="1" xfId="0" applyNumberFormat="1" applyFont="1" applyFill="1" applyBorder="1" applyProtection="1">
      <protection locked="0"/>
    </xf>
    <xf numFmtId="181" fontId="31" fillId="40" borderId="1" xfId="0" applyNumberFormat="1" applyFont="1" applyFill="1" applyBorder="1" applyProtection="1">
      <protection locked="0"/>
    </xf>
    <xf numFmtId="167" fontId="31" fillId="40" borderId="1" xfId="0" applyNumberFormat="1" applyFont="1" applyFill="1" applyBorder="1" applyProtection="1">
      <protection locked="0"/>
    </xf>
    <xf numFmtId="167" fontId="0" fillId="40" borderId="1" xfId="0" applyNumberFormat="1" applyFill="1" applyBorder="1" applyProtection="1">
      <protection locked="0"/>
    </xf>
    <xf numFmtId="9" fontId="31" fillId="40" borderId="1" xfId="0" applyNumberFormat="1" applyFont="1" applyFill="1" applyBorder="1" applyProtection="1">
      <protection locked="0"/>
    </xf>
    <xf numFmtId="9" fontId="0" fillId="40" borderId="1" xfId="0" applyNumberFormat="1" applyFill="1" applyBorder="1" applyProtection="1">
      <protection locked="0"/>
    </xf>
    <xf numFmtId="176" fontId="31" fillId="40" borderId="1" xfId="0" applyNumberFormat="1" applyFont="1" applyFill="1" applyBorder="1" applyProtection="1">
      <protection locked="0"/>
    </xf>
    <xf numFmtId="0" fontId="70" fillId="0" borderId="0" xfId="0" applyFont="1" applyProtection="1">
      <protection locked="0"/>
    </xf>
    <xf numFmtId="167" fontId="5" fillId="40" borderId="1" xfId="4" applyNumberFormat="1" applyFont="1" applyFill="1" applyBorder="1" applyProtection="1">
      <protection locked="0"/>
    </xf>
    <xf numFmtId="0" fontId="76" fillId="0" borderId="0" xfId="0" applyFont="1" applyProtection="1">
      <protection locked="0"/>
    </xf>
    <xf numFmtId="0" fontId="5" fillId="40" borderId="1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1" fillId="43" borderId="0" xfId="0" applyFont="1" applyFill="1" applyProtection="1">
      <protection locked="0"/>
    </xf>
    <xf numFmtId="0" fontId="68" fillId="43" borderId="0" xfId="0" applyFont="1" applyFill="1" applyProtection="1">
      <protection locked="0"/>
    </xf>
    <xf numFmtId="0" fontId="59" fillId="0" borderId="0" xfId="0" applyFont="1" applyAlignment="1" applyProtection="1">
      <protection locked="0"/>
    </xf>
    <xf numFmtId="164" fontId="31" fillId="43" borderId="0" xfId="0" applyNumberFormat="1" applyFont="1" applyFill="1" applyBorder="1" applyProtection="1">
      <protection locked="0"/>
    </xf>
    <xf numFmtId="0" fontId="10" fillId="43" borderId="0" xfId="0" applyFont="1" applyFill="1" applyProtection="1">
      <protection locked="0"/>
    </xf>
    <xf numFmtId="0" fontId="0" fillId="43" borderId="0" xfId="0" applyFill="1" applyProtection="1">
      <protection locked="0"/>
    </xf>
    <xf numFmtId="182" fontId="31" fillId="40" borderId="1" xfId="0" applyNumberFormat="1" applyFont="1" applyFill="1" applyBorder="1" applyAlignment="1" applyProtection="1">
      <alignment horizontal="center" vertical="top"/>
      <protection locked="0"/>
    </xf>
    <xf numFmtId="0" fontId="10" fillId="36" borderId="0" xfId="0" applyFont="1" applyFill="1" applyAlignment="1" applyProtection="1">
      <alignment vertical="top"/>
      <protection locked="0"/>
    </xf>
    <xf numFmtId="173" fontId="31" fillId="40" borderId="1" xfId="76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protection locked="0"/>
    </xf>
    <xf numFmtId="173" fontId="31" fillId="40" borderId="1" xfId="76" applyNumberFormat="1" applyFont="1" applyFill="1" applyBorder="1" applyProtection="1">
      <protection locked="0"/>
    </xf>
    <xf numFmtId="173" fontId="0" fillId="40" borderId="1" xfId="76" applyNumberFormat="1" applyFont="1" applyFill="1" applyBorder="1" applyProtection="1">
      <protection locked="0"/>
    </xf>
    <xf numFmtId="0" fontId="59" fillId="0" borderId="0" xfId="0" applyFont="1" applyAlignment="1" applyProtection="1">
      <alignment horizontal="left" indent="4"/>
      <protection locked="0"/>
    </xf>
    <xf numFmtId="0" fontId="31" fillId="0" borderId="0" xfId="0" applyFont="1" applyAlignment="1" applyProtection="1">
      <alignment horizontal="left" indent="4"/>
      <protection locked="0"/>
    </xf>
    <xf numFmtId="0" fontId="59" fillId="0" borderId="0" xfId="0" applyFont="1" applyProtection="1">
      <protection locked="0"/>
    </xf>
    <xf numFmtId="0" fontId="9" fillId="43" borderId="0" xfId="0" applyFont="1" applyFill="1" applyBorder="1" applyAlignment="1" applyProtection="1">
      <alignment horizontal="center"/>
      <protection locked="0"/>
    </xf>
    <xf numFmtId="164" fontId="22" fillId="41" borderId="1" xfId="0" applyNumberFormat="1" applyFont="1" applyFill="1" applyBorder="1" applyProtection="1"/>
    <xf numFmtId="176" fontId="22" fillId="41" borderId="1" xfId="0" applyNumberFormat="1" applyFont="1" applyFill="1" applyBorder="1" applyProtection="1"/>
    <xf numFmtId="166" fontId="80" fillId="41" borderId="1" xfId="4" applyFont="1" applyFill="1" applyBorder="1" applyProtection="1"/>
    <xf numFmtId="0" fontId="55" fillId="0" borderId="0" xfId="0" applyFont="1" applyProtection="1">
      <protection locked="0"/>
    </xf>
    <xf numFmtId="164" fontId="4" fillId="40" borderId="1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181" fontId="0" fillId="40" borderId="1" xfId="0" applyNumberFormat="1" applyFill="1" applyBorder="1" applyProtection="1">
      <protection locked="0"/>
    </xf>
    <xf numFmtId="169" fontId="0" fillId="40" borderId="1" xfId="0" applyNumberFormat="1" applyFill="1" applyBorder="1" applyProtection="1">
      <protection locked="0"/>
    </xf>
    <xf numFmtId="0" fontId="0" fillId="0" borderId="0" xfId="0" applyProtection="1"/>
    <xf numFmtId="0" fontId="10" fillId="0" borderId="0" xfId="0" applyFont="1" applyFill="1" applyBorder="1" applyProtection="1">
      <protection locked="0"/>
    </xf>
    <xf numFmtId="176" fontId="14" fillId="0" borderId="0" xfId="0" applyNumberFormat="1" applyFont="1" applyProtection="1">
      <protection locked="0"/>
    </xf>
    <xf numFmtId="0" fontId="12" fillId="0" borderId="0" xfId="3" applyFont="1" applyProtection="1">
      <protection locked="0"/>
    </xf>
    <xf numFmtId="0" fontId="31" fillId="0" borderId="0" xfId="3" applyFont="1" applyAlignment="1" applyProtection="1">
      <alignment horizontal="center"/>
      <protection locked="0"/>
    </xf>
    <xf numFmtId="0" fontId="42" fillId="0" borderId="0" xfId="3" quotePrefix="1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22" fillId="0" borderId="0" xfId="3" applyFont="1" applyAlignment="1" applyProtection="1">
      <alignment horizontal="center"/>
      <protection locked="0"/>
    </xf>
    <xf numFmtId="169" fontId="31" fillId="2" borderId="1" xfId="3" applyNumberFormat="1" applyFont="1" applyFill="1" applyBorder="1" applyProtection="1">
      <protection locked="0"/>
    </xf>
    <xf numFmtId="169" fontId="42" fillId="0" borderId="0" xfId="3" applyNumberFormat="1" applyFo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Protection="1">
      <protection locked="0"/>
    </xf>
    <xf numFmtId="169" fontId="12" fillId="35" borderId="1" xfId="3" applyNumberFormat="1" applyFont="1" applyFill="1" applyBorder="1" applyProtection="1">
      <protection locked="0"/>
    </xf>
    <xf numFmtId="0" fontId="43" fillId="36" borderId="0" xfId="0" applyFont="1" applyFill="1" applyAlignment="1" applyProtection="1">
      <alignment vertical="top"/>
    </xf>
    <xf numFmtId="0" fontId="12" fillId="0" borderId="0" xfId="3" applyFont="1" applyProtection="1"/>
    <xf numFmtId="0" fontId="63" fillId="0" borderId="0" xfId="3" applyFont="1" applyProtection="1"/>
    <xf numFmtId="0" fontId="41" fillId="0" borderId="0" xfId="3" applyFont="1" applyProtection="1"/>
    <xf numFmtId="0" fontId="48" fillId="0" borderId="0" xfId="3" applyFont="1" applyProtection="1"/>
    <xf numFmtId="0" fontId="25" fillId="0" borderId="0" xfId="3" applyFont="1" applyProtection="1"/>
    <xf numFmtId="169" fontId="12" fillId="0" borderId="13" xfId="3" applyNumberFormat="1" applyFont="1" applyBorder="1" applyProtection="1"/>
    <xf numFmtId="0" fontId="12" fillId="0" borderId="0" xfId="31" applyFont="1" applyFill="1" applyBorder="1" applyProtection="1">
      <protection locked="0"/>
    </xf>
    <xf numFmtId="0" fontId="12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Alignment="1" applyProtection="1">
      <alignment horizontal="center"/>
      <protection locked="0"/>
    </xf>
    <xf numFmtId="0" fontId="11" fillId="0" borderId="0" xfId="31" applyFont="1" applyBorder="1" applyProtection="1">
      <protection locked="0"/>
    </xf>
    <xf numFmtId="169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" applyNumberFormat="1" applyFont="1" applyProtection="1">
      <protection locked="0"/>
    </xf>
    <xf numFmtId="169" fontId="12" fillId="0" borderId="0" xfId="31" applyNumberFormat="1" applyFont="1" applyFill="1" applyBorder="1" applyAlignment="1" applyProtection="1">
      <alignment horizontal="right"/>
      <protection locked="0"/>
    </xf>
    <xf numFmtId="169" fontId="12" fillId="0" borderId="0" xfId="3" applyNumberFormat="1" applyFont="1" applyAlignment="1" applyProtection="1">
      <alignment horizontal="right"/>
      <protection locked="0"/>
    </xf>
    <xf numFmtId="0" fontId="13" fillId="0" borderId="0" xfId="31" applyFont="1" applyBorder="1" applyProtection="1">
      <protection locked="0"/>
    </xf>
    <xf numFmtId="0" fontId="25" fillId="0" borderId="0" xfId="31" applyFont="1" applyBorder="1" applyProtection="1">
      <protection locked="0"/>
    </xf>
    <xf numFmtId="168" fontId="12" fillId="0" borderId="0" xfId="31" applyNumberFormat="1" applyFont="1" applyBorder="1" applyAlignment="1" applyProtection="1">
      <alignment horizontal="right"/>
      <protection locked="0"/>
    </xf>
    <xf numFmtId="168" fontId="12" fillId="0" borderId="0" xfId="31" applyNumberFormat="1" applyFont="1" applyBorder="1" applyProtection="1">
      <protection locked="0"/>
    </xf>
    <xf numFmtId="0" fontId="40" fillId="0" borderId="0" xfId="31" applyFont="1" applyBorder="1" applyProtection="1">
      <protection locked="0"/>
    </xf>
    <xf numFmtId="0" fontId="11" fillId="0" borderId="0" xfId="3" applyFont="1" applyProtection="1"/>
    <xf numFmtId="0" fontId="12" fillId="0" borderId="0" xfId="3" applyFont="1" applyBorder="1" applyProtection="1"/>
    <xf numFmtId="0" fontId="18" fillId="0" borderId="0" xfId="0" applyFont="1" applyAlignment="1" applyProtection="1">
      <alignment horizontal="left" indent="3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71" fillId="0" borderId="0" xfId="0" applyFont="1" applyProtection="1">
      <protection locked="0"/>
    </xf>
    <xf numFmtId="164" fontId="31" fillId="42" borderId="1" xfId="0" applyNumberFormat="1" applyFont="1" applyFill="1" applyBorder="1" applyProtection="1"/>
    <xf numFmtId="183" fontId="31" fillId="40" borderId="1" xfId="0" applyNumberFormat="1" applyFont="1" applyFill="1" applyBorder="1" applyProtection="1">
      <protection locked="0"/>
    </xf>
    <xf numFmtId="183" fontId="31" fillId="42" borderId="1" xfId="0" applyNumberFormat="1" applyFont="1" applyFill="1" applyBorder="1" applyProtection="1"/>
    <xf numFmtId="183" fontId="31" fillId="44" borderId="1" xfId="0" applyNumberFormat="1" applyFont="1" applyFill="1" applyBorder="1" applyProtection="1">
      <protection locked="0"/>
    </xf>
    <xf numFmtId="14" fontId="31" fillId="38" borderId="1" xfId="0" quotePrefix="1" applyNumberFormat="1" applyFont="1" applyFill="1" applyBorder="1" applyAlignment="1" applyProtection="1">
      <alignment horizontal="center"/>
    </xf>
    <xf numFmtId="0" fontId="31" fillId="3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44" borderId="1" xfId="0" applyNumberFormat="1" applyFill="1" applyBorder="1" applyProtection="1">
      <protection locked="0"/>
    </xf>
    <xf numFmtId="0" fontId="81" fillId="36" borderId="0" xfId="0" applyFont="1" applyFill="1" applyAlignment="1" applyProtection="1">
      <alignment horizontal="center" vertical="top"/>
    </xf>
    <xf numFmtId="0" fontId="31" fillId="43" borderId="0" xfId="0" applyFont="1" applyFill="1" applyAlignment="1" applyProtection="1">
      <alignment horizontal="center" vertical="top"/>
    </xf>
    <xf numFmtId="0" fontId="31" fillId="0" borderId="0" xfId="0" applyFont="1" applyAlignment="1">
      <alignment horizontal="center"/>
    </xf>
    <xf numFmtId="169" fontId="31" fillId="42" borderId="1" xfId="76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9" fontId="4" fillId="45" borderId="1" xfId="0" applyNumberFormat="1" applyFont="1" applyFill="1" applyBorder="1" applyProtection="1">
      <protection locked="0"/>
    </xf>
    <xf numFmtId="0" fontId="85" fillId="0" borderId="0" xfId="0" applyFont="1" applyAlignme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68" fontId="22" fillId="41" borderId="1" xfId="0" applyNumberFormat="1" applyFont="1" applyFill="1" applyBorder="1" applyProtection="1"/>
    <xf numFmtId="0" fontId="86" fillId="0" borderId="0" xfId="0" applyFont="1" applyProtection="1">
      <protection locked="0"/>
    </xf>
    <xf numFmtId="170" fontId="31" fillId="44" borderId="1" xfId="74" applyNumberFormat="1" applyFont="1" applyFill="1" applyBorder="1" applyAlignment="1" applyProtection="1">
      <alignment horizontal="right" vertical="center"/>
      <protection locked="0"/>
    </xf>
    <xf numFmtId="176" fontId="4" fillId="42" borderId="1" xfId="0" applyNumberFormat="1" applyFont="1" applyFill="1" applyBorder="1" applyProtection="1"/>
    <xf numFmtId="0" fontId="0" fillId="0" borderId="0" xfId="0" applyAlignment="1" applyProtection="1">
      <alignment horizontal="left"/>
      <protection locked="0"/>
    </xf>
    <xf numFmtId="183" fontId="4" fillId="41" borderId="1" xfId="0" applyNumberFormat="1" applyFont="1" applyFill="1" applyBorder="1" applyProtection="1"/>
    <xf numFmtId="170" fontId="31" fillId="43" borderId="0" xfId="73" applyNumberFormat="1" applyFont="1" applyFill="1" applyBorder="1" applyAlignment="1" applyProtection="1">
      <alignment horizontal="right" vertical="center"/>
    </xf>
    <xf numFmtId="183" fontId="0" fillId="0" borderId="0" xfId="0" applyNumberFormat="1" applyProtection="1">
      <protection locked="0"/>
    </xf>
    <xf numFmtId="183" fontId="4" fillId="42" borderId="1" xfId="0" applyNumberFormat="1" applyFont="1" applyFill="1" applyBorder="1" applyProtection="1"/>
    <xf numFmtId="0" fontId="87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84" fontId="31" fillId="44" borderId="1" xfId="76" applyNumberFormat="1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2" fontId="31" fillId="44" borderId="1" xfId="74" applyNumberFormat="1" applyFont="1" applyFill="1" applyBorder="1" applyAlignment="1" applyProtection="1">
      <alignment horizontal="center" vertical="center"/>
      <protection locked="0"/>
    </xf>
    <xf numFmtId="172" fontId="31" fillId="42" borderId="1" xfId="74" applyNumberFormat="1" applyFont="1" applyFill="1" applyBorder="1" applyAlignment="1" applyProtection="1">
      <alignment horizontal="center" vertical="center"/>
    </xf>
    <xf numFmtId="177" fontId="31" fillId="0" borderId="0" xfId="74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6" fontId="0" fillId="41" borderId="17" xfId="0" applyNumberFormat="1" applyFont="1" applyFill="1" applyBorder="1" applyProtection="1"/>
    <xf numFmtId="176" fontId="0" fillId="0" borderId="16" xfId="0" applyNumberFormat="1" applyFill="1" applyBorder="1" applyProtection="1">
      <protection locked="0"/>
    </xf>
    <xf numFmtId="164" fontId="0" fillId="0" borderId="3" xfId="0" applyNumberFormat="1" applyFill="1" applyBorder="1" applyProtection="1">
      <protection locked="0"/>
    </xf>
    <xf numFmtId="9" fontId="31" fillId="44" borderId="1" xfId="76" applyFont="1" applyFill="1" applyBorder="1" applyAlignment="1" applyProtection="1">
      <alignment horizontal="center" vertical="center"/>
      <protection locked="0"/>
    </xf>
    <xf numFmtId="0" fontId="48" fillId="36" borderId="0" xfId="0" applyFont="1" applyFill="1" applyAlignment="1" applyProtection="1">
      <alignment vertical="center"/>
      <protection locked="0"/>
    </xf>
    <xf numFmtId="185" fontId="31" fillId="37" borderId="1" xfId="0" applyNumberFormat="1" applyFont="1" applyFill="1" applyBorder="1" applyAlignment="1">
      <alignment horizontal="right"/>
    </xf>
    <xf numFmtId="170" fontId="31" fillId="38" borderId="1" xfId="0" quotePrefix="1" applyNumberFormat="1" applyFont="1" applyFill="1" applyBorder="1" applyAlignment="1" applyProtection="1">
      <alignment horizontal="center"/>
    </xf>
    <xf numFmtId="170" fontId="31" fillId="38" borderId="1" xfId="0" applyNumberFormat="1" applyFont="1" applyFill="1" applyBorder="1" applyAlignment="1" applyProtection="1">
      <alignment horizontal="left" wrapText="1"/>
    </xf>
    <xf numFmtId="164" fontId="31" fillId="46" borderId="1" xfId="0" applyNumberFormat="1" applyFont="1" applyFill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22" fillId="35" borderId="1" xfId="73" applyNumberFormat="1" applyFont="1" applyFill="1" applyBorder="1" applyAlignment="1" applyProtection="1">
      <alignment horizontal="center" vertical="center"/>
    </xf>
    <xf numFmtId="176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186" fontId="31" fillId="42" borderId="1" xfId="0" applyNumberFormat="1" applyFont="1" applyFill="1" applyBorder="1" applyAlignment="1" applyProtection="1">
      <alignment horizontal="center"/>
      <protection locked="0"/>
    </xf>
    <xf numFmtId="0" fontId="65" fillId="0" borderId="0" xfId="81" applyFont="1" applyProtection="1">
      <protection locked="0"/>
    </xf>
    <xf numFmtId="0" fontId="5" fillId="0" borderId="0" xfId="81" applyProtection="1">
      <protection locked="0"/>
    </xf>
    <xf numFmtId="0" fontId="88" fillId="0" borderId="0" xfId="81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81" applyFont="1" applyProtection="1"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31" fillId="0" borderId="0" xfId="81" applyFont="1" applyProtection="1">
      <protection locked="0"/>
    </xf>
    <xf numFmtId="164" fontId="31" fillId="2" borderId="1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>
      <protection locked="0"/>
    </xf>
    <xf numFmtId="164" fontId="31" fillId="0" borderId="19" xfId="0" applyNumberFormat="1" applyFont="1" applyFill="1" applyBorder="1" applyProtection="1">
      <protection locked="0"/>
    </xf>
    <xf numFmtId="164" fontId="31" fillId="42" borderId="1" xfId="0" applyNumberFormat="1" applyFont="1" applyFill="1" applyBorder="1" applyProtection="1">
      <protection locked="0"/>
    </xf>
    <xf numFmtId="0" fontId="22" fillId="0" borderId="0" xfId="81" applyFont="1" applyProtection="1">
      <protection locked="0"/>
    </xf>
    <xf numFmtId="164" fontId="22" fillId="42" borderId="1" xfId="0" applyNumberFormat="1" applyFont="1" applyFill="1" applyBorder="1" applyProtection="1">
      <protection locked="0"/>
    </xf>
    <xf numFmtId="170" fontId="22" fillId="0" borderId="18" xfId="7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Protection="1">
      <protection locked="0"/>
    </xf>
    <xf numFmtId="0" fontId="66" fillId="0" borderId="0" xfId="81" applyFont="1" applyProtection="1">
      <protection locked="0"/>
    </xf>
    <xf numFmtId="0" fontId="5" fillId="0" borderId="0" xfId="81" applyFont="1" applyFill="1" applyBorder="1" applyProtection="1">
      <protection locked="0"/>
    </xf>
    <xf numFmtId="0" fontId="14" fillId="0" borderId="0" xfId="81" applyFont="1" applyFill="1" applyProtection="1">
      <protection locked="0"/>
    </xf>
    <xf numFmtId="164" fontId="31" fillId="0" borderId="0" xfId="0" applyNumberFormat="1" applyFont="1" applyFill="1" applyBorder="1" applyProtection="1">
      <protection locked="0"/>
    </xf>
    <xf numFmtId="164" fontId="31" fillId="0" borderId="18" xfId="0" applyNumberFormat="1" applyFont="1" applyFill="1" applyBorder="1" applyProtection="1"/>
    <xf numFmtId="183" fontId="31" fillId="0" borderId="20" xfId="0" applyNumberFormat="1" applyFont="1" applyFill="1" applyBorder="1" applyProtection="1">
      <protection locked="0"/>
    </xf>
    <xf numFmtId="183" fontId="31" fillId="0" borderId="19" xfId="0" applyNumberFormat="1" applyFont="1" applyFill="1" applyBorder="1" applyProtection="1">
      <protection locked="0"/>
    </xf>
    <xf numFmtId="183" fontId="31" fillId="0" borderId="20" xfId="0" applyNumberFormat="1" applyFont="1" applyFill="1" applyBorder="1" applyProtection="1"/>
    <xf numFmtId="183" fontId="31" fillId="0" borderId="19" xfId="0" applyNumberFormat="1" applyFont="1" applyFill="1" applyBorder="1" applyProtection="1"/>
    <xf numFmtId="170" fontId="31" fillId="40" borderId="1" xfId="0" applyNumberFormat="1" applyFont="1" applyFill="1" applyBorder="1" applyAlignment="1" applyProtection="1">
      <protection locked="0"/>
    </xf>
    <xf numFmtId="170" fontId="31" fillId="0" borderId="18" xfId="0" applyNumberFormat="1" applyFont="1" applyFill="1" applyBorder="1" applyAlignment="1" applyProtection="1">
      <alignment horizontal="center"/>
      <protection locked="0"/>
    </xf>
    <xf numFmtId="170" fontId="31" fillId="2" borderId="1" xfId="0" applyNumberFormat="1" applyFont="1" applyFill="1" applyBorder="1" applyAlignment="1" applyProtection="1">
      <protection locked="0"/>
    </xf>
    <xf numFmtId="186" fontId="0" fillId="0" borderId="0" xfId="0" applyNumberFormat="1" applyProtection="1">
      <protection locked="0"/>
    </xf>
    <xf numFmtId="0" fontId="4" fillId="0" borderId="0" xfId="0" applyFont="1" applyFill="1" applyBorder="1" applyProtection="1">
      <protection locked="0"/>
    </xf>
    <xf numFmtId="186" fontId="4" fillId="0" borderId="0" xfId="0" applyNumberFormat="1" applyFont="1" applyProtection="1">
      <protection locked="0"/>
    </xf>
    <xf numFmtId="186" fontId="0" fillId="0" borderId="5" xfId="0" applyNumberFormat="1" applyFill="1" applyBorder="1" applyProtection="1">
      <protection locked="0"/>
    </xf>
    <xf numFmtId="186" fontId="0" fillId="0" borderId="16" xfId="0" applyNumberFormat="1" applyFill="1" applyBorder="1" applyProtection="1">
      <protection locked="0"/>
    </xf>
    <xf numFmtId="186" fontId="0" fillId="0" borderId="3" xfId="0" applyNumberFormat="1" applyFill="1" applyBorder="1" applyProtection="1">
      <protection locked="0"/>
    </xf>
    <xf numFmtId="186" fontId="0" fillId="0" borderId="19" xfId="0" applyNumberFormat="1" applyFill="1" applyBorder="1" applyProtection="1">
      <protection locked="0"/>
    </xf>
    <xf numFmtId="186" fontId="0" fillId="0" borderId="0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 applyProtection="1">
      <alignment horizontal="left" vertical="center" wrapText="1"/>
    </xf>
    <xf numFmtId="170" fontId="31" fillId="38" borderId="1" xfId="0" quotePrefix="1" applyNumberFormat="1" applyFont="1" applyFill="1" applyBorder="1" applyAlignment="1" applyProtection="1">
      <alignment horizontal="left" wrapText="1"/>
    </xf>
    <xf numFmtId="0" fontId="0" fillId="36" borderId="0" xfId="0" applyFont="1" applyFill="1" applyAlignment="1" applyProtection="1">
      <alignment horizontal="left" vertical="top"/>
    </xf>
    <xf numFmtId="0" fontId="0" fillId="36" borderId="0" xfId="0" applyFont="1" applyFill="1" applyAlignment="1" applyProtection="1">
      <alignment horizontal="right" vertical="top"/>
    </xf>
    <xf numFmtId="0" fontId="31" fillId="36" borderId="0" xfId="0" applyFont="1" applyFill="1" applyAlignment="1" applyProtection="1">
      <alignment vertical="center" wrapText="1"/>
      <protection locked="0"/>
    </xf>
    <xf numFmtId="164" fontId="0" fillId="41" borderId="1" xfId="0" applyNumberFormat="1" applyFont="1" applyFill="1" applyBorder="1" applyProtection="1"/>
    <xf numFmtId="164" fontId="31" fillId="40" borderId="1" xfId="0" applyNumberFormat="1" applyFont="1" applyFill="1" applyBorder="1" applyProtection="1">
      <protection locked="0"/>
    </xf>
    <xf numFmtId="170" fontId="31" fillId="38" borderId="1" xfId="0" quotePrefix="1" applyNumberFormat="1" applyFont="1" applyFill="1" applyBorder="1" applyAlignment="1" applyProtection="1">
      <alignment horizontal="left"/>
    </xf>
    <xf numFmtId="172" fontId="31" fillId="37" borderId="1" xfId="74" applyNumberFormat="1" applyFont="1" applyFill="1" applyBorder="1" applyAlignment="1" applyProtection="1">
      <alignment horizontal="center" vertical="center"/>
      <protection locked="0"/>
    </xf>
    <xf numFmtId="188" fontId="4" fillId="41" borderId="1" xfId="0" applyNumberFormat="1" applyFont="1" applyFill="1" applyBorder="1" applyProtection="1"/>
    <xf numFmtId="189" fontId="31" fillId="42" borderId="1" xfId="74" applyNumberFormat="1" applyFont="1" applyFill="1" applyBorder="1" applyAlignment="1" applyProtection="1">
      <alignment horizontal="center" vertical="center"/>
    </xf>
    <xf numFmtId="190" fontId="0" fillId="40" borderId="1" xfId="0" applyNumberFormat="1" applyFill="1" applyBorder="1" applyProtection="1">
      <protection locked="0"/>
    </xf>
    <xf numFmtId="164" fontId="31" fillId="0" borderId="0" xfId="0" applyNumberFormat="1" applyFont="1" applyProtection="1">
      <protection locked="0"/>
    </xf>
    <xf numFmtId="191" fontId="31" fillId="37" borderId="1" xfId="74" applyNumberFormat="1" applyFont="1" applyFill="1" applyBorder="1" applyAlignment="1" applyProtection="1">
      <alignment horizontal="center" vertical="center"/>
      <protection locked="0"/>
    </xf>
    <xf numFmtId="172" fontId="31" fillId="0" borderId="0" xfId="74" applyNumberFormat="1" applyFont="1" applyFill="1" applyBorder="1" applyAlignment="1" applyProtection="1">
      <alignment horizontal="center" vertical="center"/>
      <protection locked="0"/>
    </xf>
    <xf numFmtId="172" fontId="31" fillId="36" borderId="0" xfId="0" applyNumberFormat="1" applyFont="1" applyFill="1" applyAlignment="1" applyProtection="1">
      <alignment vertical="center" wrapText="1"/>
      <protection locked="0"/>
    </xf>
    <xf numFmtId="0" fontId="31" fillId="37" borderId="4" xfId="0" applyNumberFormat="1" applyFont="1" applyFill="1" applyBorder="1" applyAlignment="1">
      <alignment horizontal="left"/>
    </xf>
    <xf numFmtId="0" fontId="31" fillId="37" borderId="6" xfId="0" applyNumberFormat="1" applyFont="1" applyFill="1" applyBorder="1" applyAlignment="1">
      <alignment horizontal="left"/>
    </xf>
    <xf numFmtId="0" fontId="31" fillId="37" borderId="5" xfId="0" applyNumberFormat="1" applyFont="1" applyFill="1" applyBorder="1" applyAlignment="1">
      <alignment horizontal="left"/>
    </xf>
    <xf numFmtId="0" fontId="31" fillId="37" borderId="12" xfId="0" applyNumberFormat="1" applyFont="1" applyFill="1" applyBorder="1" applyAlignment="1">
      <alignment horizontal="left"/>
    </xf>
    <xf numFmtId="185" fontId="31" fillId="37" borderId="1" xfId="639" applyNumberFormat="1" applyFont="1" applyFill="1" applyBorder="1" applyAlignment="1">
      <alignment horizontal="right"/>
    </xf>
    <xf numFmtId="190" fontId="31" fillId="40" borderId="1" xfId="0" applyNumberFormat="1" applyFont="1" applyFill="1" applyBorder="1" applyProtection="1">
      <protection locked="0"/>
    </xf>
    <xf numFmtId="199" fontId="31" fillId="40" borderId="4" xfId="0" applyNumberFormat="1" applyFont="1" applyFill="1" applyBorder="1" applyProtection="1">
      <protection locked="0"/>
    </xf>
    <xf numFmtId="199" fontId="31" fillId="40" borderId="1" xfId="0" applyNumberFormat="1" applyFont="1" applyFill="1" applyBorder="1" applyProtection="1">
      <protection locked="0"/>
    </xf>
    <xf numFmtId="199" fontId="0" fillId="41" borderId="1" xfId="0" applyNumberFormat="1" applyFont="1" applyFill="1" applyBorder="1" applyProtection="1"/>
    <xf numFmtId="169" fontId="12" fillId="0" borderId="0" xfId="3" applyNumberFormat="1" applyFont="1" applyProtection="1">
      <protection locked="0"/>
    </xf>
    <xf numFmtId="2" fontId="10" fillId="0" borderId="0" xfId="0" applyNumberFormat="1" applyFont="1" applyProtection="1">
      <protection locked="0"/>
    </xf>
    <xf numFmtId="0" fontId="0" fillId="130" borderId="0" xfId="0" applyFill="1" applyAlignment="1" applyProtection="1">
      <alignment vertical="top"/>
    </xf>
    <xf numFmtId="0" fontId="0" fillId="130" borderId="0" xfId="0" applyFont="1" applyFill="1" applyAlignment="1" applyProtection="1">
      <alignment vertical="top"/>
    </xf>
    <xf numFmtId="10" fontId="31" fillId="130" borderId="1" xfId="76" applyNumberFormat="1" applyFont="1" applyFill="1" applyBorder="1" applyAlignment="1" applyProtection="1">
      <alignment horizontal="center" vertical="top"/>
    </xf>
    <xf numFmtId="172" fontId="31" fillId="130" borderId="1" xfId="0" applyNumberFormat="1" applyFont="1" applyFill="1" applyBorder="1" applyAlignment="1" applyProtection="1">
      <alignment horizontal="center" vertical="top"/>
    </xf>
    <xf numFmtId="0" fontId="151" fillId="0" borderId="0" xfId="0" applyFont="1" applyProtection="1">
      <protection locked="0"/>
    </xf>
    <xf numFmtId="0" fontId="4" fillId="130" borderId="0" xfId="0" applyFont="1" applyFill="1" applyAlignment="1" applyProtection="1">
      <alignment vertical="top"/>
    </xf>
    <xf numFmtId="170" fontId="31" fillId="38" borderId="1" xfId="0" applyNumberFormat="1" applyFont="1" applyFill="1" applyBorder="1" applyAlignment="1" applyProtection="1">
      <alignment horizontal="center" wrapText="1"/>
    </xf>
    <xf numFmtId="170" fontId="31" fillId="38" borderId="1" xfId="0" quotePrefix="1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172" fontId="31" fillId="2" borderId="1" xfId="74" applyNumberFormat="1" applyFont="1" applyFill="1" applyBorder="1" applyAlignment="1" applyProtection="1">
      <alignment horizontal="center" vertical="center"/>
      <protection locked="0"/>
    </xf>
    <xf numFmtId="171" fontId="31" fillId="2" borderId="1" xfId="74" applyNumberFormat="1" applyFont="1" applyFill="1" applyBorder="1" applyAlignment="1" applyProtection="1">
      <alignment horizontal="center" vertical="center"/>
      <protection locked="0"/>
    </xf>
    <xf numFmtId="188" fontId="22" fillId="41" borderId="1" xfId="0" applyNumberFormat="1" applyFont="1" applyFill="1" applyBorder="1" applyAlignment="1" applyProtection="1">
      <alignment horizontal="center"/>
      <protection locked="0"/>
    </xf>
    <xf numFmtId="0" fontId="22" fillId="43" borderId="0" xfId="0" applyFont="1" applyFill="1" applyProtection="1">
      <protection locked="0"/>
    </xf>
    <xf numFmtId="175" fontId="31" fillId="2" borderId="1" xfId="74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 indent="3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locked="0"/>
    </xf>
    <xf numFmtId="164" fontId="31" fillId="43" borderId="12" xfId="0" applyNumberFormat="1" applyFont="1" applyFill="1" applyBorder="1" applyProtection="1">
      <protection locked="0"/>
    </xf>
    <xf numFmtId="164" fontId="31" fillId="43" borderId="5" xfId="0" applyNumberFormat="1" applyFont="1" applyFill="1" applyBorder="1" applyProtection="1">
      <protection locked="0"/>
    </xf>
    <xf numFmtId="164" fontId="0" fillId="2" borderId="61" xfId="0" applyNumberForma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0" fillId="0" borderId="0" xfId="0"/>
    <xf numFmtId="170" fontId="22" fillId="35" borderId="1" xfId="73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64" fontId="0" fillId="40" borderId="1" xfId="0" applyNumberFormat="1" applyFill="1" applyBorder="1" applyProtection="1">
      <protection locked="0"/>
    </xf>
    <xf numFmtId="0" fontId="10" fillId="0" borderId="0" xfId="0" applyFont="1" applyProtection="1">
      <protection locked="0"/>
    </xf>
    <xf numFmtId="0" fontId="62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31" fillId="0" borderId="0" xfId="0" applyFont="1" applyAlignment="1" applyProtection="1">
      <alignment horizontal="center"/>
      <protection locked="0"/>
    </xf>
    <xf numFmtId="164" fontId="31" fillId="2" borderId="1" xfId="0" applyNumberFormat="1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2" borderId="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00" fontId="0" fillId="40" borderId="1" xfId="0" applyNumberFormat="1" applyFill="1" applyBorder="1" applyProtection="1">
      <protection locked="0"/>
    </xf>
    <xf numFmtId="0" fontId="14" fillId="43" borderId="0" xfId="0" applyFont="1" applyFill="1" applyProtection="1"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31" fillId="4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>
      <alignment wrapText="1"/>
    </xf>
    <xf numFmtId="9" fontId="0" fillId="0" borderId="0" xfId="76" applyFont="1" applyAlignment="1">
      <alignment horizontal="center"/>
    </xf>
    <xf numFmtId="9" fontId="9" fillId="0" borderId="0" xfId="76" applyFont="1" applyAlignment="1">
      <alignment horizontal="center"/>
    </xf>
    <xf numFmtId="0" fontId="0" fillId="131" borderId="1" xfId="0" applyFill="1" applyBorder="1" applyAlignment="1">
      <alignment horizontal="center"/>
    </xf>
    <xf numFmtId="0" fontId="9" fillId="131" borderId="1" xfId="0" applyFont="1" applyFill="1" applyBorder="1" applyAlignment="1">
      <alignment horizontal="center"/>
    </xf>
    <xf numFmtId="20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200" fontId="0" fillId="40" borderId="1" xfId="0" applyNumberFormat="1" applyFill="1" applyBorder="1" applyAlignment="1">
      <alignment horizontal="center"/>
    </xf>
    <xf numFmtId="164" fontId="0" fillId="40" borderId="1" xfId="0" applyNumberFormat="1" applyFill="1" applyBorder="1" applyAlignment="1">
      <alignment horizontal="center"/>
    </xf>
    <xf numFmtId="164" fontId="0" fillId="131" borderId="1" xfId="0" applyNumberFormat="1" applyFill="1" applyBorder="1" applyProtection="1">
      <protection locked="0"/>
    </xf>
    <xf numFmtId="200" fontId="0" fillId="131" borderId="1" xfId="0" applyNumberFormat="1" applyFill="1" applyBorder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201" fontId="31" fillId="36" borderId="0" xfId="0" applyNumberFormat="1" applyFont="1" applyFill="1" applyAlignment="1" applyProtection="1">
      <alignment vertical="center" wrapText="1"/>
      <protection locked="0"/>
    </xf>
    <xf numFmtId="164" fontId="10" fillId="2" borderId="1" xfId="0" applyNumberFormat="1" applyFont="1" applyFill="1" applyBorder="1" applyAlignment="1" applyProtection="1">
      <alignment vertical="center"/>
      <protection locked="0"/>
    </xf>
    <xf numFmtId="190" fontId="31" fillId="2" borderId="1" xfId="0" applyNumberFormat="1" applyFont="1" applyFill="1" applyBorder="1" applyProtection="1">
      <protection locked="0"/>
    </xf>
    <xf numFmtId="203" fontId="31" fillId="2" borderId="1" xfId="0" applyNumberFormat="1" applyFont="1" applyFill="1" applyBorder="1" applyProtection="1">
      <protection locked="0"/>
    </xf>
    <xf numFmtId="203" fontId="31" fillId="0" borderId="0" xfId="0" applyNumberFormat="1" applyFont="1" applyProtection="1">
      <protection locked="0"/>
    </xf>
    <xf numFmtId="164" fontId="31" fillId="40" borderId="1" xfId="0" applyNumberFormat="1" applyFont="1" applyFill="1" applyBorder="1" applyAlignment="1" applyProtection="1">
      <protection locked="0"/>
    </xf>
    <xf numFmtId="164" fontId="31" fillId="2" borderId="1" xfId="0" applyNumberFormat="1" applyFont="1" applyFill="1" applyBorder="1" applyAlignment="1" applyProtection="1">
      <protection locked="0"/>
    </xf>
    <xf numFmtId="202" fontId="0" fillId="0" borderId="5" xfId="0" applyNumberFormat="1" applyFill="1" applyBorder="1" applyProtection="1">
      <protection locked="0"/>
    </xf>
    <xf numFmtId="202" fontId="0" fillId="0" borderId="16" xfId="0" applyNumberFormat="1" applyFill="1" applyBorder="1" applyProtection="1">
      <protection locked="0"/>
    </xf>
    <xf numFmtId="202" fontId="0" fillId="0" borderId="19" xfId="0" applyNumberFormat="1" applyFill="1" applyBorder="1" applyProtection="1">
      <protection locked="0"/>
    </xf>
    <xf numFmtId="199" fontId="0" fillId="40" borderId="1" xfId="0" applyNumberFormat="1" applyFill="1" applyBorder="1" applyProtection="1">
      <protection locked="0"/>
    </xf>
    <xf numFmtId="0" fontId="4" fillId="0" borderId="0" xfId="0" applyFont="1" applyAlignment="1">
      <alignment wrapText="1"/>
    </xf>
    <xf numFmtId="9" fontId="4" fillId="0" borderId="0" xfId="76" applyFont="1" applyAlignment="1">
      <alignment horizontal="center"/>
    </xf>
    <xf numFmtId="0" fontId="54" fillId="0" borderId="0" xfId="0" applyFont="1" applyFill="1" applyProtection="1">
      <protection locked="0"/>
    </xf>
    <xf numFmtId="0" fontId="4" fillId="131" borderId="1" xfId="0" applyFont="1" applyFill="1" applyBorder="1" applyAlignment="1">
      <alignment horizontal="center"/>
    </xf>
    <xf numFmtId="0" fontId="21" fillId="0" borderId="0" xfId="0" applyFont="1" applyFill="1" applyProtection="1">
      <protection locked="0"/>
    </xf>
    <xf numFmtId="0" fontId="0" fillId="0" borderId="0" xfId="0" quotePrefix="1" applyProtection="1">
      <protection locked="0"/>
    </xf>
    <xf numFmtId="0" fontId="4" fillId="0" borderId="0" xfId="0" quotePrefix="1" applyFont="1" applyProtection="1">
      <protection locked="0"/>
    </xf>
    <xf numFmtId="205" fontId="31" fillId="44" borderId="1" xfId="0" applyNumberFormat="1" applyFont="1" applyFill="1" applyBorder="1" applyProtection="1">
      <protection locked="0"/>
    </xf>
    <xf numFmtId="168" fontId="153" fillId="0" borderId="0" xfId="3" quotePrefix="1" applyNumberFormat="1" applyFont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176" fontId="31" fillId="36" borderId="0" xfId="0" applyNumberFormat="1" applyFont="1" applyFill="1" applyAlignment="1" applyProtection="1">
      <alignment vertical="top"/>
      <protection locked="0"/>
    </xf>
    <xf numFmtId="164" fontId="14" fillId="0" borderId="0" xfId="0" applyNumberFormat="1" applyFont="1" applyFill="1" applyProtection="1">
      <protection locked="0"/>
    </xf>
    <xf numFmtId="19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12" fillId="0" borderId="0" xfId="31" applyNumberFormat="1" applyFont="1" applyFill="1" applyBorder="1" applyAlignment="1" applyProtection="1">
      <alignment horizontal="right"/>
      <protection locked="0"/>
    </xf>
    <xf numFmtId="164" fontId="31" fillId="37" borderId="1" xfId="74" applyNumberFormat="1" applyFont="1" applyFill="1" applyBorder="1" applyAlignment="1" applyProtection="1">
      <alignment horizontal="center" vertical="center"/>
      <protection locked="0"/>
    </xf>
    <xf numFmtId="164" fontId="12" fillId="2" borderId="1" xfId="31" applyNumberFormat="1" applyFont="1" applyFill="1" applyBorder="1" applyAlignment="1" applyProtection="1">
      <alignment horizontal="right" wrapText="1"/>
      <protection locked="0"/>
    </xf>
    <xf numFmtId="164" fontId="12" fillId="2" borderId="1" xfId="3" applyNumberFormat="1" applyFont="1" applyFill="1" applyBorder="1" applyProtection="1">
      <protection locked="0"/>
    </xf>
    <xf numFmtId="2" fontId="12" fillId="0" borderId="11" xfId="4" applyNumberFormat="1" applyFont="1" applyFill="1" applyBorder="1" applyAlignment="1" applyProtection="1">
      <alignment horizontal="right"/>
    </xf>
    <xf numFmtId="2" fontId="12" fillId="0" borderId="0" xfId="31" applyNumberFormat="1" applyFont="1" applyFill="1" applyBorder="1" applyAlignment="1" applyProtection="1">
      <alignment horizontal="right"/>
      <protection locked="0"/>
    </xf>
    <xf numFmtId="2" fontId="11" fillId="0" borderId="10" xfId="31" applyNumberFormat="1" applyFont="1" applyFill="1" applyBorder="1" applyAlignment="1" applyProtection="1">
      <alignment horizontal="right"/>
    </xf>
    <xf numFmtId="0" fontId="31" fillId="36" borderId="0" xfId="0" applyFont="1" applyFill="1" applyAlignment="1" applyProtection="1">
      <alignment horizontal="left" vertical="top"/>
    </xf>
    <xf numFmtId="171" fontId="0" fillId="0" borderId="0" xfId="0" applyNumberFormat="1" applyProtection="1">
      <protection locked="0"/>
    </xf>
    <xf numFmtId="206" fontId="10" fillId="0" borderId="0" xfId="0" applyNumberFormat="1" applyFont="1" applyProtection="1">
      <protection locked="0"/>
    </xf>
    <xf numFmtId="206" fontId="0" fillId="0" borderId="0" xfId="0" applyNumberFormat="1" applyProtection="1">
      <protection locked="0"/>
    </xf>
    <xf numFmtId="171" fontId="31" fillId="0" borderId="1" xfId="74" applyNumberFormat="1" applyFont="1" applyFill="1" applyBorder="1" applyAlignment="1" applyProtection="1">
      <alignment horizontal="center" vertical="center"/>
      <protection locked="0"/>
    </xf>
    <xf numFmtId="205" fontId="0" fillId="40" borderId="1" xfId="0" applyNumberFormat="1" applyFill="1" applyBorder="1" applyProtection="1">
      <protection locked="0"/>
    </xf>
    <xf numFmtId="205" fontId="4" fillId="40" borderId="1" xfId="0" applyNumberFormat="1" applyFont="1" applyFill="1" applyBorder="1" applyProtection="1">
      <protection locked="0"/>
    </xf>
    <xf numFmtId="0" fontId="31" fillId="0" borderId="0" xfId="81" applyFont="1" applyFill="1" applyProtection="1">
      <protection locked="0"/>
    </xf>
    <xf numFmtId="170" fontId="22" fillId="0" borderId="0" xfId="73" applyNumberFormat="1" applyFont="1" applyFill="1" applyBorder="1" applyAlignment="1" applyProtection="1">
      <alignment horizontal="center" vertical="center"/>
    </xf>
    <xf numFmtId="0" fontId="22" fillId="0" borderId="0" xfId="8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4" fontId="22" fillId="0" borderId="14" xfId="0" applyNumberFormat="1" applyFont="1" applyFill="1" applyBorder="1" applyProtection="1">
      <protection locked="0"/>
    </xf>
    <xf numFmtId="164" fontId="31" fillId="0" borderId="0" xfId="0" applyNumberFormat="1" applyFont="1" applyFill="1" applyBorder="1" applyProtection="1"/>
    <xf numFmtId="0" fontId="71" fillId="0" borderId="0" xfId="0" applyFont="1" applyFill="1" applyProtection="1">
      <protection locked="0"/>
    </xf>
    <xf numFmtId="0" fontId="88" fillId="0" borderId="0" xfId="81" applyFont="1" applyFill="1" applyProtection="1">
      <protection locked="0"/>
    </xf>
    <xf numFmtId="171" fontId="31" fillId="42" borderId="1" xfId="0" applyNumberFormat="1" applyFont="1" applyFill="1" applyBorder="1" applyAlignment="1" applyProtection="1">
      <protection locked="0"/>
    </xf>
    <xf numFmtId="187" fontId="31" fillId="0" borderId="0" xfId="0" applyNumberFormat="1" applyFont="1" applyFill="1" applyProtection="1">
      <protection locked="0"/>
    </xf>
    <xf numFmtId="164" fontId="31" fillId="0" borderId="0" xfId="0" applyNumberFormat="1" applyFont="1" applyFill="1" applyProtection="1">
      <protection locked="0"/>
    </xf>
    <xf numFmtId="203" fontId="31" fillId="0" borderId="0" xfId="0" applyNumberFormat="1" applyFont="1" applyFill="1" applyProtection="1">
      <protection locked="0"/>
    </xf>
    <xf numFmtId="164" fontId="31" fillId="0" borderId="7" xfId="0" applyNumberFormat="1" applyFont="1" applyFill="1" applyBorder="1" applyProtection="1"/>
    <xf numFmtId="190" fontId="31" fillId="44" borderId="1" xfId="0" applyNumberFormat="1" applyFont="1" applyFill="1" applyBorder="1" applyProtection="1">
      <protection locked="0"/>
    </xf>
    <xf numFmtId="171" fontId="31" fillId="0" borderId="0" xfId="0" applyNumberFormat="1" applyFont="1" applyProtection="1">
      <protection locked="0"/>
    </xf>
    <xf numFmtId="164" fontId="4" fillId="41" borderId="1" xfId="0" applyNumberFormat="1" applyFont="1" applyFill="1" applyBorder="1" applyAlignment="1" applyProtection="1">
      <alignment horizontal="center"/>
    </xf>
    <xf numFmtId="0" fontId="22" fillId="0" borderId="0" xfId="81" applyFont="1" applyFill="1" applyProtection="1">
      <protection locked="0"/>
    </xf>
    <xf numFmtId="180" fontId="31" fillId="132" borderId="1" xfId="74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64" fontId="22" fillId="0" borderId="0" xfId="0" applyNumberFormat="1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54" fillId="0" borderId="0" xfId="81" applyFont="1" applyProtection="1">
      <protection locked="0"/>
    </xf>
    <xf numFmtId="164" fontId="31" fillId="2" borderId="61" xfId="0" applyNumberFormat="1" applyFont="1" applyFill="1" applyBorder="1" applyProtection="1">
      <protection locked="0"/>
    </xf>
    <xf numFmtId="203" fontId="31" fillId="44" borderId="1" xfId="0" applyNumberFormat="1" applyFont="1" applyFill="1" applyBorder="1" applyProtection="1">
      <protection locked="0"/>
    </xf>
    <xf numFmtId="164" fontId="31" fillId="0" borderId="16" xfId="0" applyNumberFormat="1" applyFont="1" applyFill="1" applyBorder="1" applyProtection="1">
      <protection locked="0"/>
    </xf>
    <xf numFmtId="190" fontId="31" fillId="0" borderId="0" xfId="0" applyNumberFormat="1" applyFont="1" applyFill="1" applyBorder="1" applyProtection="1">
      <protection locked="0"/>
    </xf>
    <xf numFmtId="203" fontId="31" fillId="0" borderId="0" xfId="0" applyNumberFormat="1" applyFont="1" applyFill="1" applyBorder="1" applyProtection="1">
      <protection locked="0"/>
    </xf>
    <xf numFmtId="164" fontId="31" fillId="0" borderId="0" xfId="0" applyNumberFormat="1" applyFont="1" applyFill="1" applyBorder="1" applyAlignment="1" applyProtection="1">
      <alignment horizontal="left" indent="2"/>
      <protection locked="0"/>
    </xf>
    <xf numFmtId="0" fontId="54" fillId="0" borderId="0" xfId="81" applyFont="1" applyFill="1" applyProtection="1">
      <protection locked="0"/>
    </xf>
    <xf numFmtId="0" fontId="5" fillId="0" borderId="0" xfId="81" applyFill="1" applyProtection="1">
      <protection locked="0"/>
    </xf>
    <xf numFmtId="0" fontId="5" fillId="0" borderId="0" xfId="81" applyFont="1" applyFill="1" applyProtection="1">
      <protection locked="0"/>
    </xf>
    <xf numFmtId="173" fontId="31" fillId="44" borderId="1" xfId="0" applyNumberFormat="1" applyFont="1" applyFill="1" applyBorder="1" applyProtection="1">
      <protection locked="0"/>
    </xf>
    <xf numFmtId="4" fontId="31" fillId="44" borderId="1" xfId="0" applyNumberFormat="1" applyFont="1" applyFill="1" applyBorder="1" applyProtection="1">
      <protection locked="0"/>
    </xf>
    <xf numFmtId="164" fontId="31" fillId="0" borderId="20" xfId="0" applyNumberFormat="1" applyFont="1" applyFill="1" applyBorder="1" applyProtection="1">
      <protection locked="0"/>
    </xf>
    <xf numFmtId="164" fontId="31" fillId="0" borderId="12" xfId="0" applyNumberFormat="1" applyFont="1" applyFill="1" applyBorder="1" applyProtection="1">
      <protection locked="0"/>
    </xf>
    <xf numFmtId="170" fontId="31" fillId="0" borderId="0" xfId="0" applyNumberFormat="1" applyFont="1" applyFill="1" applyBorder="1" applyAlignment="1" applyProtection="1">
      <alignment horizontal="center"/>
      <protection locked="0"/>
    </xf>
    <xf numFmtId="170" fontId="31" fillId="0" borderId="0" xfId="0" applyNumberFormat="1" applyFont="1" applyFill="1" applyBorder="1" applyAlignment="1" applyProtection="1">
      <protection locked="0"/>
    </xf>
    <xf numFmtId="164" fontId="31" fillId="0" borderId="0" xfId="0" applyNumberFormat="1" applyFont="1" applyFill="1" applyBorder="1" applyAlignment="1" applyProtection="1">
      <protection locked="0"/>
    </xf>
    <xf numFmtId="0" fontId="66" fillId="0" borderId="0" xfId="81" applyFont="1" applyFill="1" applyProtection="1">
      <protection locked="0"/>
    </xf>
    <xf numFmtId="164" fontId="31" fillId="44" borderId="17" xfId="0" applyNumberFormat="1" applyFont="1" applyFill="1" applyBorder="1" applyProtection="1">
      <protection locked="0"/>
    </xf>
    <xf numFmtId="171" fontId="31" fillId="0" borderId="0" xfId="0" applyNumberFormat="1" applyFont="1" applyFill="1" applyBorder="1" applyAlignment="1" applyProtection="1">
      <protection locked="0"/>
    </xf>
    <xf numFmtId="170" fontId="31" fillId="0" borderId="7" xfId="0" applyNumberFormat="1" applyFont="1" applyFill="1" applyBorder="1" applyAlignment="1" applyProtection="1">
      <protection locked="0"/>
    </xf>
    <xf numFmtId="0" fontId="66" fillId="0" borderId="0" xfId="0" applyFont="1" applyFill="1" applyProtection="1">
      <protection locked="0"/>
    </xf>
    <xf numFmtId="171" fontId="31" fillId="0" borderId="14" xfId="0" applyNumberFormat="1" applyFont="1" applyFill="1" applyBorder="1" applyAlignme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173" fontId="5" fillId="40" borderId="1" xfId="0" applyNumberFormat="1" applyFont="1" applyFill="1" applyBorder="1" applyProtection="1">
      <protection locked="0"/>
    </xf>
    <xf numFmtId="184" fontId="80" fillId="41" borderId="1" xfId="4" applyNumberFormat="1" applyFont="1" applyFill="1" applyBorder="1" applyProtection="1"/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0" fontId="31" fillId="0" borderId="16" xfId="73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Protection="1">
      <protection locked="0"/>
    </xf>
    <xf numFmtId="0" fontId="47" fillId="0" borderId="0" xfId="81" applyFont="1" applyFill="1" applyProtection="1">
      <protection locked="0"/>
    </xf>
    <xf numFmtId="186" fontId="0" fillId="0" borderId="0" xfId="0" applyNumberFormat="1" applyFont="1" applyFill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73" fontId="31" fillId="0" borderId="0" xfId="76" applyNumberFormat="1" applyFont="1" applyProtection="1">
      <protection locked="0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6" borderId="0" xfId="0" applyFont="1" applyFill="1" applyAlignment="1" applyProtection="1">
      <alignment horizontal="left" vertical="top"/>
    </xf>
    <xf numFmtId="0" fontId="31" fillId="0" borderId="0" xfId="0" applyFont="1" applyAlignment="1">
      <alignment horizontal="left" vertical="top"/>
    </xf>
    <xf numFmtId="0" fontId="31" fillId="36" borderId="0" xfId="0" applyFont="1" applyFill="1" applyAlignment="1" applyProtection="1">
      <alignment vertical="center" wrapText="1"/>
      <protection locked="0"/>
    </xf>
    <xf numFmtId="0" fontId="31" fillId="37" borderId="2" xfId="75" applyNumberFormat="1" applyFont="1" applyFill="1" applyBorder="1" applyAlignment="1" applyProtection="1">
      <alignment horizontal="center" vertical="center"/>
      <protection locked="0"/>
    </xf>
    <xf numFmtId="0" fontId="31" fillId="37" borderId="7" xfId="75" applyNumberFormat="1" applyFont="1" applyFill="1" applyBorder="1" applyAlignment="1" applyProtection="1">
      <alignment horizontal="center" vertical="center"/>
      <protection locked="0"/>
    </xf>
    <xf numFmtId="0" fontId="31" fillId="37" borderId="3" xfId="75" applyNumberFormat="1" applyFont="1" applyFill="1" applyBorder="1" applyAlignment="1" applyProtection="1">
      <alignment horizontal="center" vertical="center"/>
      <protection locked="0"/>
    </xf>
    <xf numFmtId="0" fontId="43" fillId="36" borderId="4" xfId="0" applyFont="1" applyFill="1" applyBorder="1" applyAlignment="1" applyProtection="1">
      <alignment horizontal="center" vertical="center"/>
      <protection locked="0"/>
    </xf>
    <xf numFmtId="0" fontId="43" fillId="36" borderId="12" xfId="0" applyFont="1" applyFill="1" applyBorder="1" applyAlignment="1" applyProtection="1">
      <alignment horizontal="center" vertical="center"/>
      <protection locked="0"/>
    </xf>
    <xf numFmtId="0" fontId="43" fillId="36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8" fillId="0" borderId="14" xfId="0" applyFont="1" applyBorder="1" applyAlignment="1" applyProtection="1">
      <alignment horizontal="center"/>
      <protection locked="0"/>
    </xf>
    <xf numFmtId="0" fontId="68" fillId="0" borderId="15" xfId="0" applyFont="1" applyBorder="1" applyAlignment="1" applyProtection="1">
      <alignment horizontal="center"/>
      <protection locked="0"/>
    </xf>
    <xf numFmtId="0" fontId="22" fillId="37" borderId="1" xfId="0" applyNumberFormat="1" applyFont="1" applyFill="1" applyBorder="1" applyAlignment="1">
      <alignment horizontal="left"/>
    </xf>
    <xf numFmtId="0" fontId="80" fillId="0" borderId="1" xfId="0" applyFont="1" applyBorder="1" applyAlignment="1"/>
    <xf numFmtId="0" fontId="31" fillId="37" borderId="1" xfId="0" applyNumberFormat="1" applyFont="1" applyFill="1" applyBorder="1" applyAlignment="1">
      <alignment horizontal="left"/>
    </xf>
    <xf numFmtId="0" fontId="0" fillId="0" borderId="1" xfId="0" applyBorder="1" applyAlignment="1"/>
    <xf numFmtId="0" fontId="31" fillId="2" borderId="1" xfId="3" applyFont="1" applyFill="1" applyBorder="1" applyAlignment="1" applyProtection="1">
      <alignment horizontal="left"/>
      <protection locked="0"/>
    </xf>
    <xf numFmtId="0" fontId="12" fillId="2" borderId="4" xfId="30" applyFont="1" applyFill="1" applyBorder="1" applyAlignment="1" applyProtection="1">
      <alignment horizontal="left" vertical="top" wrapText="1"/>
      <protection locked="0"/>
    </xf>
    <xf numFmtId="0" fontId="12" fillId="2" borderId="12" xfId="30" applyFont="1" applyFill="1" applyBorder="1" applyAlignment="1" applyProtection="1">
      <alignment horizontal="left" vertical="top" wrapText="1"/>
      <protection locked="0"/>
    </xf>
    <xf numFmtId="0" fontId="12" fillId="2" borderId="5" xfId="30" applyFont="1" applyFill="1" applyBorder="1" applyAlignment="1" applyProtection="1">
      <alignment horizontal="left" vertical="top" wrapText="1"/>
      <protection locked="0"/>
    </xf>
    <xf numFmtId="0" fontId="12" fillId="2" borderId="4" xfId="31" applyFont="1" applyFill="1" applyBorder="1" applyAlignment="1" applyProtection="1">
      <alignment horizontal="left" wrapText="1"/>
      <protection locked="0"/>
    </xf>
    <xf numFmtId="0" fontId="12" fillId="2" borderId="12" xfId="31" applyFont="1" applyFill="1" applyBorder="1" applyAlignment="1" applyProtection="1">
      <alignment horizontal="left" wrapText="1"/>
      <protection locked="0"/>
    </xf>
    <xf numFmtId="0" fontId="12" fillId="2" borderId="5" xfId="3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0" fillId="0" borderId="0" xfId="81" applyFont="1" applyFill="1" applyBorder="1" applyAlignment="1" applyProtection="1">
      <alignment horizontal="center"/>
      <protection locked="0"/>
    </xf>
    <xf numFmtId="0" fontId="80" fillId="0" borderId="7" xfId="81" applyFont="1" applyFill="1" applyBorder="1" applyAlignment="1" applyProtection="1">
      <alignment horizontal="center"/>
      <protection locked="0"/>
    </xf>
    <xf numFmtId="0" fontId="80" fillId="0" borderId="7" xfId="81" applyFont="1" applyBorder="1" applyAlignment="1" applyProtection="1">
      <alignment horizontal="center"/>
      <protection locked="0"/>
    </xf>
  </cellXfs>
  <cellStyles count="1365">
    <cellStyle name=" 1" xfId="303"/>
    <cellStyle name="%" xfId="5"/>
    <cellStyle name="% 2" xfId="6"/>
    <cellStyle name="% 2 2" xfId="1"/>
    <cellStyle name="% 2 3" xfId="78"/>
    <cellStyle name="% 2 3 2" xfId="1139"/>
    <cellStyle name="% 3" xfId="378"/>
    <cellStyle name="%_RRP Rec" xfId="7"/>
    <cellStyle name="%_Section 5" xfId="8"/>
    <cellStyle name="%_Section 5 2" xfId="79"/>
    <cellStyle name="%_Section 5 2 2" xfId="1140"/>
    <cellStyle name="_AS&amp;I Q3 Forecast workings v2" xfId="377"/>
    <cellStyle name="_Aug to Nov heads" xfId="376"/>
    <cellStyle name="_CCs" xfId="375"/>
    <cellStyle name="_FM Data &amp; Mappings" xfId="374"/>
    <cellStyle name="_GTAM budget tracker Template" xfId="373"/>
    <cellStyle name="_Manpower Model" xfId="372"/>
    <cellStyle name="_Metering" xfId="371"/>
    <cellStyle name="_Metering 2" xfId="370"/>
    <cellStyle name="_Metering 3" xfId="369"/>
    <cellStyle name="_Sheet1" xfId="368"/>
    <cellStyle name="_Sheet2" xfId="367"/>
    <cellStyle name="=C:\WINNT\SYSTEM32\COMMAND.COM" xfId="366"/>
    <cellStyle name="=C:\WINNT\SYSTEM32\COMMAND.COM 2" xfId="365"/>
    <cellStyle name="=C:\WINNT\SYSTEM32\COMMAND.COM 3" xfId="364"/>
    <cellStyle name="=C:\WINNT\SYSTEM32\COMMAND.COM 3 2" xfId="363"/>
    <cellStyle name="=C:\WINNT\SYSTEM32\COMMAND.COM 4" xfId="362"/>
    <cellStyle name="20% - Accent1 2" xfId="360"/>
    <cellStyle name="20% - Accent1 2 2" xfId="359"/>
    <cellStyle name="20% - Accent1 2 3" xfId="358"/>
    <cellStyle name="20% - Accent1 3" xfId="357"/>
    <cellStyle name="20% - Accent1 4" xfId="903"/>
    <cellStyle name="20% - Accent1 5" xfId="989"/>
    <cellStyle name="20% - Accent1 6" xfId="361"/>
    <cellStyle name="20% - Accent1 7" xfId="163"/>
    <cellStyle name="20% - Accent1 8" xfId="82"/>
    <cellStyle name="20% - Accent2 2" xfId="355"/>
    <cellStyle name="20% - Accent2 2 2" xfId="354"/>
    <cellStyle name="20% - Accent2 2 3" xfId="353"/>
    <cellStyle name="20% - Accent2 3" xfId="352"/>
    <cellStyle name="20% - Accent2 4" xfId="907"/>
    <cellStyle name="20% - Accent2 5" xfId="992"/>
    <cellStyle name="20% - Accent2 6" xfId="356"/>
    <cellStyle name="20% - Accent2 7" xfId="167"/>
    <cellStyle name="20% - Accent2 8" xfId="83"/>
    <cellStyle name="20% - Accent3 2" xfId="350"/>
    <cellStyle name="20% - Accent3 2 2" xfId="302"/>
    <cellStyle name="20% - Accent3 2 3" xfId="349"/>
    <cellStyle name="20% - Accent3 3" xfId="348"/>
    <cellStyle name="20% - Accent3 4" xfId="911"/>
    <cellStyle name="20% - Accent3 5" xfId="995"/>
    <cellStyle name="20% - Accent3 6" xfId="351"/>
    <cellStyle name="20% - Accent3 7" xfId="171"/>
    <cellStyle name="20% - Accent3 8" xfId="84"/>
    <cellStyle name="20% - Accent4 2" xfId="346"/>
    <cellStyle name="20% - Accent4 2 2" xfId="402"/>
    <cellStyle name="20% - Accent4 2 3" xfId="403"/>
    <cellStyle name="20% - Accent4 3" xfId="409"/>
    <cellStyle name="20% - Accent4 4" xfId="915"/>
    <cellStyle name="20% - Accent4 5" xfId="998"/>
    <cellStyle name="20% - Accent4 6" xfId="347"/>
    <cellStyle name="20% - Accent4 7" xfId="175"/>
    <cellStyle name="20% - Accent4 8" xfId="85"/>
    <cellStyle name="20% - Accent5 2" xfId="392"/>
    <cellStyle name="20% - Accent5 2 2" xfId="300"/>
    <cellStyle name="20% - Accent5 2 3" xfId="345"/>
    <cellStyle name="20% - Accent5 3" xfId="344"/>
    <cellStyle name="20% - Accent5 4" xfId="919"/>
    <cellStyle name="20% - Accent5 5" xfId="1001"/>
    <cellStyle name="20% - Accent5 6" xfId="406"/>
    <cellStyle name="20% - Accent5 7" xfId="179"/>
    <cellStyle name="20% - Accent5 8" xfId="86"/>
    <cellStyle name="20% - Accent6 2" xfId="307"/>
    <cellStyle name="20% - Accent6 2 2" xfId="399"/>
    <cellStyle name="20% - Accent6 2 3" xfId="407"/>
    <cellStyle name="20% - Accent6 3" xfId="393"/>
    <cellStyle name="20% - Accent6 4" xfId="923"/>
    <cellStyle name="20% - Accent6 5" xfId="1004"/>
    <cellStyle name="20% - Accent6 6" xfId="408"/>
    <cellStyle name="20% - Accent6 7" xfId="183"/>
    <cellStyle name="20% - Accent6 8" xfId="87"/>
    <cellStyle name="40% - Accent1 2" xfId="401"/>
    <cellStyle name="40% - Accent1 2 2" xfId="400"/>
    <cellStyle name="40% - Accent1 2 3" xfId="404"/>
    <cellStyle name="40% - Accent1 3" xfId="306"/>
    <cellStyle name="40% - Accent1 4" xfId="904"/>
    <cellStyle name="40% - Accent1 5" xfId="990"/>
    <cellStyle name="40% - Accent1 6" xfId="308"/>
    <cellStyle name="40% - Accent1 7" xfId="164"/>
    <cellStyle name="40% - Accent1 8" xfId="88"/>
    <cellStyle name="40% - Accent2 2" xfId="343"/>
    <cellStyle name="40% - Accent2 2 2" xfId="342"/>
    <cellStyle name="40% - Accent2 2 3" xfId="341"/>
    <cellStyle name="40% - Accent2 3" xfId="405"/>
    <cellStyle name="40% - Accent2 4" xfId="908"/>
    <cellStyle name="40% - Accent2 5" xfId="993"/>
    <cellStyle name="40% - Accent2 6" xfId="301"/>
    <cellStyle name="40% - Accent2 7" xfId="168"/>
    <cellStyle name="40% - Accent2 8" xfId="89"/>
    <cellStyle name="40% - Accent3 2" xfId="340"/>
    <cellStyle name="40% - Accent3 2 2" xfId="339"/>
    <cellStyle name="40% - Accent3 3" xfId="912"/>
    <cellStyle name="40% - Accent3 4" xfId="996"/>
    <cellStyle name="40% - Accent3 5" xfId="391"/>
    <cellStyle name="40% - Accent3 6" xfId="172"/>
    <cellStyle name="40% - Accent3 7" xfId="90"/>
    <cellStyle name="40% - Accent4 2" xfId="337"/>
    <cellStyle name="40% - Accent4 2 2" xfId="336"/>
    <cellStyle name="40% - Accent4 2 3" xfId="335"/>
    <cellStyle name="40% - Accent4 3" xfId="334"/>
    <cellStyle name="40% - Accent4 4" xfId="916"/>
    <cellStyle name="40% - Accent4 5" xfId="999"/>
    <cellStyle name="40% - Accent4 6" xfId="338"/>
    <cellStyle name="40% - Accent4 7" xfId="176"/>
    <cellStyle name="40% - Accent4 8" xfId="91"/>
    <cellStyle name="40% - Accent5 2" xfId="332"/>
    <cellStyle name="40% - Accent5 2 2" xfId="331"/>
    <cellStyle name="40% - Accent5 3" xfId="920"/>
    <cellStyle name="40% - Accent5 4" xfId="1002"/>
    <cellStyle name="40% - Accent5 5" xfId="333"/>
    <cellStyle name="40% - Accent5 6" xfId="180"/>
    <cellStyle name="40% - Accent5 7" xfId="92"/>
    <cellStyle name="40% - Accent6 2" xfId="398"/>
    <cellStyle name="40% - Accent6 2 2" xfId="385"/>
    <cellStyle name="40% - Accent6 3" xfId="924"/>
    <cellStyle name="40% - Accent6 4" xfId="1005"/>
    <cellStyle name="40% - Accent6 5" xfId="330"/>
    <cellStyle name="40% - Accent6 6" xfId="184"/>
    <cellStyle name="40% - Accent6 7" xfId="93"/>
    <cellStyle name="60% - Accent1 2" xfId="326"/>
    <cellStyle name="60% - Accent1 2 2" xfId="329"/>
    <cellStyle name="60% - Accent1 2 3" xfId="328"/>
    <cellStyle name="60% - Accent1 3" xfId="327"/>
    <cellStyle name="60% - Accent1 4" xfId="905"/>
    <cellStyle name="60% - Accent1 5" xfId="384"/>
    <cellStyle name="60% - Accent1 6" xfId="165"/>
    <cellStyle name="60% - Accent1 7" xfId="94"/>
    <cellStyle name="60% - Accent2 2" xfId="386"/>
    <cellStyle name="60% - Accent2 2 2" xfId="383"/>
    <cellStyle name="60% - Accent2 2 3" xfId="322"/>
    <cellStyle name="60% - Accent2 3" xfId="325"/>
    <cellStyle name="60% - Accent2 4" xfId="909"/>
    <cellStyle name="60% - Accent2 5" xfId="397"/>
    <cellStyle name="60% - Accent2 6" xfId="169"/>
    <cellStyle name="60% - Accent2 7" xfId="95"/>
    <cellStyle name="60% - Accent3 2" xfId="323"/>
    <cellStyle name="60% - Accent3 2 2" xfId="396"/>
    <cellStyle name="60% - Accent3 3" xfId="913"/>
    <cellStyle name="60% - Accent3 4" xfId="324"/>
    <cellStyle name="60% - Accent3 5" xfId="173"/>
    <cellStyle name="60% - Accent3 6" xfId="96"/>
    <cellStyle name="60% - Accent4 2" xfId="382"/>
    <cellStyle name="60% - Accent4 2 2" xfId="318"/>
    <cellStyle name="60% - Accent4 2 3" xfId="321"/>
    <cellStyle name="60% - Accent4 3" xfId="320"/>
    <cellStyle name="60% - Accent4 4" xfId="917"/>
    <cellStyle name="60% - Accent4 5" xfId="387"/>
    <cellStyle name="60% - Accent4 6" xfId="177"/>
    <cellStyle name="60% - Accent4 7" xfId="97"/>
    <cellStyle name="60% - Accent5 2" xfId="395"/>
    <cellStyle name="60% - Accent5 2 2" xfId="388"/>
    <cellStyle name="60% - Accent5 2 3" xfId="381"/>
    <cellStyle name="60% - Accent5 3" xfId="314"/>
    <cellStyle name="60% - Accent5 4" xfId="921"/>
    <cellStyle name="60% - Accent5 5" xfId="319"/>
    <cellStyle name="60% - Accent5 6" xfId="181"/>
    <cellStyle name="60% - Accent5 7" xfId="98"/>
    <cellStyle name="60% - Accent6 2" xfId="316"/>
    <cellStyle name="60% - Accent6 2 2" xfId="315"/>
    <cellStyle name="60% - Accent6 2 3" xfId="394"/>
    <cellStyle name="60% - Accent6 3" xfId="389"/>
    <cellStyle name="60% - Accent6 4" xfId="925"/>
    <cellStyle name="60% - Accent6 5" xfId="317"/>
    <cellStyle name="60% - Accent6 6" xfId="185"/>
    <cellStyle name="60% - Accent6 7" xfId="99"/>
    <cellStyle name="Accent1 - 20%" xfId="9"/>
    <cellStyle name="Accent1 - 20% 2" xfId="313"/>
    <cellStyle name="Accent1 - 20% 3" xfId="197"/>
    <cellStyle name="Accent1 - 40%" xfId="10"/>
    <cellStyle name="Accent1 - 40% 2" xfId="312"/>
    <cellStyle name="Accent1 - 40% 3" xfId="198"/>
    <cellStyle name="Accent1 - 60%" xfId="11"/>
    <cellStyle name="Accent1 - 60% 2" xfId="390"/>
    <cellStyle name="Accent1 - 60% 3" xfId="199"/>
    <cellStyle name="Accent1 10" xfId="1070"/>
    <cellStyle name="Accent1 11" xfId="1080"/>
    <cellStyle name="Accent1 12" xfId="1075"/>
    <cellStyle name="Accent1 13" xfId="1064"/>
    <cellStyle name="Accent1 14" xfId="1083"/>
    <cellStyle name="Accent1 15" xfId="100"/>
    <cellStyle name="Accent1 16" xfId="125"/>
    <cellStyle name="Accent1 17" xfId="1105"/>
    <cellStyle name="Accent1 18" xfId="1098"/>
    <cellStyle name="Accent1 2" xfId="196"/>
    <cellStyle name="Accent1 2 2" xfId="309"/>
    <cellStyle name="Accent1 2 3" xfId="379"/>
    <cellStyle name="Accent1 3" xfId="269"/>
    <cellStyle name="Accent1 3 2" xfId="902"/>
    <cellStyle name="Accent1 4" xfId="280"/>
    <cellStyle name="Accent1 4 2" xfId="988"/>
    <cellStyle name="Accent1 5" xfId="283"/>
    <cellStyle name="Accent1 5 2" xfId="1006"/>
    <cellStyle name="Accent1 6" xfId="380"/>
    <cellStyle name="Accent1 7" xfId="162"/>
    <cellStyle name="Accent1 8" xfId="1054"/>
    <cellStyle name="Accent1 9" xfId="1089"/>
    <cellStyle name="Accent2 - 20%" xfId="12"/>
    <cellStyle name="Accent2 - 20% 2" xfId="310"/>
    <cellStyle name="Accent2 - 20% 3" xfId="201"/>
    <cellStyle name="Accent2 - 40%" xfId="13"/>
    <cellStyle name="Accent2 - 40% 2" xfId="410"/>
    <cellStyle name="Accent2 - 40% 3" xfId="202"/>
    <cellStyle name="Accent2 - 60%" xfId="14"/>
    <cellStyle name="Accent2 - 60% 2" xfId="411"/>
    <cellStyle name="Accent2 - 60% 3" xfId="203"/>
    <cellStyle name="Accent2 10" xfId="1094"/>
    <cellStyle name="Accent2 11" xfId="1066"/>
    <cellStyle name="Accent2 12" xfId="1092"/>
    <cellStyle name="Accent2 13" xfId="1091"/>
    <cellStyle name="Accent2 14" xfId="1069"/>
    <cellStyle name="Accent2 15" xfId="101"/>
    <cellStyle name="Accent2 16" xfId="124"/>
    <cellStyle name="Accent2 17" xfId="1104"/>
    <cellStyle name="Accent2 18" xfId="1096"/>
    <cellStyle name="Accent2 2" xfId="200"/>
    <cellStyle name="Accent2 2 2" xfId="413"/>
    <cellStyle name="Accent2 2 3" xfId="412"/>
    <cellStyle name="Accent2 3" xfId="270"/>
    <cellStyle name="Accent2 3 2" xfId="906"/>
    <cellStyle name="Accent2 4" xfId="279"/>
    <cellStyle name="Accent2 4 2" xfId="991"/>
    <cellStyle name="Accent2 5" xfId="284"/>
    <cellStyle name="Accent2 5 2" xfId="1007"/>
    <cellStyle name="Accent2 6" xfId="311"/>
    <cellStyle name="Accent2 7" xfId="166"/>
    <cellStyle name="Accent2 8" xfId="1055"/>
    <cellStyle name="Accent2 9" xfId="1088"/>
    <cellStyle name="Accent3 - 20%" xfId="15"/>
    <cellStyle name="Accent3 - 20% 2" xfId="415"/>
    <cellStyle name="Accent3 - 20% 3" xfId="205"/>
    <cellStyle name="Accent3 - 40%" xfId="16"/>
    <cellStyle name="Accent3 - 40% 2" xfId="416"/>
    <cellStyle name="Accent3 - 40% 3" xfId="206"/>
    <cellStyle name="Accent3 - 60%" xfId="17"/>
    <cellStyle name="Accent3 - 60% 2" xfId="417"/>
    <cellStyle name="Accent3 - 60% 3" xfId="207"/>
    <cellStyle name="Accent3 10" xfId="418"/>
    <cellStyle name="Accent3 11" xfId="419"/>
    <cellStyle name="Accent3 12" xfId="420"/>
    <cellStyle name="Accent3 13" xfId="421"/>
    <cellStyle name="Accent3 14" xfId="422"/>
    <cellStyle name="Accent3 15" xfId="423"/>
    <cellStyle name="Accent3 16" xfId="424"/>
    <cellStyle name="Accent3 17" xfId="425"/>
    <cellStyle name="Accent3 18" xfId="426"/>
    <cellStyle name="Accent3 19" xfId="427"/>
    <cellStyle name="Accent3 2" xfId="204"/>
    <cellStyle name="Accent3 2 2" xfId="429"/>
    <cellStyle name="Accent3 2 3" xfId="430"/>
    <cellStyle name="Accent3 2 4" xfId="428"/>
    <cellStyle name="Accent3 20" xfId="431"/>
    <cellStyle name="Accent3 21" xfId="432"/>
    <cellStyle name="Accent3 22" xfId="433"/>
    <cellStyle name="Accent3 23" xfId="434"/>
    <cellStyle name="Accent3 24" xfId="435"/>
    <cellStyle name="Accent3 25" xfId="436"/>
    <cellStyle name="Accent3 26" xfId="437"/>
    <cellStyle name="Accent3 27" xfId="438"/>
    <cellStyle name="Accent3 28" xfId="910"/>
    <cellStyle name="Accent3 29" xfId="994"/>
    <cellStyle name="Accent3 3" xfId="271"/>
    <cellStyle name="Accent3 3 2" xfId="439"/>
    <cellStyle name="Accent3 30" xfId="1008"/>
    <cellStyle name="Accent3 31" xfId="414"/>
    <cellStyle name="Accent3 32" xfId="170"/>
    <cellStyle name="Accent3 33" xfId="1056"/>
    <cellStyle name="Accent3 34" xfId="1087"/>
    <cellStyle name="Accent3 35" xfId="1061"/>
    <cellStyle name="Accent3 36" xfId="1084"/>
    <cellStyle name="Accent3 37" xfId="1072"/>
    <cellStyle name="Accent3 38" xfId="1078"/>
    <cellStyle name="Accent3 39" xfId="1073"/>
    <cellStyle name="Accent3 4" xfId="278"/>
    <cellStyle name="Accent3 4 2" xfId="440"/>
    <cellStyle name="Accent3 40" xfId="102"/>
    <cellStyle name="Accent3 41" xfId="123"/>
    <cellStyle name="Accent3 42" xfId="1103"/>
    <cellStyle name="Accent3 43" xfId="1099"/>
    <cellStyle name="Accent3 5" xfId="285"/>
    <cellStyle name="Accent3 5 2" xfId="441"/>
    <cellStyle name="Accent3 6" xfId="442"/>
    <cellStyle name="Accent3 7" xfId="443"/>
    <cellStyle name="Accent3 8" xfId="444"/>
    <cellStyle name="Accent3 9" xfId="445"/>
    <cellStyle name="Accent4 - 20%" xfId="18"/>
    <cellStyle name="Accent4 - 20% 2" xfId="447"/>
    <cellStyle name="Accent4 - 20% 3" xfId="209"/>
    <cellStyle name="Accent4 - 40%" xfId="19"/>
    <cellStyle name="Accent4 - 40% 2" xfId="448"/>
    <cellStyle name="Accent4 - 40% 3" xfId="210"/>
    <cellStyle name="Accent4 - 60%" xfId="20"/>
    <cellStyle name="Accent4 - 60% 2" xfId="449"/>
    <cellStyle name="Accent4 - 60% 3" xfId="211"/>
    <cellStyle name="Accent4 10" xfId="450"/>
    <cellStyle name="Accent4 11" xfId="451"/>
    <cellStyle name="Accent4 12" xfId="452"/>
    <cellStyle name="Accent4 13" xfId="453"/>
    <cellStyle name="Accent4 14" xfId="454"/>
    <cellStyle name="Accent4 15" xfId="455"/>
    <cellStyle name="Accent4 16" xfId="456"/>
    <cellStyle name="Accent4 17" xfId="457"/>
    <cellStyle name="Accent4 18" xfId="458"/>
    <cellStyle name="Accent4 19" xfId="459"/>
    <cellStyle name="Accent4 2" xfId="208"/>
    <cellStyle name="Accent4 2 2" xfId="461"/>
    <cellStyle name="Accent4 2 3" xfId="462"/>
    <cellStyle name="Accent4 2 4" xfId="460"/>
    <cellStyle name="Accent4 20" xfId="463"/>
    <cellStyle name="Accent4 21" xfId="464"/>
    <cellStyle name="Accent4 22" xfId="465"/>
    <cellStyle name="Accent4 23" xfId="466"/>
    <cellStyle name="Accent4 24" xfId="467"/>
    <cellStyle name="Accent4 25" xfId="468"/>
    <cellStyle name="Accent4 26" xfId="469"/>
    <cellStyle name="Accent4 27" xfId="470"/>
    <cellStyle name="Accent4 28" xfId="914"/>
    <cellStyle name="Accent4 29" xfId="997"/>
    <cellStyle name="Accent4 3" xfId="272"/>
    <cellStyle name="Accent4 3 2" xfId="471"/>
    <cellStyle name="Accent4 30" xfId="1009"/>
    <cellStyle name="Accent4 31" xfId="446"/>
    <cellStyle name="Accent4 32" xfId="174"/>
    <cellStyle name="Accent4 33" xfId="1057"/>
    <cellStyle name="Accent4 34" xfId="1086"/>
    <cellStyle name="Accent4 35" xfId="1062"/>
    <cellStyle name="Accent4 36" xfId="1093"/>
    <cellStyle name="Accent4 37" xfId="1068"/>
    <cellStyle name="Accent4 38" xfId="1081"/>
    <cellStyle name="Accent4 39" xfId="1074"/>
    <cellStyle name="Accent4 4" xfId="277"/>
    <cellStyle name="Accent4 4 2" xfId="472"/>
    <cellStyle name="Accent4 40" xfId="103"/>
    <cellStyle name="Accent4 41" xfId="122"/>
    <cellStyle name="Accent4 42" xfId="1102"/>
    <cellStyle name="Accent4 43" xfId="1107"/>
    <cellStyle name="Accent4 5" xfId="286"/>
    <cellStyle name="Accent4 5 2" xfId="473"/>
    <cellStyle name="Accent4 6" xfId="474"/>
    <cellStyle name="Accent4 7" xfId="475"/>
    <cellStyle name="Accent4 8" xfId="476"/>
    <cellStyle name="Accent4 9" xfId="477"/>
    <cellStyle name="Accent5 - 20%" xfId="21"/>
    <cellStyle name="Accent5 - 20% 2" xfId="479"/>
    <cellStyle name="Accent5 - 20% 3" xfId="213"/>
    <cellStyle name="Accent5 - 40%" xfId="22"/>
    <cellStyle name="Accent5 - 60%" xfId="23"/>
    <cellStyle name="Accent5 - 60% 2" xfId="480"/>
    <cellStyle name="Accent5 - 60% 3" xfId="214"/>
    <cellStyle name="Accent5 10" xfId="481"/>
    <cellStyle name="Accent5 11" xfId="482"/>
    <cellStyle name="Accent5 12" xfId="483"/>
    <cellStyle name="Accent5 13" xfId="484"/>
    <cellStyle name="Accent5 14" xfId="485"/>
    <cellStyle name="Accent5 15" xfId="486"/>
    <cellStyle name="Accent5 16" xfId="487"/>
    <cellStyle name="Accent5 17" xfId="488"/>
    <cellStyle name="Accent5 18" xfId="489"/>
    <cellStyle name="Accent5 19" xfId="490"/>
    <cellStyle name="Accent5 2" xfId="212"/>
    <cellStyle name="Accent5 2 2" xfId="492"/>
    <cellStyle name="Accent5 2 3" xfId="493"/>
    <cellStyle name="Accent5 2 4" xfId="491"/>
    <cellStyle name="Accent5 20" xfId="494"/>
    <cellStyle name="Accent5 21" xfId="495"/>
    <cellStyle name="Accent5 22" xfId="496"/>
    <cellStyle name="Accent5 23" xfId="497"/>
    <cellStyle name="Accent5 24" xfId="498"/>
    <cellStyle name="Accent5 25" xfId="499"/>
    <cellStyle name="Accent5 26" xfId="500"/>
    <cellStyle name="Accent5 27" xfId="501"/>
    <cellStyle name="Accent5 28" xfId="918"/>
    <cellStyle name="Accent5 29" xfId="1000"/>
    <cellStyle name="Accent5 3" xfId="273"/>
    <cellStyle name="Accent5 3 2" xfId="502"/>
    <cellStyle name="Accent5 30" xfId="1010"/>
    <cellStyle name="Accent5 31" xfId="478"/>
    <cellStyle name="Accent5 32" xfId="178"/>
    <cellStyle name="Accent5 33" xfId="1059"/>
    <cellStyle name="Accent5 34" xfId="1095"/>
    <cellStyle name="Accent5 35" xfId="1067"/>
    <cellStyle name="Accent5 36" xfId="1082"/>
    <cellStyle name="Accent5 37" xfId="1090"/>
    <cellStyle name="Accent5 38" xfId="1058"/>
    <cellStyle name="Accent5 39" xfId="1065"/>
    <cellStyle name="Accent5 4" xfId="276"/>
    <cellStyle name="Accent5 4 2" xfId="503"/>
    <cellStyle name="Accent5 40" xfId="104"/>
    <cellStyle name="Accent5 41" xfId="121"/>
    <cellStyle name="Accent5 42" xfId="1106"/>
    <cellStyle name="Accent5 43" xfId="1097"/>
    <cellStyle name="Accent5 5" xfId="287"/>
    <cellStyle name="Accent5 5 2" xfId="504"/>
    <cellStyle name="Accent5 6" xfId="505"/>
    <cellStyle name="Accent5 7" xfId="506"/>
    <cellStyle name="Accent5 8" xfId="507"/>
    <cellStyle name="Accent5 9" xfId="508"/>
    <cellStyle name="Accent6 - 20%" xfId="24"/>
    <cellStyle name="Accent6 - 40%" xfId="25"/>
    <cellStyle name="Accent6 - 40% 2" xfId="510"/>
    <cellStyle name="Accent6 - 40% 3" xfId="216"/>
    <cellStyle name="Accent6 - 60%" xfId="26"/>
    <cellStyle name="Accent6 - 60% 2" xfId="511"/>
    <cellStyle name="Accent6 - 60% 3" xfId="217"/>
    <cellStyle name="Accent6 10" xfId="512"/>
    <cellStyle name="Accent6 11" xfId="513"/>
    <cellStyle name="Accent6 12" xfId="514"/>
    <cellStyle name="Accent6 13" xfId="515"/>
    <cellStyle name="Accent6 14" xfId="516"/>
    <cellStyle name="Accent6 15" xfId="517"/>
    <cellStyle name="Accent6 16" xfId="518"/>
    <cellStyle name="Accent6 17" xfId="519"/>
    <cellStyle name="Accent6 18" xfId="520"/>
    <cellStyle name="Accent6 19" xfId="521"/>
    <cellStyle name="Accent6 2" xfId="215"/>
    <cellStyle name="Accent6 2 2" xfId="523"/>
    <cellStyle name="Accent6 2 3" xfId="524"/>
    <cellStyle name="Accent6 2 4" xfId="522"/>
    <cellStyle name="Accent6 20" xfId="525"/>
    <cellStyle name="Accent6 21" xfId="526"/>
    <cellStyle name="Accent6 22" xfId="527"/>
    <cellStyle name="Accent6 23" xfId="528"/>
    <cellStyle name="Accent6 24" xfId="529"/>
    <cellStyle name="Accent6 25" xfId="530"/>
    <cellStyle name="Accent6 26" xfId="531"/>
    <cellStyle name="Accent6 27" xfId="532"/>
    <cellStyle name="Accent6 28" xfId="922"/>
    <cellStyle name="Accent6 29" xfId="1003"/>
    <cellStyle name="Accent6 3" xfId="274"/>
    <cellStyle name="Accent6 3 2" xfId="533"/>
    <cellStyle name="Accent6 30" xfId="1011"/>
    <cellStyle name="Accent6 31" xfId="509"/>
    <cellStyle name="Accent6 32" xfId="182"/>
    <cellStyle name="Accent6 33" xfId="1060"/>
    <cellStyle name="Accent6 34" xfId="1085"/>
    <cellStyle name="Accent6 35" xfId="1071"/>
    <cellStyle name="Accent6 36" xfId="1079"/>
    <cellStyle name="Accent6 37" xfId="1076"/>
    <cellStyle name="Accent6 38" xfId="1077"/>
    <cellStyle name="Accent6 39" xfId="1063"/>
    <cellStyle name="Accent6 4" xfId="275"/>
    <cellStyle name="Accent6 4 2" xfId="534"/>
    <cellStyle name="Accent6 40" xfId="105"/>
    <cellStyle name="Accent6 41" xfId="120"/>
    <cellStyle name="Accent6 42" xfId="1101"/>
    <cellStyle name="Accent6 43" xfId="1100"/>
    <cellStyle name="Accent6 5" xfId="288"/>
    <cellStyle name="Accent6 5 2" xfId="535"/>
    <cellStyle name="Accent6 6" xfId="536"/>
    <cellStyle name="Accent6 7" xfId="537"/>
    <cellStyle name="Accent6 8" xfId="538"/>
    <cellStyle name="Accent6 9" xfId="539"/>
    <cellStyle name="Bad 2" xfId="218"/>
    <cellStyle name="Bad 2 2" xfId="541"/>
    <cellStyle name="Bad 2 3" xfId="542"/>
    <cellStyle name="Bad 2 4" xfId="540"/>
    <cellStyle name="Bad 3" xfId="543"/>
    <cellStyle name="Bad 4" xfId="891"/>
    <cellStyle name="Bad 5" xfId="151"/>
    <cellStyle name="Bad 6" xfId="106"/>
    <cellStyle name="Calculation 2" xfId="219"/>
    <cellStyle name="Calculation 2 2" xfId="545"/>
    <cellStyle name="Calculation 2 2 2" xfId="1188"/>
    <cellStyle name="Calculation 2 3" xfId="546"/>
    <cellStyle name="Calculation 2 3 2" xfId="1189"/>
    <cellStyle name="Calculation 2 4" xfId="544"/>
    <cellStyle name="Calculation 2 4 2" xfId="1187"/>
    <cellStyle name="Calculation 2 5" xfId="1152"/>
    <cellStyle name="Calculation 3" xfId="547"/>
    <cellStyle name="Calculation 3 2" xfId="1190"/>
    <cellStyle name="Calculation 4" xfId="895"/>
    <cellStyle name="Calculation 5" xfId="155"/>
    <cellStyle name="Calculation 6" xfId="107"/>
    <cellStyle name="Calculation 6 2" xfId="1141"/>
    <cellStyle name="Check Cell 2" xfId="220"/>
    <cellStyle name="Check Cell 2 2" xfId="549"/>
    <cellStyle name="Check Cell 2 3" xfId="550"/>
    <cellStyle name="Check Cell 2 4" xfId="548"/>
    <cellStyle name="Check Cell 3" xfId="551"/>
    <cellStyle name="Check Cell 4" xfId="897"/>
    <cellStyle name="Check Cell 5" xfId="157"/>
    <cellStyle name="Check Cell 6" xfId="108"/>
    <cellStyle name="column Head Underlined" xfId="552"/>
    <cellStyle name="Column Heading" xfId="553"/>
    <cellStyle name="Comma [1]" xfId="555"/>
    <cellStyle name="Comma 10" xfId="1363"/>
    <cellStyle name="Comma 19 4" xfId="1364"/>
    <cellStyle name="Comma 2" xfId="4"/>
    <cellStyle name="Comma 2 2" xfId="80"/>
    <cellStyle name="Comma 2 2 2" xfId="557"/>
    <cellStyle name="Comma 2 3" xfId="558"/>
    <cellStyle name="Comma 2 4" xfId="556"/>
    <cellStyle name="Comma 3" xfId="559"/>
    <cellStyle name="Comma 4" xfId="560"/>
    <cellStyle name="Comma 5" xfId="561"/>
    <cellStyle name="Comma 6" xfId="562"/>
    <cellStyle name="Comma 6 2" xfId="563"/>
    <cellStyle name="Comma 7" xfId="564"/>
    <cellStyle name="Comma 7 2" xfId="565"/>
    <cellStyle name="Comma 8" xfId="566"/>
    <cellStyle name="Comma 9" xfId="554"/>
    <cellStyle name="Currency 2" xfId="567"/>
    <cellStyle name="Date" xfId="568"/>
    <cellStyle name="Date 2" xfId="569"/>
    <cellStyle name="Date 2 2" xfId="570"/>
    <cellStyle name="Dezimal [0]_Compiling Utility Macros" xfId="571"/>
    <cellStyle name="Dezimal_Compiling Utility Macros" xfId="572"/>
    <cellStyle name="DOWNFOOT" xfId="573"/>
    <cellStyle name="Emphasis 1" xfId="27"/>
    <cellStyle name="Emphasis 1 2" xfId="574"/>
    <cellStyle name="Emphasis 1 3" xfId="221"/>
    <cellStyle name="Emphasis 2" xfId="28"/>
    <cellStyle name="Emphasis 2 2" xfId="575"/>
    <cellStyle name="Emphasis 2 3" xfId="222"/>
    <cellStyle name="Emphasis 3" xfId="29"/>
    <cellStyle name="Euro" xfId="576"/>
    <cellStyle name="Euro 10" xfId="577"/>
    <cellStyle name="Euro 11" xfId="578"/>
    <cellStyle name="Euro 12" xfId="579"/>
    <cellStyle name="Euro 13" xfId="580"/>
    <cellStyle name="Euro 2" xfId="581"/>
    <cellStyle name="Euro 2 2" xfId="582"/>
    <cellStyle name="Euro 2 3" xfId="583"/>
    <cellStyle name="Euro 3" xfId="584"/>
    <cellStyle name="Euro 3 2" xfId="585"/>
    <cellStyle name="Euro 4" xfId="586"/>
    <cellStyle name="Euro 4 2" xfId="587"/>
    <cellStyle name="Euro 5" xfId="588"/>
    <cellStyle name="Euro 6" xfId="589"/>
    <cellStyle name="Euro 7" xfId="590"/>
    <cellStyle name="Euro 8" xfId="591"/>
    <cellStyle name="Euro 9" xfId="592"/>
    <cellStyle name="Explanatory Text 2" xfId="594"/>
    <cellStyle name="Explanatory Text 2 2" xfId="595"/>
    <cellStyle name="Explanatory Text 2 3" xfId="596"/>
    <cellStyle name="Explanatory Text 3" xfId="597"/>
    <cellStyle name="Explanatory Text 4" xfId="900"/>
    <cellStyle name="Explanatory Text 5" xfId="593"/>
    <cellStyle name="Explanatory Text 6" xfId="160"/>
    <cellStyle name="Explanatory Text 7" xfId="109"/>
    <cellStyle name="Good 2" xfId="223"/>
    <cellStyle name="Good 2 2" xfId="599"/>
    <cellStyle name="Good 2 3" xfId="600"/>
    <cellStyle name="Good 2 4" xfId="598"/>
    <cellStyle name="Good 3" xfId="601"/>
    <cellStyle name="Good 4" xfId="890"/>
    <cellStyle name="Good 5" xfId="150"/>
    <cellStyle name="Good 6" xfId="110"/>
    <cellStyle name="GreyOrWhite" xfId="602"/>
    <cellStyle name="Heading 1 2" xfId="224"/>
    <cellStyle name="Heading 1 2 2" xfId="604"/>
    <cellStyle name="Heading 1 2 3" xfId="603"/>
    <cellStyle name="Heading 1 3" xfId="886"/>
    <cellStyle name="Heading 1 4" xfId="146"/>
    <cellStyle name="Heading 1 5" xfId="111"/>
    <cellStyle name="Heading 2 2" xfId="225"/>
    <cellStyle name="Heading 2 2 2" xfId="606"/>
    <cellStyle name="Heading 2 2 3" xfId="607"/>
    <cellStyle name="Heading 2 2 4" xfId="605"/>
    <cellStyle name="Heading 2 3" xfId="608"/>
    <cellStyle name="Heading 2 4" xfId="887"/>
    <cellStyle name="Heading 2 5" xfId="147"/>
    <cellStyle name="Heading 2 6" xfId="112"/>
    <cellStyle name="Heading 3 2" xfId="226"/>
    <cellStyle name="Heading 3 2 2" xfId="610"/>
    <cellStyle name="Heading 3 2 3" xfId="611"/>
    <cellStyle name="Heading 3 2 4" xfId="609"/>
    <cellStyle name="Heading 3 3" xfId="612"/>
    <cellStyle name="Heading 3 4" xfId="888"/>
    <cellStyle name="Heading 3 5" xfId="148"/>
    <cellStyle name="Heading 3 6" xfId="113"/>
    <cellStyle name="Heading 4 2" xfId="227"/>
    <cellStyle name="Heading 4 2 2" xfId="614"/>
    <cellStyle name="Heading 4 2 3" xfId="613"/>
    <cellStyle name="Heading 4 3" xfId="889"/>
    <cellStyle name="Heading 4 4" xfId="149"/>
    <cellStyle name="Heading 4 5" xfId="114"/>
    <cellStyle name="Hyperlink 10" xfId="615"/>
    <cellStyle name="Hyperlink 11" xfId="616"/>
    <cellStyle name="Hyperlink 12" xfId="617"/>
    <cellStyle name="Hyperlink 2" xfId="295"/>
    <cellStyle name="Hyperlink 2 2" xfId="618"/>
    <cellStyle name="Hyperlink 3" xfId="619"/>
    <cellStyle name="Hyperlink 4" xfId="620"/>
    <cellStyle name="Hyperlink 5" xfId="621"/>
    <cellStyle name="Hyperlink 6" xfId="622"/>
    <cellStyle name="Hyperlink 7" xfId="623"/>
    <cellStyle name="Hyperlink 8" xfId="624"/>
    <cellStyle name="Hyperlink 9" xfId="625"/>
    <cellStyle name="Input 2" xfId="228"/>
    <cellStyle name="Input 2 2" xfId="627"/>
    <cellStyle name="Input 2 2 2" xfId="1192"/>
    <cellStyle name="Input 2 3" xfId="628"/>
    <cellStyle name="Input 2 3 2" xfId="1193"/>
    <cellStyle name="Input 2 4" xfId="626"/>
    <cellStyle name="Input 2 4 2" xfId="1191"/>
    <cellStyle name="Input 2 5" xfId="1153"/>
    <cellStyle name="Input 3" xfId="629"/>
    <cellStyle name="Input 3 2" xfId="1194"/>
    <cellStyle name="Input 4" xfId="893"/>
    <cellStyle name="Input 5" xfId="153"/>
    <cellStyle name="Input 6" xfId="115"/>
    <cellStyle name="Input 6 2" xfId="1142"/>
    <cellStyle name="Linked Cell 2" xfId="229"/>
    <cellStyle name="Linked Cell 2 2" xfId="631"/>
    <cellStyle name="Linked Cell 2 3" xfId="632"/>
    <cellStyle name="Linked Cell 2 4" xfId="630"/>
    <cellStyle name="Linked Cell 3" xfId="633"/>
    <cellStyle name="Linked Cell 4" xfId="896"/>
    <cellStyle name="Linked Cell 5" xfId="156"/>
    <cellStyle name="Linked Cell 6" xfId="116"/>
    <cellStyle name="Main Heading" xfId="634"/>
    <cellStyle name="Neutral 2" xfId="230"/>
    <cellStyle name="Neutral 2 2" xfId="636"/>
    <cellStyle name="Neutral 2 3" xfId="637"/>
    <cellStyle name="Neutral 2 4" xfId="635"/>
    <cellStyle name="Neutral 3" xfId="638"/>
    <cellStyle name="Neutral 4" xfId="892"/>
    <cellStyle name="Neutral 5" xfId="152"/>
    <cellStyle name="Neutral 6" xfId="117"/>
    <cellStyle name="Normal" xfId="0" builtinId="0"/>
    <cellStyle name="Normal 10" xfId="639"/>
    <cellStyle name="Normal 11" xfId="640"/>
    <cellStyle name="Normal 12" xfId="641"/>
    <cellStyle name="Normal 13" xfId="642"/>
    <cellStyle name="Normal 14" xfId="926"/>
    <cellStyle name="Normal 15" xfId="949"/>
    <cellStyle name="Normal 16" xfId="1051"/>
    <cellStyle name="Normal 17" xfId="143"/>
    <cellStyle name="Normal 18" xfId="1362"/>
    <cellStyle name="Normal 2" xfId="3"/>
    <cellStyle name="Normal 2 2" xfId="2"/>
    <cellStyle name="Normal 2 2 2" xfId="134"/>
    <cellStyle name="Normal 2 2 2 2" xfId="140"/>
    <cellStyle name="Normal 2 2 2 3" xfId="644"/>
    <cellStyle name="Normal 2 2 3" xfId="136"/>
    <cellStyle name="Normal 2 2 3 2" xfId="142"/>
    <cellStyle name="Normal 2 2 3 3" xfId="643"/>
    <cellStyle name="Normal 2 2 4" xfId="138"/>
    <cellStyle name="Normal 2 2 5" xfId="294"/>
    <cellStyle name="Normal 2 2 6" xfId="132"/>
    <cellStyle name="Normal 2 3" xfId="133"/>
    <cellStyle name="Normal 2 3 2" xfId="139"/>
    <cellStyle name="Normal 2 3 3" xfId="290"/>
    <cellStyle name="Normal 2 4" xfId="135"/>
    <cellStyle name="Normal 2 4 2" xfId="141"/>
    <cellStyle name="Normal 2 5" xfId="137"/>
    <cellStyle name="Normal 2 6" xfId="193"/>
    <cellStyle name="Normal 2 7" xfId="129"/>
    <cellStyle name="Normal 24" xfId="291"/>
    <cellStyle name="Normal 3" xfId="73"/>
    <cellStyle name="Normal 3 2" xfId="645"/>
    <cellStyle name="Normal 3 3" xfId="195"/>
    <cellStyle name="Normal 4" xfId="77"/>
    <cellStyle name="Normal 4 2" xfId="81"/>
    <cellStyle name="Normal 4 2 2" xfId="647"/>
    <cellStyle name="Normal 4 2 3" xfId="297"/>
    <cellStyle name="Normal 4 3" xfId="646"/>
    <cellStyle name="Normal 4 4" xfId="282"/>
    <cellStyle name="Normal 5" xfId="289"/>
    <cellStyle name="Normal 5 2" xfId="304"/>
    <cellStyle name="Normal 6" xfId="648"/>
    <cellStyle name="Normal 7" xfId="194"/>
    <cellStyle name="Normal 7 2" xfId="298"/>
    <cellStyle name="Normal 8" xfId="649"/>
    <cellStyle name="Normal 9" xfId="650"/>
    <cellStyle name="Normal U" xfId="651"/>
    <cellStyle name="Normal_3E(9) proforma 2000-01" xfId="30"/>
    <cellStyle name="Normal_EMExls" xfId="31"/>
    <cellStyle name="Normal_risk table" xfId="74"/>
    <cellStyle name="Note 2" xfId="231"/>
    <cellStyle name="Note 2 2" xfId="653"/>
    <cellStyle name="Note 2 2 2" xfId="1196"/>
    <cellStyle name="Note 2 3" xfId="654"/>
    <cellStyle name="Note 2 3 2" xfId="1197"/>
    <cellStyle name="Note 2 4" xfId="652"/>
    <cellStyle name="Note 2 4 2" xfId="1195"/>
    <cellStyle name="Note 2 5" xfId="1154"/>
    <cellStyle name="Note 3" xfId="655"/>
    <cellStyle name="Note 3 2" xfId="656"/>
    <cellStyle name="Note 3 2 2" xfId="1199"/>
    <cellStyle name="Note 3 3" xfId="1198"/>
    <cellStyle name="Note 4" xfId="899"/>
    <cellStyle name="Note 5" xfId="987"/>
    <cellStyle name="Note 6" xfId="159"/>
    <cellStyle name="Note 7" xfId="118"/>
    <cellStyle name="Note 7 2" xfId="1143"/>
    <cellStyle name="Output 2" xfId="232"/>
    <cellStyle name="Output 2 2" xfId="658"/>
    <cellStyle name="Output 2 3" xfId="659"/>
    <cellStyle name="Output 2 4" xfId="657"/>
    <cellStyle name="Output 3" xfId="660"/>
    <cellStyle name="Output 4" xfId="894"/>
    <cellStyle name="Output 5" xfId="154"/>
    <cellStyle name="Output 6" xfId="119"/>
    <cellStyle name="Percent" xfId="76" builtinId="5"/>
    <cellStyle name="Percent 2" xfId="32"/>
    <cellStyle name="Percent 2 2" xfId="296"/>
    <cellStyle name="Percent 2 2 10 2" xfId="299"/>
    <cellStyle name="Percent 2 3" xfId="293"/>
    <cellStyle name="Percent 2 4" xfId="281"/>
    <cellStyle name="Percent 3" xfId="75"/>
    <cellStyle name="Percent 3 2" xfId="661"/>
    <cellStyle name="Percent 3 3" xfId="305"/>
    <cellStyle name="Percent 3 4" xfId="292"/>
    <cellStyle name="Percent 4" xfId="662"/>
    <cellStyle name="Percent 4 2" xfId="663"/>
    <cellStyle name="Percent 5" xfId="664"/>
    <cellStyle name="Percent 6" xfId="144"/>
    <cellStyle name="PSChar" xfId="665"/>
    <cellStyle name="PSChar 2" xfId="666"/>
    <cellStyle name="PSChar 2 2" xfId="667"/>
    <cellStyle name="SAPBEXaggData" xfId="33"/>
    <cellStyle name="SAPBEXaggData 2" xfId="668"/>
    <cellStyle name="SAPBEXaggData 2 2" xfId="669"/>
    <cellStyle name="SAPBEXaggData 2 2 2" xfId="1201"/>
    <cellStyle name="SAPBEXaggData 2 3" xfId="1200"/>
    <cellStyle name="SAPBEXaggData 3" xfId="670"/>
    <cellStyle name="SAPBEXaggData 3 2" xfId="671"/>
    <cellStyle name="SAPBEXaggData 3 2 2" xfId="1203"/>
    <cellStyle name="SAPBEXaggData 3 3" xfId="1202"/>
    <cellStyle name="SAPBEXaggData 4" xfId="672"/>
    <cellStyle name="SAPBEXaggData 4 2" xfId="1204"/>
    <cellStyle name="SAPBEXaggData 5" xfId="927"/>
    <cellStyle name="SAPBEXaggData 5 2" xfId="1335"/>
    <cellStyle name="SAPBEXaggData 6" xfId="950"/>
    <cellStyle name="SAPBEXaggData 7" xfId="1047"/>
    <cellStyle name="SAPBEXaggData 8" xfId="233"/>
    <cellStyle name="SAPBEXaggData 8 2" xfId="1155"/>
    <cellStyle name="SAPBEXaggData 9" xfId="1108"/>
    <cellStyle name="SAPBEXaggData_East 1415 Budget model v1" xfId="673"/>
    <cellStyle name="SAPBEXaggDataEmph" xfId="34"/>
    <cellStyle name="SAPBEXaggDataEmph 2" xfId="674"/>
    <cellStyle name="SAPBEXaggDataEmph 2 2" xfId="675"/>
    <cellStyle name="SAPBEXaggDataEmph 2 2 2" xfId="1206"/>
    <cellStyle name="SAPBEXaggDataEmph 2 3" xfId="1205"/>
    <cellStyle name="SAPBEXaggDataEmph 3" xfId="676"/>
    <cellStyle name="SAPBEXaggDataEmph 3 2" xfId="677"/>
    <cellStyle name="SAPBEXaggDataEmph 3 2 2" xfId="1208"/>
    <cellStyle name="SAPBEXaggDataEmph 3 3" xfId="1207"/>
    <cellStyle name="SAPBEXaggDataEmph 4" xfId="951"/>
    <cellStyle name="SAPBEXaggDataEmph 5" xfId="1046"/>
    <cellStyle name="SAPBEXaggDataEmph 6" xfId="234"/>
    <cellStyle name="SAPBEXaggDataEmph 6 2" xfId="1156"/>
    <cellStyle name="SAPBEXaggDataEmph 7" xfId="1109"/>
    <cellStyle name="SAPBEXaggItem" xfId="35"/>
    <cellStyle name="SAPBEXaggItem 2" xfId="678"/>
    <cellStyle name="SAPBEXaggItem 2 2" xfId="679"/>
    <cellStyle name="SAPBEXaggItem 2 2 2" xfId="1210"/>
    <cellStyle name="SAPBEXaggItem 2 3" xfId="1209"/>
    <cellStyle name="SAPBEXaggItem 3" xfId="680"/>
    <cellStyle name="SAPBEXaggItem 3 2" xfId="681"/>
    <cellStyle name="SAPBEXaggItem 3 2 2" xfId="1212"/>
    <cellStyle name="SAPBEXaggItem 3 3" xfId="1211"/>
    <cellStyle name="SAPBEXaggItem 4" xfId="682"/>
    <cellStyle name="SAPBEXaggItem 4 2" xfId="1213"/>
    <cellStyle name="SAPBEXaggItem 5" xfId="928"/>
    <cellStyle name="SAPBEXaggItem 5 2" xfId="1336"/>
    <cellStyle name="SAPBEXaggItem 6" xfId="952"/>
    <cellStyle name="SAPBEXaggItem 7" xfId="1045"/>
    <cellStyle name="SAPBEXaggItem 8" xfId="235"/>
    <cellStyle name="SAPBEXaggItem 8 2" xfId="1157"/>
    <cellStyle name="SAPBEXaggItem 9" xfId="1110"/>
    <cellStyle name="SAPBEXaggItem_East 1415 Budget model v1" xfId="683"/>
    <cellStyle name="SAPBEXaggItemX" xfId="36"/>
    <cellStyle name="SAPBEXaggItemX 2" xfId="684"/>
    <cellStyle name="SAPBEXaggItemX 2 2" xfId="1214"/>
    <cellStyle name="SAPBEXaggItemX 3" xfId="953"/>
    <cellStyle name="SAPBEXaggItemX 4" xfId="1048"/>
    <cellStyle name="SAPBEXaggItemX 4 2" xfId="1357"/>
    <cellStyle name="SAPBEXaggItemX 5" xfId="1044"/>
    <cellStyle name="SAPBEXaggItemX 6" xfId="236"/>
    <cellStyle name="SAPBEXaggItemX 6 2" xfId="1158"/>
    <cellStyle name="SAPBEXaggItemX 7" xfId="1111"/>
    <cellStyle name="SAPBEXchaText" xfId="37"/>
    <cellStyle name="SAPBEXchaText 2" xfId="685"/>
    <cellStyle name="SAPBEXchaText 2 2" xfId="686"/>
    <cellStyle name="SAPBEXchaText 3" xfId="687"/>
    <cellStyle name="SAPBEXchaText 3 2" xfId="688"/>
    <cellStyle name="SAPBEXchaText 4" xfId="689"/>
    <cellStyle name="SAPBEXchaText 5" xfId="929"/>
    <cellStyle name="SAPBEXchaText 5 2" xfId="1337"/>
    <cellStyle name="SAPBEXchaText 6" xfId="186"/>
    <cellStyle name="SAPBEXchaText 6 2" xfId="1145"/>
    <cellStyle name="SAPBEXchaText_East 1415 Budget model v1" xfId="690"/>
    <cellStyle name="SAPBEXexcBad7" xfId="38"/>
    <cellStyle name="SAPBEXexcBad7 2" xfId="691"/>
    <cellStyle name="SAPBEXexcBad7 2 2" xfId="692"/>
    <cellStyle name="SAPBEXexcBad7 2 2 2" xfId="1216"/>
    <cellStyle name="SAPBEXexcBad7 2 3" xfId="1215"/>
    <cellStyle name="SAPBEXexcBad7 3" xfId="693"/>
    <cellStyle name="SAPBEXexcBad7 3 2" xfId="694"/>
    <cellStyle name="SAPBEXexcBad7 3 2 2" xfId="1218"/>
    <cellStyle name="SAPBEXexcBad7 3 3" xfId="1217"/>
    <cellStyle name="SAPBEXexcBad7 4" xfId="695"/>
    <cellStyle name="SAPBEXexcBad7 4 2" xfId="1219"/>
    <cellStyle name="SAPBEXexcBad7 5" xfId="930"/>
    <cellStyle name="SAPBEXexcBad7 5 2" xfId="1338"/>
    <cellStyle name="SAPBEXexcBad7 6" xfId="954"/>
    <cellStyle name="SAPBEXexcBad7 7" xfId="1043"/>
    <cellStyle name="SAPBEXexcBad7 8" xfId="237"/>
    <cellStyle name="SAPBEXexcBad7 8 2" xfId="1159"/>
    <cellStyle name="SAPBEXexcBad7 9" xfId="1112"/>
    <cellStyle name="SAPBEXexcBad7_East 1415 Budget model v1" xfId="696"/>
    <cellStyle name="SAPBEXexcBad8" xfId="39"/>
    <cellStyle name="SAPBEXexcBad8 2" xfId="697"/>
    <cellStyle name="SAPBEXexcBad8 2 2" xfId="698"/>
    <cellStyle name="SAPBEXexcBad8 2 2 2" xfId="1221"/>
    <cellStyle name="SAPBEXexcBad8 2 3" xfId="1220"/>
    <cellStyle name="SAPBEXexcBad8 3" xfId="699"/>
    <cellStyle name="SAPBEXexcBad8 3 2" xfId="700"/>
    <cellStyle name="SAPBEXexcBad8 3 2 2" xfId="1223"/>
    <cellStyle name="SAPBEXexcBad8 3 3" xfId="1222"/>
    <cellStyle name="SAPBEXexcBad8 4" xfId="701"/>
    <cellStyle name="SAPBEXexcBad8 4 2" xfId="1224"/>
    <cellStyle name="SAPBEXexcBad8 5" xfId="931"/>
    <cellStyle name="SAPBEXexcBad8 5 2" xfId="1339"/>
    <cellStyle name="SAPBEXexcBad8 6" xfId="955"/>
    <cellStyle name="SAPBEXexcBad8 7" xfId="1042"/>
    <cellStyle name="SAPBEXexcBad8 8" xfId="238"/>
    <cellStyle name="SAPBEXexcBad8 8 2" xfId="1160"/>
    <cellStyle name="SAPBEXexcBad8 9" xfId="1113"/>
    <cellStyle name="SAPBEXexcBad8_East 1415 Budget model v1" xfId="702"/>
    <cellStyle name="SAPBEXexcBad9" xfId="40"/>
    <cellStyle name="SAPBEXexcBad9 2" xfId="703"/>
    <cellStyle name="SAPBEXexcBad9 2 2" xfId="704"/>
    <cellStyle name="SAPBEXexcBad9 2 2 2" xfId="1226"/>
    <cellStyle name="SAPBEXexcBad9 2 3" xfId="1225"/>
    <cellStyle name="SAPBEXexcBad9 3" xfId="705"/>
    <cellStyle name="SAPBEXexcBad9 3 2" xfId="706"/>
    <cellStyle name="SAPBEXexcBad9 3 2 2" xfId="1228"/>
    <cellStyle name="SAPBEXexcBad9 3 3" xfId="1227"/>
    <cellStyle name="SAPBEXexcBad9 4" xfId="707"/>
    <cellStyle name="SAPBEXexcBad9 4 2" xfId="1229"/>
    <cellStyle name="SAPBEXexcBad9 5" xfId="932"/>
    <cellStyle name="SAPBEXexcBad9 5 2" xfId="1340"/>
    <cellStyle name="SAPBEXexcBad9 6" xfId="956"/>
    <cellStyle name="SAPBEXexcBad9 7" xfId="1041"/>
    <cellStyle name="SAPBEXexcBad9 8" xfId="239"/>
    <cellStyle name="SAPBEXexcBad9 8 2" xfId="1161"/>
    <cellStyle name="SAPBEXexcBad9 9" xfId="1114"/>
    <cellStyle name="SAPBEXexcBad9_East 1415 Budget model v1" xfId="708"/>
    <cellStyle name="SAPBEXexcCritical4" xfId="41"/>
    <cellStyle name="SAPBEXexcCritical4 2" xfId="709"/>
    <cellStyle name="SAPBEXexcCritical4 2 2" xfId="710"/>
    <cellStyle name="SAPBEXexcCritical4 2 2 2" xfId="1231"/>
    <cellStyle name="SAPBEXexcCritical4 2 3" xfId="1230"/>
    <cellStyle name="SAPBEXexcCritical4 3" xfId="711"/>
    <cellStyle name="SAPBEXexcCritical4 3 2" xfId="712"/>
    <cellStyle name="SAPBEXexcCritical4 3 2 2" xfId="1233"/>
    <cellStyle name="SAPBEXexcCritical4 3 3" xfId="1232"/>
    <cellStyle name="SAPBEXexcCritical4 4" xfId="713"/>
    <cellStyle name="SAPBEXexcCritical4 4 2" xfId="1234"/>
    <cellStyle name="SAPBEXexcCritical4 5" xfId="933"/>
    <cellStyle name="SAPBEXexcCritical4 5 2" xfId="1341"/>
    <cellStyle name="SAPBEXexcCritical4 6" xfId="957"/>
    <cellStyle name="SAPBEXexcCritical4 7" xfId="1040"/>
    <cellStyle name="SAPBEXexcCritical4 8" xfId="240"/>
    <cellStyle name="SAPBEXexcCritical4 8 2" xfId="1162"/>
    <cellStyle name="SAPBEXexcCritical4 9" xfId="1115"/>
    <cellStyle name="SAPBEXexcCritical4_East 1415 Budget model v1" xfId="714"/>
    <cellStyle name="SAPBEXexcCritical5" xfId="42"/>
    <cellStyle name="SAPBEXexcCritical5 2" xfId="715"/>
    <cellStyle name="SAPBEXexcCritical5 2 2" xfId="716"/>
    <cellStyle name="SAPBEXexcCritical5 2 2 2" xfId="1236"/>
    <cellStyle name="SAPBEXexcCritical5 2 3" xfId="1235"/>
    <cellStyle name="SAPBEXexcCritical5 3" xfId="717"/>
    <cellStyle name="SAPBEXexcCritical5 3 2" xfId="718"/>
    <cellStyle name="SAPBEXexcCritical5 3 2 2" xfId="1238"/>
    <cellStyle name="SAPBEXexcCritical5 3 3" xfId="1237"/>
    <cellStyle name="SAPBEXexcCritical5 4" xfId="719"/>
    <cellStyle name="SAPBEXexcCritical5 4 2" xfId="1239"/>
    <cellStyle name="SAPBEXexcCritical5 5" xfId="934"/>
    <cellStyle name="SAPBEXexcCritical5 5 2" xfId="1342"/>
    <cellStyle name="SAPBEXexcCritical5 6" xfId="958"/>
    <cellStyle name="SAPBEXexcCritical5 7" xfId="1039"/>
    <cellStyle name="SAPBEXexcCritical5 8" xfId="241"/>
    <cellStyle name="SAPBEXexcCritical5 8 2" xfId="1163"/>
    <cellStyle name="SAPBEXexcCritical5 9" xfId="1116"/>
    <cellStyle name="SAPBEXexcCritical5_East 1415 Budget model v1" xfId="720"/>
    <cellStyle name="SAPBEXexcCritical6" xfId="43"/>
    <cellStyle name="SAPBEXexcCritical6 2" xfId="721"/>
    <cellStyle name="SAPBEXexcCritical6 2 2" xfId="722"/>
    <cellStyle name="SAPBEXexcCritical6 2 2 2" xfId="1241"/>
    <cellStyle name="SAPBEXexcCritical6 2 3" xfId="1240"/>
    <cellStyle name="SAPBEXexcCritical6 3" xfId="723"/>
    <cellStyle name="SAPBEXexcCritical6 3 2" xfId="724"/>
    <cellStyle name="SAPBEXexcCritical6 3 2 2" xfId="1243"/>
    <cellStyle name="SAPBEXexcCritical6 3 3" xfId="1242"/>
    <cellStyle name="SAPBEXexcCritical6 4" xfId="725"/>
    <cellStyle name="SAPBEXexcCritical6 4 2" xfId="1244"/>
    <cellStyle name="SAPBEXexcCritical6 5" xfId="935"/>
    <cellStyle name="SAPBEXexcCritical6 5 2" xfId="1343"/>
    <cellStyle name="SAPBEXexcCritical6 6" xfId="959"/>
    <cellStyle name="SAPBEXexcCritical6 7" xfId="1038"/>
    <cellStyle name="SAPBEXexcCritical6 8" xfId="242"/>
    <cellStyle name="SAPBEXexcCritical6 8 2" xfId="1164"/>
    <cellStyle name="SAPBEXexcCritical6 9" xfId="1117"/>
    <cellStyle name="SAPBEXexcCritical6_East 1415 Budget model v1" xfId="726"/>
    <cellStyle name="SAPBEXexcGood1" xfId="44"/>
    <cellStyle name="SAPBEXexcGood1 2" xfId="727"/>
    <cellStyle name="SAPBEXexcGood1 2 2" xfId="728"/>
    <cellStyle name="SAPBEXexcGood1 2 2 2" xfId="1246"/>
    <cellStyle name="SAPBEXexcGood1 2 3" xfId="1245"/>
    <cellStyle name="SAPBEXexcGood1 3" xfId="729"/>
    <cellStyle name="SAPBEXexcGood1 3 2" xfId="730"/>
    <cellStyle name="SAPBEXexcGood1 3 2 2" xfId="1248"/>
    <cellStyle name="SAPBEXexcGood1 3 3" xfId="1247"/>
    <cellStyle name="SAPBEXexcGood1 4" xfId="731"/>
    <cellStyle name="SAPBEXexcGood1 4 2" xfId="1249"/>
    <cellStyle name="SAPBEXexcGood1 5" xfId="936"/>
    <cellStyle name="SAPBEXexcGood1 5 2" xfId="1344"/>
    <cellStyle name="SAPBEXexcGood1 6" xfId="960"/>
    <cellStyle name="SAPBEXexcGood1 7" xfId="1037"/>
    <cellStyle name="SAPBEXexcGood1 8" xfId="243"/>
    <cellStyle name="SAPBEXexcGood1 8 2" xfId="1165"/>
    <cellStyle name="SAPBEXexcGood1 9" xfId="1118"/>
    <cellStyle name="SAPBEXexcGood1_East 1415 Budget model v1" xfId="732"/>
    <cellStyle name="SAPBEXexcGood2" xfId="45"/>
    <cellStyle name="SAPBEXexcGood2 2" xfId="733"/>
    <cellStyle name="SAPBEXexcGood2 2 2" xfId="734"/>
    <cellStyle name="SAPBEXexcGood2 2 2 2" xfId="1251"/>
    <cellStyle name="SAPBEXexcGood2 2 3" xfId="1250"/>
    <cellStyle name="SAPBEXexcGood2 3" xfId="735"/>
    <cellStyle name="SAPBEXexcGood2 3 2" xfId="736"/>
    <cellStyle name="SAPBEXexcGood2 3 2 2" xfId="1253"/>
    <cellStyle name="SAPBEXexcGood2 3 3" xfId="1252"/>
    <cellStyle name="SAPBEXexcGood2 4" xfId="737"/>
    <cellStyle name="SAPBEXexcGood2 4 2" xfId="1254"/>
    <cellStyle name="SAPBEXexcGood2 5" xfId="937"/>
    <cellStyle name="SAPBEXexcGood2 5 2" xfId="1345"/>
    <cellStyle name="SAPBEXexcGood2 6" xfId="961"/>
    <cellStyle name="SAPBEXexcGood2 7" xfId="1036"/>
    <cellStyle name="SAPBEXexcGood2 8" xfId="244"/>
    <cellStyle name="SAPBEXexcGood2 8 2" xfId="1166"/>
    <cellStyle name="SAPBEXexcGood2 9" xfId="1119"/>
    <cellStyle name="SAPBEXexcGood2_East 1415 Budget model v1" xfId="738"/>
    <cellStyle name="SAPBEXexcGood3" xfId="46"/>
    <cellStyle name="SAPBEXexcGood3 2" xfId="739"/>
    <cellStyle name="SAPBEXexcGood3 2 2" xfId="740"/>
    <cellStyle name="SAPBEXexcGood3 2 2 2" xfId="1256"/>
    <cellStyle name="SAPBEXexcGood3 2 3" xfId="1255"/>
    <cellStyle name="SAPBEXexcGood3 3" xfId="741"/>
    <cellStyle name="SAPBEXexcGood3 3 2" xfId="742"/>
    <cellStyle name="SAPBEXexcGood3 3 2 2" xfId="1258"/>
    <cellStyle name="SAPBEXexcGood3 3 3" xfId="1257"/>
    <cellStyle name="SAPBEXexcGood3 4" xfId="743"/>
    <cellStyle name="SAPBEXexcGood3 4 2" xfId="1259"/>
    <cellStyle name="SAPBEXexcGood3 5" xfId="938"/>
    <cellStyle name="SAPBEXexcGood3 5 2" xfId="1346"/>
    <cellStyle name="SAPBEXexcGood3 6" xfId="962"/>
    <cellStyle name="SAPBEXexcGood3 7" xfId="1035"/>
    <cellStyle name="SAPBEXexcGood3 8" xfId="245"/>
    <cellStyle name="SAPBEXexcGood3 8 2" xfId="1167"/>
    <cellStyle name="SAPBEXexcGood3 9" xfId="1120"/>
    <cellStyle name="SAPBEXexcGood3_East 1415 Budget model v1" xfId="744"/>
    <cellStyle name="SAPBEXfilterDrill" xfId="47"/>
    <cellStyle name="SAPBEXfilterDrill 2" xfId="745"/>
    <cellStyle name="SAPBEXfilterDrill 2 2" xfId="746"/>
    <cellStyle name="SAPBEXfilterDrill 3" xfId="747"/>
    <cellStyle name="SAPBEXfilterDrill 3 2" xfId="748"/>
    <cellStyle name="SAPBEXfilterDrill 4" xfId="749"/>
    <cellStyle name="SAPBEXfilterDrill 5" xfId="939"/>
    <cellStyle name="SAPBEXfilterDrill 5 2" xfId="1347"/>
    <cellStyle name="SAPBEXfilterDrill 6" xfId="963"/>
    <cellStyle name="SAPBEXfilterDrill 7" xfId="1034"/>
    <cellStyle name="SAPBEXfilterDrill 8" xfId="246"/>
    <cellStyle name="SAPBEXfilterDrill 8 2" xfId="1168"/>
    <cellStyle name="SAPBEXfilterDrill_East 1415 Budget model v1" xfId="750"/>
    <cellStyle name="SAPBEXfilterItem" xfId="48"/>
    <cellStyle name="SAPBEXfilterItem 2" xfId="751"/>
    <cellStyle name="SAPBEXfilterItem 2 2" xfId="752"/>
    <cellStyle name="SAPBEXfilterItem 3" xfId="753"/>
    <cellStyle name="SAPBEXfilterItem 3 2" xfId="754"/>
    <cellStyle name="SAPBEXfilterItem 4" xfId="964"/>
    <cellStyle name="SAPBEXfilterItem 5" xfId="1033"/>
    <cellStyle name="SAPBEXfilterItem 6" xfId="1052"/>
    <cellStyle name="SAPBEXfilterItem 6 2" xfId="1360"/>
    <cellStyle name="SAPBEXfilterItem 7" xfId="247"/>
    <cellStyle name="SAPBEXfilterItem 7 2" xfId="1169"/>
    <cellStyle name="SAPBEXfilterText" xfId="49"/>
    <cellStyle name="SAPBEXfilterText 2" xfId="755"/>
    <cellStyle name="SAPBEXfilterText 2 2" xfId="756"/>
    <cellStyle name="SAPBEXfilterText 3" xfId="757"/>
    <cellStyle name="SAPBEXfilterText 3 2" xfId="758"/>
    <cellStyle name="SAPBEXfilterText 4" xfId="965"/>
    <cellStyle name="SAPBEXfilterText 5" xfId="1032"/>
    <cellStyle name="SAPBEXfilterText 6" xfId="1053"/>
    <cellStyle name="SAPBEXfilterText 6 2" xfId="1361"/>
    <cellStyle name="SAPBEXfilterText 7" xfId="248"/>
    <cellStyle name="SAPBEXfilterText 7 2" xfId="1170"/>
    <cellStyle name="SAPBEXformats" xfId="50"/>
    <cellStyle name="SAPBEXformats 2" xfId="759"/>
    <cellStyle name="SAPBEXformats 2 2" xfId="760"/>
    <cellStyle name="SAPBEXformats 2 2 2" xfId="1261"/>
    <cellStyle name="SAPBEXformats 2 3" xfId="1260"/>
    <cellStyle name="SAPBEXformats 3" xfId="761"/>
    <cellStyle name="SAPBEXformats 3 2" xfId="762"/>
    <cellStyle name="SAPBEXformats 3 2 2" xfId="1263"/>
    <cellStyle name="SAPBEXformats 3 3" xfId="1262"/>
    <cellStyle name="SAPBEXformats 4" xfId="763"/>
    <cellStyle name="SAPBEXformats 4 2" xfId="1264"/>
    <cellStyle name="SAPBEXformats 5" xfId="940"/>
    <cellStyle name="SAPBEXformats 5 2" xfId="1348"/>
    <cellStyle name="SAPBEXformats 6" xfId="966"/>
    <cellStyle name="SAPBEXformats 7" xfId="1031"/>
    <cellStyle name="SAPBEXformats 8" xfId="249"/>
    <cellStyle name="SAPBEXformats 8 2" xfId="1171"/>
    <cellStyle name="SAPBEXformats 9" xfId="1121"/>
    <cellStyle name="SAPBEXformats_East 1415 Budget model v1" xfId="764"/>
    <cellStyle name="SAPBEXheaderItem" xfId="51"/>
    <cellStyle name="SAPBEXheaderItem 2" xfId="130"/>
    <cellStyle name="SAPBEXheaderItem 2 2" xfId="765"/>
    <cellStyle name="SAPBEXheaderItem 3" xfId="766"/>
    <cellStyle name="SAPBEXheaderItem 3 2" xfId="767"/>
    <cellStyle name="SAPBEXheaderItem 4" xfId="768"/>
    <cellStyle name="SAPBEXheaderItem 4 2" xfId="769"/>
    <cellStyle name="SAPBEXheaderItem 5" xfId="941"/>
    <cellStyle name="SAPBEXheaderItem 5 2" xfId="1349"/>
    <cellStyle name="SAPBEXheaderItem 6" xfId="967"/>
    <cellStyle name="SAPBEXheaderItem 7" xfId="1030"/>
    <cellStyle name="SAPBEXheaderItem 8" xfId="250"/>
    <cellStyle name="SAPBEXheaderItem 8 2" xfId="1172"/>
    <cellStyle name="SAPBEXheaderItem_East 1415 Budget model v1" xfId="770"/>
    <cellStyle name="SAPBEXheaderText" xfId="52"/>
    <cellStyle name="SAPBEXheaderText 2" xfId="131"/>
    <cellStyle name="SAPBEXheaderText 2 2" xfId="771"/>
    <cellStyle name="SAPBEXheaderText 3" xfId="772"/>
    <cellStyle name="SAPBEXheaderText 3 2" xfId="773"/>
    <cellStyle name="SAPBEXheaderText 4" xfId="774"/>
    <cellStyle name="SAPBEXheaderText 4 2" xfId="775"/>
    <cellStyle name="SAPBEXheaderText 5" xfId="942"/>
    <cellStyle name="SAPBEXheaderText 5 2" xfId="1350"/>
    <cellStyle name="SAPBEXheaderText 6" xfId="968"/>
    <cellStyle name="SAPBEXheaderText 7" xfId="1029"/>
    <cellStyle name="SAPBEXheaderText 8" xfId="251"/>
    <cellStyle name="SAPBEXheaderText 8 2" xfId="1173"/>
    <cellStyle name="SAPBEXheaderText_East 1415 Budget model v1" xfId="776"/>
    <cellStyle name="SAPBEXHLevel0" xfId="53"/>
    <cellStyle name="SAPBEXHLevel0 2" xfId="777"/>
    <cellStyle name="SAPBEXHLevel0 2 2" xfId="1265"/>
    <cellStyle name="SAPBEXHLevel0 3" xfId="778"/>
    <cellStyle name="SAPBEXHLevel0 3 2" xfId="1266"/>
    <cellStyle name="SAPBEXHLevel0 4" xfId="779"/>
    <cellStyle name="SAPBEXHLevel0 4 2" xfId="780"/>
    <cellStyle name="SAPBEXHLevel0 4 2 2" xfId="1268"/>
    <cellStyle name="SAPBEXHLevel0 4 3" xfId="1267"/>
    <cellStyle name="SAPBEXHLevel0 5" xfId="943"/>
    <cellStyle name="SAPBEXHLevel0 5 2" xfId="1351"/>
    <cellStyle name="SAPBEXHLevel0 6" xfId="969"/>
    <cellStyle name="SAPBEXHLevel0 7" xfId="1028"/>
    <cellStyle name="SAPBEXHLevel0 8" xfId="252"/>
    <cellStyle name="SAPBEXHLevel0 8 2" xfId="1174"/>
    <cellStyle name="SAPBEXHLevel0 9" xfId="1122"/>
    <cellStyle name="SAPBEXHLevel0_East 1415 Budget model v1" xfId="781"/>
    <cellStyle name="SAPBEXHLevel0X" xfId="54"/>
    <cellStyle name="SAPBEXHLevel0X 2" xfId="782"/>
    <cellStyle name="SAPBEXHLevel0X 2 2" xfId="783"/>
    <cellStyle name="SAPBEXHLevel0X 2 2 2" xfId="1270"/>
    <cellStyle name="SAPBEXHLevel0X 2 3" xfId="1269"/>
    <cellStyle name="SAPBEXHLevel0X 3" xfId="784"/>
    <cellStyle name="SAPBEXHLevel0X 3 2" xfId="785"/>
    <cellStyle name="SAPBEXHLevel0X 3 2 2" xfId="1272"/>
    <cellStyle name="SAPBEXHLevel0X 3 3" xfId="1271"/>
    <cellStyle name="SAPBEXHLevel0X 4" xfId="970"/>
    <cellStyle name="SAPBEXHLevel0X 5" xfId="1027"/>
    <cellStyle name="SAPBEXHLevel0X 6" xfId="188"/>
    <cellStyle name="SAPBEXHLevel0X 6 2" xfId="1147"/>
    <cellStyle name="SAPBEXHLevel0X 7" xfId="1123"/>
    <cellStyle name="SAPBEXHLevel1" xfId="55"/>
    <cellStyle name="SAPBEXHLevel1 2" xfId="786"/>
    <cellStyle name="SAPBEXHLevel1 2 2" xfId="1273"/>
    <cellStyle name="SAPBEXHLevel1 3" xfId="787"/>
    <cellStyle name="SAPBEXHLevel1 3 2" xfId="1274"/>
    <cellStyle name="SAPBEXHLevel1 4" xfId="788"/>
    <cellStyle name="SAPBEXHLevel1 4 2" xfId="789"/>
    <cellStyle name="SAPBEXHLevel1 4 2 2" xfId="1276"/>
    <cellStyle name="SAPBEXHLevel1 4 3" xfId="1275"/>
    <cellStyle name="SAPBEXHLevel1 5" xfId="944"/>
    <cellStyle name="SAPBEXHLevel1 5 2" xfId="1352"/>
    <cellStyle name="SAPBEXHLevel1 6" xfId="971"/>
    <cellStyle name="SAPBEXHLevel1 7" xfId="1026"/>
    <cellStyle name="SAPBEXHLevel1 8" xfId="253"/>
    <cellStyle name="SAPBEXHLevel1 8 2" xfId="1175"/>
    <cellStyle name="SAPBEXHLevel1 9" xfId="1124"/>
    <cellStyle name="SAPBEXHLevel1_East 1415 Budget model v1" xfId="790"/>
    <cellStyle name="SAPBEXHLevel1X" xfId="56"/>
    <cellStyle name="SAPBEXHLevel1X 2" xfId="791"/>
    <cellStyle name="SAPBEXHLevel1X 2 2" xfId="792"/>
    <cellStyle name="SAPBEXHLevel1X 2 2 2" xfId="1278"/>
    <cellStyle name="SAPBEXHLevel1X 2 3" xfId="1277"/>
    <cellStyle name="SAPBEXHLevel1X 3" xfId="793"/>
    <cellStyle name="SAPBEXHLevel1X 3 2" xfId="794"/>
    <cellStyle name="SAPBEXHLevel1X 3 2 2" xfId="1280"/>
    <cellStyle name="SAPBEXHLevel1X 3 3" xfId="1279"/>
    <cellStyle name="SAPBEXHLevel1X 4" xfId="972"/>
    <cellStyle name="SAPBEXHLevel1X 5" xfId="1025"/>
    <cellStyle name="SAPBEXHLevel1X 6" xfId="189"/>
    <cellStyle name="SAPBEXHLevel1X 6 2" xfId="1148"/>
    <cellStyle name="SAPBEXHLevel1X 7" xfId="1125"/>
    <cellStyle name="SAPBEXHLevel2" xfId="57"/>
    <cellStyle name="SAPBEXHLevel2 2" xfId="795"/>
    <cellStyle name="SAPBEXHLevel2 2 2" xfId="1281"/>
    <cellStyle name="SAPBEXHLevel2 3" xfId="796"/>
    <cellStyle name="SAPBEXHLevel2 3 2" xfId="1282"/>
    <cellStyle name="SAPBEXHLevel2 4" xfId="797"/>
    <cellStyle name="SAPBEXHLevel2 4 2" xfId="798"/>
    <cellStyle name="SAPBEXHLevel2 4 2 2" xfId="1284"/>
    <cellStyle name="SAPBEXHLevel2 4 3" xfId="1283"/>
    <cellStyle name="SAPBEXHLevel2 5" xfId="945"/>
    <cellStyle name="SAPBEXHLevel2 5 2" xfId="1353"/>
    <cellStyle name="SAPBEXHLevel2 6" xfId="973"/>
    <cellStyle name="SAPBEXHLevel2 7" xfId="1024"/>
    <cellStyle name="SAPBEXHLevel2 8" xfId="254"/>
    <cellStyle name="SAPBEXHLevel2 8 2" xfId="1176"/>
    <cellStyle name="SAPBEXHLevel2 9" xfId="1126"/>
    <cellStyle name="SAPBEXHLevel2_East 1415 Budget model v1" xfId="799"/>
    <cellStyle name="SAPBEXHLevel2X" xfId="58"/>
    <cellStyle name="SAPBEXHLevel2X 2" xfId="800"/>
    <cellStyle name="SAPBEXHLevel2X 2 2" xfId="801"/>
    <cellStyle name="SAPBEXHLevel2X 2 2 2" xfId="1286"/>
    <cellStyle name="SAPBEXHLevel2X 2 3" xfId="1285"/>
    <cellStyle name="SAPBEXHLevel2X 3" xfId="802"/>
    <cellStyle name="SAPBEXHLevel2X 3 2" xfId="803"/>
    <cellStyle name="SAPBEXHLevel2X 3 2 2" xfId="1288"/>
    <cellStyle name="SAPBEXHLevel2X 3 3" xfId="1287"/>
    <cellStyle name="SAPBEXHLevel2X 4" xfId="974"/>
    <cellStyle name="SAPBEXHLevel2X 5" xfId="1023"/>
    <cellStyle name="SAPBEXHLevel2X 6" xfId="190"/>
    <cellStyle name="SAPBEXHLevel2X 6 2" xfId="1149"/>
    <cellStyle name="SAPBEXHLevel2X 7" xfId="1127"/>
    <cellStyle name="SAPBEXHLevel3" xfId="59"/>
    <cellStyle name="SAPBEXHLevel3 2" xfId="804"/>
    <cellStyle name="SAPBEXHLevel3 2 2" xfId="1289"/>
    <cellStyle name="SAPBEXHLevel3 3" xfId="805"/>
    <cellStyle name="SAPBEXHLevel3 3 2" xfId="1290"/>
    <cellStyle name="SAPBEXHLevel3 4" xfId="806"/>
    <cellStyle name="SAPBEXHLevel3 4 2" xfId="807"/>
    <cellStyle name="SAPBEXHLevel3 4 2 2" xfId="1292"/>
    <cellStyle name="SAPBEXHLevel3 4 3" xfId="1291"/>
    <cellStyle name="SAPBEXHLevel3 5" xfId="946"/>
    <cellStyle name="SAPBEXHLevel3 5 2" xfId="1354"/>
    <cellStyle name="SAPBEXHLevel3 6" xfId="975"/>
    <cellStyle name="SAPBEXHLevel3 7" xfId="1022"/>
    <cellStyle name="SAPBEXHLevel3 8" xfId="255"/>
    <cellStyle name="SAPBEXHLevel3 8 2" xfId="1177"/>
    <cellStyle name="SAPBEXHLevel3 9" xfId="1128"/>
    <cellStyle name="SAPBEXHLevel3_East 1415 Budget model v1" xfId="808"/>
    <cellStyle name="SAPBEXHLevel3X" xfId="60"/>
    <cellStyle name="SAPBEXHLevel3X 2" xfId="809"/>
    <cellStyle name="SAPBEXHLevel3X 2 2" xfId="810"/>
    <cellStyle name="SAPBEXHLevel3X 2 2 2" xfId="1294"/>
    <cellStyle name="SAPBEXHLevel3X 2 3" xfId="1293"/>
    <cellStyle name="SAPBEXHLevel3X 3" xfId="811"/>
    <cellStyle name="SAPBEXHLevel3X 3 2" xfId="812"/>
    <cellStyle name="SAPBEXHLevel3X 3 2 2" xfId="1296"/>
    <cellStyle name="SAPBEXHLevel3X 3 3" xfId="1295"/>
    <cellStyle name="SAPBEXHLevel3X 4" xfId="976"/>
    <cellStyle name="SAPBEXHLevel3X 5" xfId="1021"/>
    <cellStyle name="SAPBEXHLevel3X 6" xfId="191"/>
    <cellStyle name="SAPBEXHLevel3X 6 2" xfId="1150"/>
    <cellStyle name="SAPBEXHLevel3X 7" xfId="1129"/>
    <cellStyle name="SAPBEXinputData" xfId="61"/>
    <cellStyle name="SAPBEXinputData 2" xfId="813"/>
    <cellStyle name="SAPBEXinputData 2 2" xfId="814"/>
    <cellStyle name="SAPBEXinputData 3" xfId="815"/>
    <cellStyle name="SAPBEXinputData 3 2" xfId="816"/>
    <cellStyle name="SAPBEXinputData 4" xfId="977"/>
    <cellStyle name="SAPBEXinputData 5" xfId="1020"/>
    <cellStyle name="SAPBEXinputData 6" xfId="256"/>
    <cellStyle name="SAPBEXItemHeader" xfId="257"/>
    <cellStyle name="SAPBEXItemHeader 2" xfId="1178"/>
    <cellStyle name="SAPBEXresData" xfId="62"/>
    <cellStyle name="SAPBEXresData 2" xfId="817"/>
    <cellStyle name="SAPBEXresData 2 2" xfId="818"/>
    <cellStyle name="SAPBEXresData 2 2 2" xfId="1298"/>
    <cellStyle name="SAPBEXresData 2 3" xfId="1297"/>
    <cellStyle name="SAPBEXresData 3" xfId="819"/>
    <cellStyle name="SAPBEXresData 3 2" xfId="820"/>
    <cellStyle name="SAPBEXresData 3 2 2" xfId="1300"/>
    <cellStyle name="SAPBEXresData 3 3" xfId="1299"/>
    <cellStyle name="SAPBEXresData 4" xfId="978"/>
    <cellStyle name="SAPBEXresData 5" xfId="1019"/>
    <cellStyle name="SAPBEXresData 6" xfId="258"/>
    <cellStyle name="SAPBEXresData 6 2" xfId="1179"/>
    <cellStyle name="SAPBEXresData 7" xfId="1130"/>
    <cellStyle name="SAPBEXresDataEmph" xfId="63"/>
    <cellStyle name="SAPBEXresDataEmph 2" xfId="821"/>
    <cellStyle name="SAPBEXresDataEmph 2 2" xfId="822"/>
    <cellStyle name="SAPBEXresDataEmph 2 2 2" xfId="1302"/>
    <cellStyle name="SAPBEXresDataEmph 2 3" xfId="1301"/>
    <cellStyle name="SAPBEXresDataEmph 3" xfId="823"/>
    <cellStyle name="SAPBEXresDataEmph 3 2" xfId="824"/>
    <cellStyle name="SAPBEXresDataEmph 3 2 2" xfId="1304"/>
    <cellStyle name="SAPBEXresDataEmph 3 3" xfId="1303"/>
    <cellStyle name="SAPBEXresDataEmph 4" xfId="979"/>
    <cellStyle name="SAPBEXresDataEmph 5" xfId="1018"/>
    <cellStyle name="SAPBEXresDataEmph 6" xfId="259"/>
    <cellStyle name="SAPBEXresDataEmph 7" xfId="1131"/>
    <cellStyle name="SAPBEXresItem" xfId="64"/>
    <cellStyle name="SAPBEXresItem 2" xfId="825"/>
    <cellStyle name="SAPBEXresItem 2 2" xfId="826"/>
    <cellStyle name="SAPBEXresItem 2 2 2" xfId="1306"/>
    <cellStyle name="SAPBEXresItem 2 3" xfId="1305"/>
    <cellStyle name="SAPBEXresItem 3" xfId="827"/>
    <cellStyle name="SAPBEXresItem 3 2" xfId="828"/>
    <cellStyle name="SAPBEXresItem 3 2 2" xfId="1308"/>
    <cellStyle name="SAPBEXresItem 3 3" xfId="1307"/>
    <cellStyle name="SAPBEXresItem 4" xfId="980"/>
    <cellStyle name="SAPBEXresItem 5" xfId="1017"/>
    <cellStyle name="SAPBEXresItem 6" xfId="260"/>
    <cellStyle name="SAPBEXresItem 6 2" xfId="1180"/>
    <cellStyle name="SAPBEXresItem 7" xfId="1132"/>
    <cellStyle name="SAPBEXresItemX" xfId="65"/>
    <cellStyle name="SAPBEXresItemX 2" xfId="829"/>
    <cellStyle name="SAPBEXresItemX 2 2" xfId="1309"/>
    <cellStyle name="SAPBEXresItemX 3" xfId="981"/>
    <cellStyle name="SAPBEXresItemX 4" xfId="1016"/>
    <cellStyle name="SAPBEXresItemX 5" xfId="261"/>
    <cellStyle name="SAPBEXresItemX 5 2" xfId="1181"/>
    <cellStyle name="SAPBEXresItemX 6" xfId="1133"/>
    <cellStyle name="SAPBEXstdData" xfId="66"/>
    <cellStyle name="SAPBEXstdData 2" xfId="830"/>
    <cellStyle name="SAPBEXstdData 2 2" xfId="831"/>
    <cellStyle name="SAPBEXstdData 2 2 2" xfId="1311"/>
    <cellStyle name="SAPBEXstdData 2 3" xfId="1310"/>
    <cellStyle name="SAPBEXstdData 3" xfId="832"/>
    <cellStyle name="SAPBEXstdData 3 2" xfId="833"/>
    <cellStyle name="SAPBEXstdData 3 2 2" xfId="1313"/>
    <cellStyle name="SAPBEXstdData 3 3" xfId="1312"/>
    <cellStyle name="SAPBEXstdData 4" xfId="834"/>
    <cellStyle name="SAPBEXstdData 4 2" xfId="1314"/>
    <cellStyle name="SAPBEXstdData 5" xfId="947"/>
    <cellStyle name="SAPBEXstdData 5 2" xfId="1355"/>
    <cellStyle name="SAPBEXstdData 6" xfId="192"/>
    <cellStyle name="SAPBEXstdData 6 2" xfId="1151"/>
    <cellStyle name="SAPBEXstdData 7" xfId="1134"/>
    <cellStyle name="SAPBEXstdData_East 1415 Budget model v1" xfId="835"/>
    <cellStyle name="SAPBEXstdDataEmph" xfId="67"/>
    <cellStyle name="SAPBEXstdDataEmph 2" xfId="836"/>
    <cellStyle name="SAPBEXstdDataEmph 2 2" xfId="837"/>
    <cellStyle name="SAPBEXstdDataEmph 2 2 2" xfId="1316"/>
    <cellStyle name="SAPBEXstdDataEmph 2 3" xfId="1315"/>
    <cellStyle name="SAPBEXstdDataEmph 3" xfId="838"/>
    <cellStyle name="SAPBEXstdDataEmph 3 2" xfId="839"/>
    <cellStyle name="SAPBEXstdDataEmph 3 2 2" xfId="1318"/>
    <cellStyle name="SAPBEXstdDataEmph 3 3" xfId="1317"/>
    <cellStyle name="SAPBEXstdDataEmph 4" xfId="982"/>
    <cellStyle name="SAPBEXstdDataEmph 5" xfId="1015"/>
    <cellStyle name="SAPBEXstdDataEmph 6" xfId="262"/>
    <cellStyle name="SAPBEXstdDataEmph 6 2" xfId="1182"/>
    <cellStyle name="SAPBEXstdDataEmph 7" xfId="1135"/>
    <cellStyle name="SAPBEXstdItem" xfId="68"/>
    <cellStyle name="SAPBEXstdItem 2" xfId="840"/>
    <cellStyle name="SAPBEXstdItem 2 2" xfId="841"/>
    <cellStyle name="SAPBEXstdItem 2 2 2" xfId="1320"/>
    <cellStyle name="SAPBEXstdItem 2 3" xfId="842"/>
    <cellStyle name="SAPBEXstdItem 2 3 2" xfId="1321"/>
    <cellStyle name="SAPBEXstdItem 2 4" xfId="983"/>
    <cellStyle name="SAPBEXstdItem 2 4 2" xfId="1356"/>
    <cellStyle name="SAPBEXstdItem 2 5" xfId="1049"/>
    <cellStyle name="SAPBEXstdItem 2 5 2" xfId="1358"/>
    <cellStyle name="SAPBEXstdItem 2 6" xfId="1319"/>
    <cellStyle name="SAPBEXstdItem 3" xfId="843"/>
    <cellStyle name="SAPBEXstdItem 3 2" xfId="844"/>
    <cellStyle name="SAPBEXstdItem 3 2 2" xfId="1323"/>
    <cellStyle name="SAPBEXstdItem 3 3" xfId="1322"/>
    <cellStyle name="SAPBEXstdItem 4" xfId="845"/>
    <cellStyle name="SAPBEXstdItem 4 2" xfId="1324"/>
    <cellStyle name="SAPBEXstdItem 5" xfId="846"/>
    <cellStyle name="SAPBEXstdItem 5 2" xfId="1325"/>
    <cellStyle name="SAPBEXstdItem 6" xfId="187"/>
    <cellStyle name="SAPBEXstdItem 6 2" xfId="1146"/>
    <cellStyle name="SAPBEXstdItem 7" xfId="1136"/>
    <cellStyle name="SAPBEXstdItem_Distribution Manpower Download P12" xfId="847"/>
    <cellStyle name="SAPBEXstdItemX" xfId="69"/>
    <cellStyle name="SAPBEXstdItemX 2" xfId="848"/>
    <cellStyle name="SAPBEXstdItemX 2 2" xfId="1326"/>
    <cellStyle name="SAPBEXstdItemX 3" xfId="984"/>
    <cellStyle name="SAPBEXstdItemX 4" xfId="1014"/>
    <cellStyle name="SAPBEXstdItemX 5" xfId="263"/>
    <cellStyle name="SAPBEXstdItemX 5 2" xfId="1183"/>
    <cellStyle name="SAPBEXstdItemX 6" xfId="1137"/>
    <cellStyle name="SAPBEXtitle" xfId="70"/>
    <cellStyle name="SAPBEXtitle 2" xfId="849"/>
    <cellStyle name="SAPBEXtitle 2 2" xfId="850"/>
    <cellStyle name="SAPBEXtitle 2 2 2" xfId="1327"/>
    <cellStyle name="SAPBEXtitle 3" xfId="851"/>
    <cellStyle name="SAPBEXtitle 3 2" xfId="852"/>
    <cellStyle name="SAPBEXtitle 3 3" xfId="1328"/>
    <cellStyle name="SAPBEXtitle 4" xfId="985"/>
    <cellStyle name="SAPBEXtitle 5" xfId="1013"/>
    <cellStyle name="SAPBEXtitle 6" xfId="264"/>
    <cellStyle name="SAPBEXtitle 6 2" xfId="1184"/>
    <cellStyle name="SAPBEXunassignedItem" xfId="265"/>
    <cellStyle name="SAPBEXunassignedItem 2" xfId="853"/>
    <cellStyle name="SAPBEXunassignedItem 3" xfId="948"/>
    <cellStyle name="SAPBEXunassignedItem_East 1415 Budget model v1" xfId="854"/>
    <cellStyle name="SAPBEXundefined" xfId="71"/>
    <cellStyle name="SAPBEXundefined 2" xfId="855"/>
    <cellStyle name="SAPBEXundefined 2 2" xfId="856"/>
    <cellStyle name="SAPBEXundefined 2 2 2" xfId="1330"/>
    <cellStyle name="SAPBEXundefined 2 3" xfId="1329"/>
    <cellStyle name="SAPBEXundefined 3" xfId="857"/>
    <cellStyle name="SAPBEXundefined 3 2" xfId="858"/>
    <cellStyle name="SAPBEXundefined 3 2 2" xfId="1332"/>
    <cellStyle name="SAPBEXundefined 3 3" xfId="1331"/>
    <cellStyle name="SAPBEXundefined 4" xfId="986"/>
    <cellStyle name="SAPBEXundefined 5" xfId="1050"/>
    <cellStyle name="SAPBEXundefined 5 2" xfId="1359"/>
    <cellStyle name="SAPBEXundefined 6" xfId="1012"/>
    <cellStyle name="SAPBEXundefined 7" xfId="266"/>
    <cellStyle name="SAPBEXundefined 7 2" xfId="1185"/>
    <cellStyle name="SAPBEXundefined 8" xfId="1138"/>
    <cellStyle name="Sheet Title" xfId="72"/>
    <cellStyle name="Standard_Anpassen der Amortisation" xfId="859"/>
    <cellStyle name="Style 1" xfId="860"/>
    <cellStyle name="Style 1 2" xfId="861"/>
    <cellStyle name="Style 1 2 2" xfId="862"/>
    <cellStyle name="Style 1 3" xfId="863"/>
    <cellStyle name="Style 1 4" xfId="864"/>
    <cellStyle name="Style 1 4 2" xfId="865"/>
    <cellStyle name="Style 1 5" xfId="866"/>
    <cellStyle name="Style 1 5 2" xfId="867"/>
    <cellStyle name="Style 1 6" xfId="868"/>
    <cellStyle name="Style 1_EAST Q3 Summary" xfId="869"/>
    <cellStyle name="Sub-total" xfId="870"/>
    <cellStyle name="swpBody01" xfId="871"/>
    <cellStyle name="Title 2" xfId="873"/>
    <cellStyle name="Title 2 2" xfId="874"/>
    <cellStyle name="Title 3" xfId="885"/>
    <cellStyle name="Title 4" xfId="872"/>
    <cellStyle name="Title 5" xfId="145"/>
    <cellStyle name="Title 6" xfId="126"/>
    <cellStyle name="Total 1" xfId="875"/>
    <cellStyle name="Total 2" xfId="267"/>
    <cellStyle name="Total 2 2" xfId="877"/>
    <cellStyle name="Total 2 2 2" xfId="1334"/>
    <cellStyle name="Total 2 3" xfId="876"/>
    <cellStyle name="Total 2 3 2" xfId="1333"/>
    <cellStyle name="Total 2 4" xfId="1186"/>
    <cellStyle name="Total 3" xfId="901"/>
    <cellStyle name="Total 4" xfId="161"/>
    <cellStyle name="Total 5" xfId="127"/>
    <cellStyle name="Total 5 2" xfId="1144"/>
    <cellStyle name="Totals" xfId="878"/>
    <cellStyle name="Währung [0]_Compiling Utility Macros" xfId="879"/>
    <cellStyle name="Währung_Compiling Utility Macros" xfId="880"/>
    <cellStyle name="Warning Text 2" xfId="268"/>
    <cellStyle name="Warning Text 2 2" xfId="882"/>
    <cellStyle name="Warning Text 2 3" xfId="881"/>
    <cellStyle name="Warning Text 3" xfId="883"/>
    <cellStyle name="Warning Text 4" xfId="898"/>
    <cellStyle name="Warning Text 5" xfId="158"/>
    <cellStyle name="Warning Text 6" xfId="128"/>
    <cellStyle name="Yellow" xfId="884"/>
  </cellStyles>
  <dxfs count="0"/>
  <tableStyles count="0" defaultTableStyle="TableStyleMedium9" defaultPivotStyle="PivotStyleLight16"/>
  <colors>
    <mruColors>
      <color rgb="FFCCCCFF"/>
      <color rgb="FFFFFFCC"/>
      <color rgb="FFFF33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5" Type="http://schemas.openxmlformats.org/officeDocument/2006/relationships/image" Target="../media/image23.png"/><Relationship Id="rId4" Type="http://schemas.openxmlformats.org/officeDocument/2006/relationships/image" Target="../media/image2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5.png"/><Relationship Id="rId2" Type="http://schemas.openxmlformats.org/officeDocument/2006/relationships/image" Target="../media/image34.png"/><Relationship Id="rId1" Type="http://schemas.openxmlformats.org/officeDocument/2006/relationships/image" Target="../media/image33.png"/><Relationship Id="rId5" Type="http://schemas.openxmlformats.org/officeDocument/2006/relationships/image" Target="../media/image37.png"/><Relationship Id="rId4" Type="http://schemas.openxmlformats.org/officeDocument/2006/relationships/image" Target="../media/image36.png"/></Relationships>
</file>

<file path=xl/drawings/_rels/vmlDrawing6.vml.rels><?xml version="1.0" encoding="UTF-8" standalone="yes"?>
<Relationships xmlns="http://schemas.openxmlformats.org/package/2006/relationships"><Relationship Id="rId8" Type="http://schemas.openxmlformats.org/officeDocument/2006/relationships/image" Target="../media/image32.wmf"/><Relationship Id="rId3" Type="http://schemas.openxmlformats.org/officeDocument/2006/relationships/image" Target="../media/image27.emf"/><Relationship Id="rId7" Type="http://schemas.openxmlformats.org/officeDocument/2006/relationships/image" Target="../media/image31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Relationship Id="rId6" Type="http://schemas.openxmlformats.org/officeDocument/2006/relationships/image" Target="../media/image30.emf"/><Relationship Id="rId5" Type="http://schemas.openxmlformats.org/officeDocument/2006/relationships/image" Target="../media/image29.emf"/><Relationship Id="rId4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87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1" y="75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4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3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0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39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2" name="Rectangle 16"/>
          <xdr:cNvSpPr>
            <a:spLocks noChangeArrowheads="1"/>
          </xdr:cNvSpPr>
        </xdr:nvSpPr>
        <xdr:spPr bwMode="auto">
          <a:xfrm>
            <a:off x="392" y="137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3" name="Rectangle 17"/>
          <xdr:cNvSpPr>
            <a:spLocks noChangeArrowheads="1"/>
          </xdr:cNvSpPr>
        </xdr:nvSpPr>
        <xdr:spPr bwMode="auto">
          <a:xfrm>
            <a:off x="387" y="155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5" y="248"/>
            <a:ext cx="7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4" name="Rectangle 28"/>
          <xdr:cNvSpPr>
            <a:spLocks noChangeArrowheads="1"/>
          </xdr:cNvSpPr>
        </xdr:nvSpPr>
        <xdr:spPr bwMode="auto">
          <a:xfrm>
            <a:off x="365" y="269"/>
            <a:ext cx="11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8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8"/>
            <a:ext cx="13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99" y="221"/>
            <a:ext cx="11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Minimis 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5" name="Rectangle 39"/>
          <xdr:cNvSpPr>
            <a:spLocks noChangeArrowheads="1"/>
          </xdr:cNvSpPr>
        </xdr:nvSpPr>
        <xdr:spPr bwMode="auto">
          <a:xfrm>
            <a:off x="249" y="363"/>
            <a:ext cx="8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</xdr:txBody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49" y="384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35" y="193"/>
            <a:ext cx="42" cy="46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65" cy="52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36" y="244"/>
            <a:ext cx="238" cy="223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96" cy="48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1670050</xdr:colOff>
      <xdr:row>3</xdr:row>
      <xdr:rowOff>95250</xdr:rowOff>
    </xdr:from>
    <xdr:to>
      <xdr:col>2</xdr:col>
      <xdr:colOff>666750</xdr:colOff>
      <xdr:row>5</xdr:row>
      <xdr:rowOff>38101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37391" r="61370" b="57117"/>
        <a:stretch/>
      </xdr:blipFill>
      <xdr:spPr>
        <a:xfrm>
          <a:off x="1670050" y="638175"/>
          <a:ext cx="2181225" cy="295276"/>
        </a:xfrm>
        <a:prstGeom prst="rect">
          <a:avLst/>
        </a:prstGeom>
      </xdr:spPr>
    </xdr:pic>
    <xdr:clientData/>
  </xdr:twoCellAnchor>
  <xdr:twoCellAnchor editAs="oneCell">
    <xdr:from>
      <xdr:col>0</xdr:col>
      <xdr:colOff>2324099</xdr:colOff>
      <xdr:row>22</xdr:row>
      <xdr:rowOff>131233</xdr:rowOff>
    </xdr:from>
    <xdr:to>
      <xdr:col>6</xdr:col>
      <xdr:colOff>195790</xdr:colOff>
      <xdr:row>24</xdr:row>
      <xdr:rowOff>45509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65921" r="37134" b="29649"/>
        <a:stretch/>
      </xdr:blipFill>
      <xdr:spPr>
        <a:xfrm>
          <a:off x="2324099" y="3893608"/>
          <a:ext cx="4368800" cy="238126"/>
        </a:xfrm>
        <a:prstGeom prst="rect">
          <a:avLst/>
        </a:prstGeom>
      </xdr:spPr>
    </xdr:pic>
    <xdr:clientData/>
  </xdr:twoCellAnchor>
  <xdr:twoCellAnchor editAs="oneCell">
    <xdr:from>
      <xdr:col>0</xdr:col>
      <xdr:colOff>1827741</xdr:colOff>
      <xdr:row>33</xdr:row>
      <xdr:rowOff>112182</xdr:rowOff>
    </xdr:from>
    <xdr:to>
      <xdr:col>8</xdr:col>
      <xdr:colOff>28574</xdr:colOff>
      <xdr:row>35</xdr:row>
      <xdr:rowOff>93133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394" t="71947" r="19778" b="22382"/>
        <a:stretch/>
      </xdr:blipFill>
      <xdr:spPr>
        <a:xfrm>
          <a:off x="1827741" y="5655732"/>
          <a:ext cx="5930900" cy="304801"/>
        </a:xfrm>
        <a:prstGeom prst="rect">
          <a:avLst/>
        </a:prstGeom>
      </xdr:spPr>
    </xdr:pic>
    <xdr:clientData/>
  </xdr:twoCellAnchor>
  <xdr:twoCellAnchor>
    <xdr:from>
      <xdr:col>0</xdr:col>
      <xdr:colOff>2354792</xdr:colOff>
      <xdr:row>10</xdr:row>
      <xdr:rowOff>127000</xdr:rowOff>
    </xdr:from>
    <xdr:to>
      <xdr:col>8</xdr:col>
      <xdr:colOff>642178</xdr:colOff>
      <xdr:row>12</xdr:row>
      <xdr:rowOff>86499</xdr:rowOff>
    </xdr:to>
    <xdr:sp macro="" textlink="">
      <xdr:nvSpPr>
        <xdr:cNvPr id="6" name="TextBox 5"/>
        <xdr:cNvSpPr txBox="1"/>
      </xdr:nvSpPr>
      <xdr:spPr>
        <a:xfrm>
          <a:off x="2354792" y="1873250"/>
          <a:ext cx="6489469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DSBR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DSBRS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DSBRSA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DSBRAdA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DSBRTA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+ DSBRU</a:t>
          </a:r>
          <a:r>
            <a:rPr lang="en-GB" sz="1200" i="1" baseline="-25000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t</a:t>
          </a:r>
          <a:r>
            <a:rPr lang="en-GB" sz="1200" i="1">
              <a:latin typeface="Arial" panose="020B0604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676275</xdr:colOff>
      <xdr:row>60</xdr:row>
      <xdr:rowOff>66675</xdr:rowOff>
    </xdr:from>
    <xdr:to>
      <xdr:col>11</xdr:col>
      <xdr:colOff>657225</xdr:colOff>
      <xdr:row>63</xdr:row>
      <xdr:rowOff>123825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91150" y="7734300"/>
          <a:ext cx="46101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42</xdr:row>
      <xdr:rowOff>133350</xdr:rowOff>
    </xdr:from>
    <xdr:to>
      <xdr:col>9</xdr:col>
      <xdr:colOff>542925</xdr:colOff>
      <xdr:row>46</xdr:row>
      <xdr:rowOff>28575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486650"/>
          <a:ext cx="44481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282388</xdr:colOff>
      <xdr:row>52</xdr:row>
      <xdr:rowOff>16809</xdr:rowOff>
    </xdr:from>
    <xdr:to>
      <xdr:col>10</xdr:col>
      <xdr:colOff>339538</xdr:colOff>
      <xdr:row>53</xdr:row>
      <xdr:rowOff>158003</xdr:rowOff>
    </xdr:to>
    <xdr:pic>
      <xdr:nvPicPr>
        <xdr:cNvPr id="41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064" y="8959103"/>
          <a:ext cx="3788709" cy="331694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20</xdr:row>
      <xdr:rowOff>1</xdr:rowOff>
    </xdr:from>
    <xdr:to>
      <xdr:col>10</xdr:col>
      <xdr:colOff>247650</xdr:colOff>
      <xdr:row>21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200025</xdr:colOff>
      <xdr:row>32</xdr:row>
      <xdr:rowOff>171450</xdr:rowOff>
    </xdr:to>
    <xdr:pic>
      <xdr:nvPicPr>
        <xdr:cNvPr id="41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5143500"/>
          <a:ext cx="36290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67235</xdr:colOff>
      <xdr:row>42</xdr:row>
      <xdr:rowOff>44824</xdr:rowOff>
    </xdr:from>
    <xdr:to>
      <xdr:col>9</xdr:col>
      <xdr:colOff>438710</xdr:colOff>
      <xdr:row>43</xdr:row>
      <xdr:rowOff>168088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87470" y="7272618"/>
          <a:ext cx="3116916" cy="324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55</xdr:row>
      <xdr:rowOff>66675</xdr:rowOff>
    </xdr:from>
    <xdr:to>
      <xdr:col>11</xdr:col>
      <xdr:colOff>400050</xdr:colOff>
      <xdr:row>57</xdr:row>
      <xdr:rowOff>85725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00" y="8877300"/>
          <a:ext cx="33718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97</xdr:row>
      <xdr:rowOff>161925</xdr:rowOff>
    </xdr:from>
    <xdr:to>
      <xdr:col>7</xdr:col>
      <xdr:colOff>47625</xdr:colOff>
      <xdr:row>99</xdr:row>
      <xdr:rowOff>152400</xdr:rowOff>
    </xdr:to>
    <xdr:pic>
      <xdr:nvPicPr>
        <xdr:cNvPr id="2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19450" y="16344900"/>
          <a:ext cx="3667125" cy="390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14</xdr:col>
      <xdr:colOff>47625</xdr:colOff>
      <xdr:row>18</xdr:row>
      <xdr:rowOff>67235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499412" y="2891118"/>
          <a:ext cx="5908301" cy="52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2828925</xdr:colOff>
      <xdr:row>84</xdr:row>
      <xdr:rowOff>19050</xdr:rowOff>
    </xdr:from>
    <xdr:to>
      <xdr:col>5</xdr:col>
      <xdr:colOff>217074</xdr:colOff>
      <xdr:row>86</xdr:row>
      <xdr:rowOff>107949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249025"/>
          <a:ext cx="3429000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</xdr:colOff>
      <xdr:row>84</xdr:row>
      <xdr:rowOff>19050</xdr:rowOff>
    </xdr:from>
    <xdr:to>
      <xdr:col>9</xdr:col>
      <xdr:colOff>174973</xdr:colOff>
      <xdr:row>86</xdr:row>
      <xdr:rowOff>38099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249025"/>
          <a:ext cx="29527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605118</xdr:colOff>
      <xdr:row>97</xdr:row>
      <xdr:rowOff>33618</xdr:rowOff>
    </xdr:from>
    <xdr:to>
      <xdr:col>12</xdr:col>
      <xdr:colOff>533722</xdr:colOff>
      <xdr:row>99</xdr:row>
      <xdr:rowOff>44823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618" y="16595912"/>
          <a:ext cx="3952315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1053352</xdr:colOff>
      <xdr:row>124</xdr:row>
      <xdr:rowOff>190499</xdr:rowOff>
    </xdr:from>
    <xdr:to>
      <xdr:col>7</xdr:col>
      <xdr:colOff>11209</xdr:colOff>
      <xdr:row>126</xdr:row>
      <xdr:rowOff>67235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3087" y="21257558"/>
          <a:ext cx="1840971" cy="25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12326</xdr:colOff>
      <xdr:row>143</xdr:row>
      <xdr:rowOff>134470</xdr:rowOff>
    </xdr:from>
    <xdr:to>
      <xdr:col>8</xdr:col>
      <xdr:colOff>599554</xdr:colOff>
      <xdr:row>144</xdr:row>
      <xdr:rowOff>146796</xdr:rowOff>
    </xdr:to>
    <xdr:pic>
      <xdr:nvPicPr>
        <xdr:cNvPr id="13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957297" y="24260735"/>
          <a:ext cx="2402581" cy="169208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78441</xdr:colOff>
      <xdr:row>28</xdr:row>
      <xdr:rowOff>44824</xdr:rowOff>
    </xdr:from>
    <xdr:to>
      <xdr:col>7</xdr:col>
      <xdr:colOff>135591</xdr:colOff>
      <xdr:row>29</xdr:row>
      <xdr:rowOff>92448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97823" y="5065059"/>
          <a:ext cx="1491503" cy="20450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388055</xdr:colOff>
      <xdr:row>21</xdr:row>
      <xdr:rowOff>311351</xdr:rowOff>
    </xdr:from>
    <xdr:to>
      <xdr:col>11</xdr:col>
      <xdr:colOff>315736</xdr:colOff>
      <xdr:row>23</xdr:row>
      <xdr:rowOff>123471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59097" y="4244823"/>
          <a:ext cx="4293306" cy="31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18</xdr:row>
      <xdr:rowOff>113783</xdr:rowOff>
    </xdr:from>
    <xdr:to>
      <xdr:col>10</xdr:col>
      <xdr:colOff>52917</xdr:colOff>
      <xdr:row>20</xdr:row>
      <xdr:rowOff>85725</xdr:rowOff>
    </xdr:to>
    <xdr:pic>
      <xdr:nvPicPr>
        <xdr:cNvPr id="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85367" y="3571005"/>
          <a:ext cx="3186994" cy="2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</xdr:row>
      <xdr:rowOff>95250</xdr:rowOff>
    </xdr:from>
    <xdr:to>
      <xdr:col>11</xdr:col>
      <xdr:colOff>276225</xdr:colOff>
      <xdr:row>6</xdr:row>
      <xdr:rowOff>123825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00750" y="990600"/>
          <a:ext cx="36004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590550</xdr:colOff>
      <xdr:row>17</xdr:row>
      <xdr:rowOff>66675</xdr:rowOff>
    </xdr:from>
    <xdr:to>
      <xdr:col>8</xdr:col>
      <xdr:colOff>381000</xdr:colOff>
      <xdr:row>18</xdr:row>
      <xdr:rowOff>104775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134100" y="3009900"/>
          <a:ext cx="1657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238125</xdr:colOff>
      <xdr:row>25</xdr:row>
      <xdr:rowOff>104775</xdr:rowOff>
    </xdr:from>
    <xdr:to>
      <xdr:col>12</xdr:col>
      <xdr:colOff>485775</xdr:colOff>
      <xdr:row>27</xdr:row>
      <xdr:rowOff>114300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4276725"/>
          <a:ext cx="53054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76200</xdr:colOff>
      <xdr:row>46</xdr:row>
      <xdr:rowOff>123825</xdr:rowOff>
    </xdr:from>
    <xdr:to>
      <xdr:col>6</xdr:col>
      <xdr:colOff>400050</xdr:colOff>
      <xdr:row>49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00625" y="8134350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</xdr:colOff>
      <xdr:row>44</xdr:row>
      <xdr:rowOff>76201</xdr:rowOff>
    </xdr:from>
    <xdr:to>
      <xdr:col>11</xdr:col>
      <xdr:colOff>514350</xdr:colOff>
      <xdr:row>45</xdr:row>
      <xdr:rowOff>164648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7743826"/>
          <a:ext cx="4876800" cy="25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41</xdr:row>
      <xdr:rowOff>142875</xdr:rowOff>
    </xdr:from>
    <xdr:to>
      <xdr:col>9</xdr:col>
      <xdr:colOff>457200</xdr:colOff>
      <xdr:row>43</xdr:row>
      <xdr:rowOff>152400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0" y="5857875"/>
          <a:ext cx="19526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29</xdr:row>
      <xdr:rowOff>0</xdr:rowOff>
    </xdr:from>
    <xdr:ext cx="5959507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SOREV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SOPU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SOMOD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INC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SOEMR</m:t>
                        </m:r>
                        <m:r>
                          <m:rPr>
                            <m:sty m:val="p"/>
                          </m:rPr>
                          <a:rPr lang="en-GB" sz="1100" b="0" i="0">
                            <a:latin typeface="Cambria Math" panose="02040503050406030204" pitchFamily="18" charset="0"/>
                          </a:rPr>
                          <m:t>CO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  <m:r>
                      <a:rPr lang="en-GB" sz="1100" b="0" i="0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SOTRU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GB" sz="1100" b="0" i="0">
                            <a:latin typeface="Cambria Math"/>
                          </a:rPr>
                          <m:t>t</m:t>
                        </m:r>
                        <m:r>
                          <a:rPr lang="en-GB" sz="1100" b="0" i="0">
                            <a:latin typeface="Cambria Math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GB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518898" y="5418045"/>
              <a:ext cx="5959507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GB" sz="1100" b="0" i="0">
                  <a:latin typeface="Cambria Math"/>
                </a:rPr>
                <a:t>SOREV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=SOPU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+SOMOD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INC_(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+SOEMR</a:t>
              </a:r>
              <a:r>
                <a:rPr lang="en-GB" sz="1100" b="0" i="0">
                  <a:latin typeface="Cambria Math" panose="02040503050406030204" pitchFamily="18" charset="0"/>
                </a:rPr>
                <a:t>CO_(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r>
                <a:rPr lang="en-GB" sz="1100" b="0" i="0">
                  <a:latin typeface="Cambria Math"/>
                </a:rPr>
                <a:t>+SOTRU</a:t>
              </a:r>
              <a:r>
                <a:rPr lang="en-GB" sz="1100" b="0" i="0">
                  <a:latin typeface="Cambria Math" panose="02040503050406030204" pitchFamily="18" charset="0"/>
                </a:rPr>
                <a:t>_(</a:t>
              </a:r>
              <a:r>
                <a:rPr lang="en-GB" sz="1100" b="0" i="0">
                  <a:latin typeface="Cambria Math"/>
                </a:rPr>
                <a:t>t−2</a:t>
              </a:r>
              <a:r>
                <a:rPr lang="en-GB" sz="1100" b="0" i="0">
                  <a:latin typeface="Cambria Math" panose="02040503050406030204" pitchFamily="18" charset="0"/>
                </a:rPr>
                <a:t>)</a:t>
              </a:r>
              <a:endParaRPr lang="en-GB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1160689</xdr:colOff>
      <xdr:row>125</xdr:row>
      <xdr:rowOff>142875</xdr:rowOff>
    </xdr:from>
    <xdr:to>
      <xdr:col>3</xdr:col>
      <xdr:colOff>444952</xdr:colOff>
      <xdr:row>127</xdr:row>
      <xdr:rowOff>29935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689" y="18022661"/>
          <a:ext cx="3407229" cy="22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2644588</xdr:colOff>
      <xdr:row>201</xdr:row>
      <xdr:rowOff>28014</xdr:rowOff>
    </xdr:from>
    <xdr:to>
      <xdr:col>6</xdr:col>
      <xdr:colOff>118218</xdr:colOff>
      <xdr:row>204</xdr:row>
      <xdr:rowOff>79561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579" t="45011" r="35441" b="44534"/>
        <a:stretch/>
      </xdr:blipFill>
      <xdr:spPr>
        <a:xfrm>
          <a:off x="2644588" y="20865353"/>
          <a:ext cx="4275604" cy="544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61913</xdr:rowOff>
        </xdr:from>
        <xdr:to>
          <xdr:col>4</xdr:col>
          <xdr:colOff>647700</xdr:colOff>
          <xdr:row>40</xdr:row>
          <xdr:rowOff>104775</xdr:rowOff>
        </xdr:to>
        <xdr:sp macro="" textlink="">
          <xdr:nvSpPr>
            <xdr:cNvPr id="23578" name="Object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2733675</xdr:colOff>
          <xdr:row>67</xdr:row>
          <xdr:rowOff>9525</xdr:rowOff>
        </xdr:from>
        <xdr:to>
          <xdr:col>4</xdr:col>
          <xdr:colOff>328613</xdr:colOff>
          <xdr:row>68</xdr:row>
          <xdr:rowOff>66675</xdr:rowOff>
        </xdr:to>
        <xdr:sp macro="" textlink="">
          <xdr:nvSpPr>
            <xdr:cNvPr id="23581" name="Object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1181100</xdr:colOff>
          <xdr:row>110</xdr:row>
          <xdr:rowOff>142875</xdr:rowOff>
        </xdr:from>
        <xdr:to>
          <xdr:col>1</xdr:col>
          <xdr:colOff>619125</xdr:colOff>
          <xdr:row>112</xdr:row>
          <xdr:rowOff>47625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2271713</xdr:colOff>
          <xdr:row>153</xdr:row>
          <xdr:rowOff>0</xdr:rowOff>
        </xdr:from>
        <xdr:to>
          <xdr:col>2</xdr:col>
          <xdr:colOff>161925</xdr:colOff>
          <xdr:row>154</xdr:row>
          <xdr:rowOff>66675</xdr:rowOff>
        </xdr:to>
        <xdr:sp macro="" textlink="">
          <xdr:nvSpPr>
            <xdr:cNvPr id="23592" name="Object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162</xdr:row>
          <xdr:rowOff>9525</xdr:rowOff>
        </xdr:from>
        <xdr:to>
          <xdr:col>1</xdr:col>
          <xdr:colOff>523875</xdr:colOff>
          <xdr:row>164</xdr:row>
          <xdr:rowOff>104775</xdr:rowOff>
        </xdr:to>
        <xdr:sp macro="" textlink="">
          <xdr:nvSpPr>
            <xdr:cNvPr id="23594" name="Object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178</xdr:row>
          <xdr:rowOff>28575</xdr:rowOff>
        </xdr:from>
        <xdr:to>
          <xdr:col>2</xdr:col>
          <xdr:colOff>61913</xdr:colOff>
          <xdr:row>180</xdr:row>
          <xdr:rowOff>152400</xdr:rowOff>
        </xdr:to>
        <xdr:sp macro="" textlink="">
          <xdr:nvSpPr>
            <xdr:cNvPr id="23596" name="Object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2590800</xdr:colOff>
          <xdr:row>191</xdr:row>
          <xdr:rowOff>38100</xdr:rowOff>
        </xdr:from>
        <xdr:to>
          <xdr:col>5</xdr:col>
          <xdr:colOff>990600</xdr:colOff>
          <xdr:row>193</xdr:row>
          <xdr:rowOff>161925</xdr:rowOff>
        </xdr:to>
        <xdr:sp macro="" textlink="">
          <xdr:nvSpPr>
            <xdr:cNvPr id="23600" name="Object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428625</xdr:colOff>
      <xdr:row>210</xdr:row>
      <xdr:rowOff>133350</xdr:rowOff>
    </xdr:from>
    <xdr:to>
      <xdr:col>5</xdr:col>
      <xdr:colOff>238125</xdr:colOff>
      <xdr:row>212</xdr:row>
      <xdr:rowOff>95248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1838" y="9148763"/>
          <a:ext cx="2609850" cy="2762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20</xdr:row>
          <xdr:rowOff>23813</xdr:rowOff>
        </xdr:from>
        <xdr:to>
          <xdr:col>5</xdr:col>
          <xdr:colOff>457200</xdr:colOff>
          <xdr:row>22</xdr:row>
          <xdr:rowOff>38100</xdr:rowOff>
        </xdr:to>
        <xdr:sp macro="" textlink="">
          <xdr:nvSpPr>
            <xdr:cNvPr id="23643" name="Object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938893</xdr:colOff>
      <xdr:row>95</xdr:row>
      <xdr:rowOff>149678</xdr:rowOff>
    </xdr:from>
    <xdr:to>
      <xdr:col>2</xdr:col>
      <xdr:colOff>255813</xdr:colOff>
      <xdr:row>97</xdr:row>
      <xdr:rowOff>81642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11055804"/>
          <a:ext cx="2888796" cy="272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61633</xdr:colOff>
      <xdr:row>53</xdr:row>
      <xdr:rowOff>145678</xdr:rowOff>
    </xdr:from>
    <xdr:to>
      <xdr:col>5</xdr:col>
      <xdr:colOff>184897</xdr:colOff>
      <xdr:row>55</xdr:row>
      <xdr:rowOff>151280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633" y="8959105"/>
          <a:ext cx="5765426" cy="364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rita/Revenue%20Returns/2012-13%20returns/2013_NGET_RRP_B16_Revenu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 Changes Made"/>
      <sheetName val="Cover"/>
      <sheetName val="Index"/>
      <sheetName val="Log"/>
      <sheetName val="Diagram of Worksheets"/>
      <sheetName val="Input TO"/>
      <sheetName val="Input SO"/>
      <sheetName val="Inputs Capex Incentive 1"/>
      <sheetName val="Inputs Capex Incentive 2"/>
      <sheetName val="Enhanced TO Incentives"/>
      <sheetName val="TIRG_DataSheet"/>
      <sheetName val="TIRG t"/>
      <sheetName val="PR t"/>
      <sheetName val="PT t"/>
      <sheetName val="IP t"/>
      <sheetName val="CxIncRA t "/>
      <sheetName val="TOInc t"/>
      <sheetName val="LVGC n"/>
      <sheetName val="LVZS n"/>
      <sheetName val="LVZD n"/>
      <sheetName val="LVST n"/>
      <sheetName val="Other terms"/>
      <sheetName val="TO Summary "/>
      <sheetName val="BXext (External Costs)"/>
      <sheetName val="BXint (Internal Costs)"/>
      <sheetName val="SO Summary"/>
      <sheetName val="Section 1"/>
      <sheetName val="Section 2"/>
      <sheetName val="Section 2a"/>
      <sheetName val="Section 2b"/>
      <sheetName val="Section 2c"/>
      <sheetName val="Section 2d"/>
      <sheetName val="Section 3a"/>
      <sheetName val="Section 3b"/>
      <sheetName val="BExRepositorySheet"/>
      <sheetName val="Section 4"/>
      <sheetName val="Section 5"/>
      <sheetName val="NGET_Published Data"/>
      <sheetName val="Foreca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9">
          <cell r="I59">
            <v>248</v>
          </cell>
          <cell r="J59">
            <v>237</v>
          </cell>
          <cell r="K59">
            <v>237</v>
          </cell>
          <cell r="L59">
            <v>237</v>
          </cell>
          <cell r="M59">
            <v>237</v>
          </cell>
          <cell r="N59">
            <v>237</v>
          </cell>
          <cell r="P59" t="str">
            <v>RILT</v>
          </cell>
        </row>
        <row r="60">
          <cell r="I60">
            <v>274</v>
          </cell>
          <cell r="J60">
            <v>263</v>
          </cell>
          <cell r="K60">
            <v>263</v>
          </cell>
          <cell r="L60">
            <v>263</v>
          </cell>
          <cell r="M60">
            <v>263</v>
          </cell>
          <cell r="N60">
            <v>263</v>
          </cell>
          <cell r="P60" t="str">
            <v>RIUT</v>
          </cell>
        </row>
        <row r="62">
          <cell r="I62">
            <v>0.01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P62" t="str">
            <v>RIUPA</v>
          </cell>
        </row>
        <row r="63">
          <cell r="I63">
            <v>-1.4999999999999999E-2</v>
          </cell>
          <cell r="J63">
            <v>-1.4999999999999999E-2</v>
          </cell>
          <cell r="K63">
            <v>-1.4999999999999999E-2</v>
          </cell>
          <cell r="L63">
            <v>-1.4999999999999999E-2</v>
          </cell>
          <cell r="M63">
            <v>-1.4999999999999999E-2</v>
          </cell>
          <cell r="N63">
            <v>-1.4999999999999999E-2</v>
          </cell>
          <cell r="P63" t="str">
            <v>RIDPA</v>
          </cell>
        </row>
        <row r="65">
          <cell r="I65">
            <v>653</v>
          </cell>
          <cell r="J65">
            <v>619</v>
          </cell>
          <cell r="K65">
            <v>619</v>
          </cell>
          <cell r="L65">
            <v>619</v>
          </cell>
          <cell r="M65">
            <v>619</v>
          </cell>
          <cell r="N65">
            <v>619</v>
          </cell>
          <cell r="P65" t="str">
            <v>RICOL</v>
          </cell>
        </row>
        <row r="135">
          <cell r="I135">
            <v>312.79000000000002</v>
          </cell>
          <cell r="J135">
            <v>6</v>
          </cell>
          <cell r="K135">
            <v>51.5</v>
          </cell>
          <cell r="L135">
            <v>61</v>
          </cell>
          <cell r="M135">
            <v>59.5</v>
          </cell>
          <cell r="N135">
            <v>2.5</v>
          </cell>
          <cell r="P135" t="str">
            <v>RIP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4">
          <cell r="I24">
            <v>1081069962.9381621</v>
          </cell>
          <cell r="J24">
            <v>1147404069.9216597</v>
          </cell>
          <cell r="K24">
            <v>1223764831.9645684</v>
          </cell>
          <cell r="L24">
            <v>1232822026.7030997</v>
          </cell>
          <cell r="M24">
            <v>1316563378.810266</v>
          </cell>
          <cell r="N24">
            <v>1433654720</v>
          </cell>
          <cell r="P24" t="str">
            <v>PR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5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29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26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31.emf"/><Relationship Id="rId2" Type="http://schemas.openxmlformats.org/officeDocument/2006/relationships/drawing" Target="../drawings/drawing9.xml"/><Relationship Id="rId16" Type="http://schemas.openxmlformats.org/officeDocument/2006/relationships/oleObject" Target="../embeddings/oleObject7.bin"/><Relationship Id="rId20" Type="http://schemas.openxmlformats.org/officeDocument/2006/relationships/comments" Target="../comments6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28.emf"/><Relationship Id="rId5" Type="http://schemas.openxmlformats.org/officeDocument/2006/relationships/image" Target="../media/image25.emf"/><Relationship Id="rId15" Type="http://schemas.openxmlformats.org/officeDocument/2006/relationships/image" Target="../media/image3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32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27.emf"/><Relationship Id="rId14" Type="http://schemas.openxmlformats.org/officeDocument/2006/relationships/oleObject" Target="../embeddings/oleObject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28"/>
  <sheetViews>
    <sheetView showGridLines="0" zoomScaleNormal="100" zoomScaleSheetLayoutView="100" workbookViewId="0">
      <pane ySplit="3" topLeftCell="A4" activePane="bottomLeft" state="frozen"/>
      <selection activeCell="A4" sqref="A4"/>
      <selection pane="bottomLeft" activeCell="A4" sqref="A4"/>
    </sheetView>
  </sheetViews>
  <sheetFormatPr defaultColWidth="0" defaultRowHeight="12.75" customHeight="1" zeroHeight="1"/>
  <cols>
    <col min="1" max="1" width="2.64453125" style="16" customWidth="1"/>
    <col min="2" max="2" width="13.46875" style="16" bestFit="1" customWidth="1"/>
    <col min="3" max="3" width="65.17578125" style="16" customWidth="1"/>
    <col min="4" max="4" width="13.703125" style="16" customWidth="1"/>
    <col min="5" max="5" width="26.703125" style="16" bestFit="1" customWidth="1"/>
    <col min="6" max="6" width="9" style="27" hidden="1" customWidth="1"/>
    <col min="7" max="9" width="9" style="16" hidden="1" customWidth="1"/>
    <col min="10" max="16384" width="9" style="16" hidden="1"/>
  </cols>
  <sheetData>
    <row r="1" spans="1:9" s="12" customFormat="1" ht="17.649999999999999">
      <c r="B1" s="11" t="s">
        <v>114</v>
      </c>
      <c r="D1" s="13"/>
      <c r="F1" s="14"/>
    </row>
    <row r="2" spans="1:9" s="12" customFormat="1" ht="17.649999999999999">
      <c r="B2" s="11" t="str">
        <f>CompName</f>
        <v>National Grid Electricity Transmission Plc</v>
      </c>
      <c r="D2" s="13"/>
      <c r="F2" s="14"/>
    </row>
    <row r="3" spans="1:9" s="12" customFormat="1" ht="12.4">
      <c r="B3" s="15" t="str">
        <f>'R5 Input page'!F7</f>
        <v>Regulatory Year ending 31 March 2019</v>
      </c>
      <c r="F3" s="14"/>
    </row>
    <row r="4" spans="1:9" ht="14.65">
      <c r="B4" s="11"/>
      <c r="C4" s="12"/>
      <c r="D4" s="12"/>
      <c r="E4" s="12"/>
      <c r="F4" s="14"/>
      <c r="G4" s="12"/>
      <c r="H4" s="12"/>
      <c r="I4" s="12"/>
    </row>
    <row r="5" spans="1:9" ht="14.65">
      <c r="B5" s="11" t="s">
        <v>115</v>
      </c>
      <c r="C5" s="17"/>
      <c r="D5" s="17"/>
      <c r="E5" s="18"/>
      <c r="F5" s="19"/>
      <c r="G5" s="20"/>
      <c r="H5" s="17"/>
      <c r="I5" s="17"/>
    </row>
    <row r="6" spans="1:9" ht="13.5">
      <c r="B6" s="18"/>
      <c r="C6" s="17"/>
      <c r="D6" s="17"/>
      <c r="E6" s="17"/>
      <c r="F6" s="19"/>
      <c r="G6" s="18"/>
      <c r="H6" s="18"/>
      <c r="I6" s="12"/>
    </row>
    <row r="7" spans="1:9" ht="49.5">
      <c r="B7" s="12"/>
      <c r="C7" s="21" t="s">
        <v>421</v>
      </c>
      <c r="D7" s="17"/>
      <c r="E7" s="17"/>
      <c r="F7" s="22"/>
      <c r="G7" s="17"/>
      <c r="H7" s="17"/>
      <c r="I7" s="12"/>
    </row>
    <row r="8" spans="1:9" ht="86.65">
      <c r="B8" s="12"/>
      <c r="C8" s="23" t="s">
        <v>116</v>
      </c>
      <c r="D8" s="17"/>
      <c r="E8" s="17"/>
      <c r="F8" s="22"/>
      <c r="G8" s="17"/>
      <c r="H8" s="17"/>
      <c r="I8" s="12"/>
    </row>
    <row r="9" spans="1:9" ht="12.4">
      <c r="B9" s="12"/>
      <c r="C9" s="23"/>
      <c r="D9" s="17"/>
      <c r="E9" s="17"/>
      <c r="F9" s="22"/>
      <c r="G9" s="17"/>
      <c r="H9" s="17"/>
      <c r="I9" s="12"/>
    </row>
    <row r="10" spans="1:9" ht="12.4">
      <c r="B10" s="12"/>
      <c r="C10" s="17"/>
      <c r="D10" s="17"/>
      <c r="E10" s="17"/>
      <c r="F10" s="22"/>
      <c r="G10" s="17"/>
      <c r="H10" s="17"/>
      <c r="I10" s="12"/>
    </row>
    <row r="11" spans="1:9" ht="12.4">
      <c r="B11" s="12"/>
      <c r="C11" s="23"/>
      <c r="D11" s="17"/>
      <c r="E11" s="17"/>
      <c r="F11" s="22"/>
      <c r="G11" s="17"/>
      <c r="H11" s="17"/>
      <c r="I11" s="12"/>
    </row>
    <row r="12" spans="1:9" ht="13.5">
      <c r="B12" s="18"/>
      <c r="C12" s="17"/>
      <c r="D12" s="17"/>
      <c r="E12" s="17"/>
      <c r="F12" s="22"/>
      <c r="G12" s="17"/>
      <c r="H12" s="17"/>
      <c r="I12" s="17"/>
    </row>
    <row r="13" spans="1:9" ht="12.4">
      <c r="B13" s="24"/>
      <c r="C13" s="17" t="s">
        <v>856</v>
      </c>
      <c r="D13" s="25"/>
      <c r="E13" s="17" t="s">
        <v>117</v>
      </c>
      <c r="F13" s="14"/>
      <c r="G13" s="17"/>
      <c r="H13" s="17"/>
      <c r="I13" s="17"/>
    </row>
    <row r="14" spans="1:9" ht="12.4">
      <c r="B14" s="101"/>
      <c r="C14" s="17" t="s">
        <v>457</v>
      </c>
      <c r="D14" s="67"/>
      <c r="E14" s="17" t="s">
        <v>118</v>
      </c>
      <c r="F14" s="14"/>
      <c r="G14" s="17"/>
      <c r="H14" s="17"/>
      <c r="I14" s="17"/>
    </row>
    <row r="15" spans="1:9" ht="12.4">
      <c r="A15" s="17"/>
      <c r="B15" s="17"/>
      <c r="C15" s="17"/>
      <c r="D15" s="17"/>
      <c r="E15" s="17"/>
      <c r="F15" s="22"/>
      <c r="G15" s="17"/>
      <c r="H15" s="17"/>
      <c r="I15" s="17"/>
    </row>
    <row r="16" spans="1:9" ht="12.4" hidden="1">
      <c r="B16" s="12"/>
      <c r="C16" s="12"/>
      <c r="D16" s="12"/>
      <c r="E16" s="12"/>
      <c r="F16" s="14"/>
      <c r="G16" s="12"/>
      <c r="H16" s="12"/>
      <c r="I16" s="12"/>
    </row>
    <row r="17" spans="2:5" ht="12.4" hidden="1"/>
    <row r="18" spans="2:5" ht="12.4" hidden="1"/>
    <row r="19" spans="2:5" ht="12.4" hidden="1"/>
    <row r="20" spans="2:5" ht="12.4" hidden="1"/>
    <row r="21" spans="2:5" ht="12.4" hidden="1"/>
    <row r="22" spans="2:5" ht="12.4" hidden="1"/>
    <row r="23" spans="2:5" ht="12.4" hidden="1"/>
    <row r="24" spans="2:5" ht="12.4" hidden="1"/>
    <row r="25" spans="2:5" ht="12.4" hidden="1"/>
    <row r="26" spans="2:5" ht="12.4" hidden="1"/>
    <row r="27" spans="2:5" ht="12.4" hidden="1"/>
    <row r="28" spans="2:5" ht="12.4">
      <c r="B28" s="17"/>
      <c r="C28" s="17"/>
      <c r="D28" s="17"/>
      <c r="E28" s="17"/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1:T999966"/>
  <sheetViews>
    <sheetView showGridLines="0" zoomScale="85" zoomScaleNormal="85" workbookViewId="0">
      <pane xSplit="3" ySplit="8" topLeftCell="D9" activePane="bottomRight" state="frozen"/>
      <selection pane="topRight"/>
      <selection pane="bottomLeft"/>
      <selection pane="bottomRight" activeCell="C12" sqref="C12"/>
    </sheetView>
  </sheetViews>
  <sheetFormatPr defaultColWidth="9" defaultRowHeight="12.4"/>
  <cols>
    <col min="1" max="1" width="28.87890625" style="138" customWidth="1"/>
    <col min="2" max="2" width="8.3515625" style="138" customWidth="1"/>
    <col min="3" max="3" width="3.64453125" style="138" bestFit="1" customWidth="1"/>
    <col min="4" max="4" width="11.46875" style="138" customWidth="1"/>
    <col min="5" max="5" width="8.703125" style="138" customWidth="1"/>
    <col min="6" max="7" width="9.46875" style="138" customWidth="1"/>
    <col min="8" max="8" width="12" style="138" bestFit="1" customWidth="1"/>
    <col min="9" max="9" width="11.87890625" style="138" customWidth="1"/>
    <col min="10" max="10" width="12.64453125" style="138" customWidth="1"/>
    <col min="11" max="13" width="12" style="138" bestFit="1" customWidth="1"/>
    <col min="14" max="14" width="5.17578125" style="138" customWidth="1"/>
    <col min="15" max="16384" width="9" style="138"/>
  </cols>
  <sheetData>
    <row r="1" spans="1:20" s="149" customFormat="1" ht="14.65">
      <c r="A1" s="158" t="s">
        <v>166</v>
      </c>
      <c r="D1" s="159"/>
    </row>
    <row r="2" spans="1:20" s="149" customFormat="1" ht="14.65">
      <c r="A2" s="158" t="str">
        <f>CompName</f>
        <v>National Grid Electricity Transmission Plc</v>
      </c>
      <c r="D2" s="159"/>
    </row>
    <row r="3" spans="1:20" s="149" customFormat="1">
      <c r="A3" s="160" t="str">
        <f>RegYr</f>
        <v>Regulatory Year ending 31 March 2019</v>
      </c>
      <c r="D3" s="159"/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0.25" customHeight="1">
      <c r="A5" s="221" t="s">
        <v>394</v>
      </c>
    </row>
    <row r="6" spans="1:20" ht="13.5">
      <c r="B6" s="143"/>
      <c r="J6" s="166"/>
    </row>
    <row r="7" spans="1:20" ht="13.5">
      <c r="B7" s="143"/>
      <c r="C7" s="143"/>
      <c r="E7" s="143"/>
      <c r="F7" s="143"/>
      <c r="G7" s="143"/>
      <c r="H7" s="143"/>
      <c r="I7" s="143"/>
      <c r="J7" s="143"/>
    </row>
    <row r="8" spans="1:20" ht="14.25">
      <c r="B8" s="143"/>
      <c r="C8" s="143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20">
      <c r="A9" s="140" t="s">
        <v>39</v>
      </c>
      <c r="B9" s="140" t="s">
        <v>325</v>
      </c>
      <c r="C9" s="138" t="s">
        <v>1</v>
      </c>
      <c r="F9" s="164">
        <f t="shared" ref="F9:M9" si="0">TNR</f>
        <v>0</v>
      </c>
      <c r="G9" s="164">
        <f t="shared" si="0"/>
        <v>0</v>
      </c>
      <c r="H9" s="164">
        <f t="shared" si="0"/>
        <v>0</v>
      </c>
      <c r="I9" s="164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6" t="s">
        <v>325</v>
      </c>
    </row>
    <row r="10" spans="1:20">
      <c r="A10" s="140" t="s">
        <v>901</v>
      </c>
      <c r="B10" s="140" t="s">
        <v>12</v>
      </c>
      <c r="C10" s="138" t="s">
        <v>1</v>
      </c>
      <c r="F10" s="164">
        <f>TO</f>
        <v>1588.7114182159999</v>
      </c>
      <c r="G10" s="164">
        <f t="shared" ref="G10:M10" si="1">TO</f>
        <v>1748.7386755639791</v>
      </c>
      <c r="H10" s="164">
        <f t="shared" si="1"/>
        <v>3195.4532441139463</v>
      </c>
      <c r="I10" s="164">
        <f t="shared" si="1"/>
        <v>3359.6475450979779</v>
      </c>
      <c r="J10" s="164">
        <f t="shared" si="1"/>
        <v>4775.1566536998444</v>
      </c>
      <c r="K10" s="164">
        <f t="shared" si="1"/>
        <v>4983.6591293074225</v>
      </c>
      <c r="L10" s="164">
        <f t="shared" si="1"/>
        <v>6422.3993280552531</v>
      </c>
      <c r="M10" s="164">
        <f t="shared" si="1"/>
        <v>7034.525227815876</v>
      </c>
      <c r="N10" s="166" t="s">
        <v>12</v>
      </c>
    </row>
    <row r="11" spans="1:20" ht="12.75">
      <c r="A11" s="146" t="s">
        <v>39</v>
      </c>
      <c r="B11" s="140" t="s">
        <v>325</v>
      </c>
      <c r="C11" s="138" t="s">
        <v>1</v>
      </c>
      <c r="E11" s="194">
        <f>'R5 Input page'!E29</f>
        <v>1956.691</v>
      </c>
    </row>
    <row r="12" spans="1:20" ht="12.75">
      <c r="A12" s="146" t="s">
        <v>901</v>
      </c>
      <c r="B12" s="140" t="s">
        <v>12</v>
      </c>
      <c r="C12" s="138" t="s">
        <v>1</v>
      </c>
      <c r="E12" s="164">
        <f>'R5 Input page'!E30</f>
        <v>1954.0139999999999</v>
      </c>
    </row>
    <row r="13" spans="1:20" ht="12.75">
      <c r="A13" s="146" t="s">
        <v>43</v>
      </c>
      <c r="B13" s="140"/>
      <c r="E13" s="294">
        <f>SUM(E11-E12)</f>
        <v>2.6770000000001346</v>
      </c>
      <c r="F13" s="294">
        <f>F9-F10</f>
        <v>-1588.7114182159999</v>
      </c>
      <c r="G13" s="294">
        <f t="shared" ref="G13:M13" si="2">G9-G10</f>
        <v>-1748.7386755639791</v>
      </c>
      <c r="H13" s="294">
        <f t="shared" si="2"/>
        <v>-3195.4532441139463</v>
      </c>
      <c r="I13" s="294">
        <f t="shared" si="2"/>
        <v>-3359.6475450979779</v>
      </c>
      <c r="J13" s="294">
        <f t="shared" si="2"/>
        <v>-4775.1566536998444</v>
      </c>
      <c r="K13" s="294">
        <f t="shared" si="2"/>
        <v>-4983.6591293074225</v>
      </c>
      <c r="L13" s="294">
        <f t="shared" si="2"/>
        <v>-6422.3993280552531</v>
      </c>
      <c r="M13" s="294">
        <f t="shared" si="2"/>
        <v>-7034.525227815876</v>
      </c>
    </row>
    <row r="14" spans="1:20" ht="12.75">
      <c r="A14" s="146" t="s">
        <v>91</v>
      </c>
      <c r="B14" s="140" t="s">
        <v>361</v>
      </c>
      <c r="C14" s="295" t="s">
        <v>128</v>
      </c>
      <c r="E14" s="165">
        <f t="shared" ref="E14:M14" si="3">It</f>
        <v>0.5</v>
      </c>
      <c r="F14" s="165">
        <f t="shared" si="3"/>
        <v>0.5</v>
      </c>
      <c r="G14" s="165">
        <f t="shared" si="3"/>
        <v>0.5</v>
      </c>
      <c r="H14" s="165">
        <f t="shared" si="3"/>
        <v>0.5</v>
      </c>
      <c r="I14" s="165">
        <f t="shared" si="3"/>
        <v>0.34</v>
      </c>
      <c r="J14" s="165">
        <f t="shared" si="3"/>
        <v>0.35</v>
      </c>
      <c r="K14" s="165">
        <f t="shared" si="3"/>
        <v>0.67</v>
      </c>
      <c r="L14" s="165">
        <f t="shared" si="3"/>
        <v>0</v>
      </c>
      <c r="M14" s="165">
        <f t="shared" si="3"/>
        <v>0</v>
      </c>
      <c r="N14" s="166" t="s">
        <v>361</v>
      </c>
    </row>
    <row r="15" spans="1:20" ht="12.75">
      <c r="A15" s="146" t="s">
        <v>40</v>
      </c>
      <c r="B15" s="140" t="s">
        <v>368</v>
      </c>
      <c r="C15" s="138" t="s">
        <v>1</v>
      </c>
      <c r="H15" s="296">
        <f>IF(F9&gt;(1.055*F10),4,IF(F9&lt;(0.945*F10),0,2))</f>
        <v>0</v>
      </c>
      <c r="I15" s="296">
        <f t="shared" ref="I15:M15" si="4">IF(G9&gt;(1.055*G10),4,IF(G9&lt;(0.945*G10),0,2))</f>
        <v>0</v>
      </c>
      <c r="J15" s="296">
        <f t="shared" si="4"/>
        <v>0</v>
      </c>
      <c r="K15" s="296">
        <f t="shared" si="4"/>
        <v>0</v>
      </c>
      <c r="L15" s="296">
        <f t="shared" si="4"/>
        <v>0</v>
      </c>
      <c r="M15" s="296">
        <f t="shared" si="4"/>
        <v>0</v>
      </c>
      <c r="N15" s="166" t="s">
        <v>368</v>
      </c>
    </row>
    <row r="16" spans="1:20" ht="12.75">
      <c r="A16" s="146" t="s">
        <v>40</v>
      </c>
      <c r="B16" s="140" t="s">
        <v>556</v>
      </c>
      <c r="C16" s="138" t="s">
        <v>1</v>
      </c>
      <c r="E16" s="297"/>
      <c r="F16" s="72">
        <f>IF(E11&gt;(1.0275*E12),4,0)</f>
        <v>0</v>
      </c>
      <c r="G16" s="166"/>
      <c r="H16" s="166"/>
      <c r="I16" s="166"/>
      <c r="J16" s="166"/>
      <c r="K16" s="166"/>
      <c r="L16" s="166"/>
      <c r="M16" s="166"/>
      <c r="N16" s="166"/>
    </row>
    <row r="17" spans="1:14">
      <c r="A17" s="140" t="s">
        <v>10</v>
      </c>
      <c r="B17" s="140" t="s">
        <v>369</v>
      </c>
      <c r="C17" s="138" t="s">
        <v>140</v>
      </c>
      <c r="F17" s="294">
        <f>E13*(1+((E14+F16)/100))</f>
        <v>2.690385000000135</v>
      </c>
      <c r="G17" s="298"/>
      <c r="H17" s="299">
        <f>F13*((1+((F14+H15)/100))*(1+((G14+2)/100)))</f>
        <v>-1636.5713496897565</v>
      </c>
      <c r="I17" s="299">
        <f t="shared" ref="I17:M17" si="5">G13*((1+((G14+I15)/100))*(1+((H14+2)/100)))</f>
        <v>-1801.4194281653436</v>
      </c>
      <c r="J17" s="299">
        <f t="shared" si="5"/>
        <v>-3286.5779842763436</v>
      </c>
      <c r="K17" s="299">
        <f t="shared" si="5"/>
        <v>-3450.2904998999675</v>
      </c>
      <c r="L17" s="299">
        <f t="shared" si="5"/>
        <v>-4919.8126230308681</v>
      </c>
      <c r="M17" s="299">
        <f t="shared" si="5"/>
        <v>-5117.3906383832582</v>
      </c>
      <c r="N17" s="166" t="s">
        <v>369</v>
      </c>
    </row>
    <row r="18" spans="1:14">
      <c r="B18" s="140"/>
      <c r="H18" s="166"/>
      <c r="I18" s="166"/>
      <c r="J18" s="166"/>
      <c r="K18" s="166"/>
    </row>
    <row r="20" spans="1:14">
      <c r="A20" s="137" t="s">
        <v>557</v>
      </c>
      <c r="F20" s="138" t="s">
        <v>223</v>
      </c>
      <c r="N20" s="166"/>
    </row>
    <row r="22" spans="1:14" ht="27.75">
      <c r="E22" s="222"/>
      <c r="N22" s="166"/>
    </row>
    <row r="23" spans="1:14">
      <c r="A23" s="137" t="s">
        <v>558</v>
      </c>
      <c r="F23" s="138" t="s">
        <v>324</v>
      </c>
    </row>
    <row r="999961" spans="1:1">
      <c r="A999961" s="138" t="s">
        <v>7</v>
      </c>
    </row>
    <row r="999962" spans="1:1">
      <c r="A999962" s="138" t="s">
        <v>2</v>
      </c>
    </row>
    <row r="999963" spans="1:1">
      <c r="A999963" s="138" t="s">
        <v>6</v>
      </c>
    </row>
    <row r="999964" spans="1:1">
      <c r="A999964" s="138" t="s">
        <v>3</v>
      </c>
    </row>
    <row r="999965" spans="1:1">
      <c r="A999965" s="138" t="s">
        <v>4</v>
      </c>
    </row>
    <row r="999966" spans="1:1">
      <c r="A999966" s="138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1" orientation="landscape" r:id="rId1"/>
  <headerFooter>
    <oddFooter>&amp;C&amp;D&amp;R&amp;F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78"/>
  <sheetViews>
    <sheetView showGridLines="0" zoomScale="85" zoomScaleNormal="85" workbookViewId="0"/>
  </sheetViews>
  <sheetFormatPr defaultColWidth="9" defaultRowHeight="12.4"/>
  <cols>
    <col min="1" max="1" width="31.46875" style="138" customWidth="1"/>
    <col min="2" max="2" width="10" style="138" customWidth="1"/>
    <col min="3" max="3" width="11" style="138" customWidth="1"/>
    <col min="4" max="4" width="12.1171875" style="138" customWidth="1"/>
    <col min="5" max="5" width="8.1171875" style="138" customWidth="1"/>
    <col min="6" max="6" width="8" style="138" customWidth="1"/>
    <col min="7" max="9" width="8.17578125" style="138" customWidth="1"/>
    <col min="10" max="10" width="8.46875" style="138" customWidth="1"/>
    <col min="11" max="11" width="8.3515625" style="138" customWidth="1"/>
    <col min="12" max="12" width="8.64453125" style="138" customWidth="1"/>
    <col min="13" max="16384" width="9" style="138"/>
  </cols>
  <sheetData>
    <row r="1" spans="1:14" ht="14.65">
      <c r="A1" s="158" t="s">
        <v>293</v>
      </c>
    </row>
    <row r="2" spans="1:14" ht="14.65">
      <c r="A2" s="158" t="str">
        <f>CompName</f>
        <v>National Grid Electricity Transmission Plc</v>
      </c>
    </row>
    <row r="3" spans="1:14">
      <c r="A3" s="160" t="str">
        <f>RegYr</f>
        <v>Regulatory Year ending 31 March 2019</v>
      </c>
    </row>
    <row r="5" spans="1:14" ht="14.65">
      <c r="A5" s="219" t="s">
        <v>168</v>
      </c>
      <c r="D5" s="223"/>
    </row>
    <row r="6" spans="1:14" ht="13.9">
      <c r="A6" s="144" t="s">
        <v>175</v>
      </c>
      <c r="M6" s="166"/>
    </row>
    <row r="7" spans="1:14">
      <c r="A7" s="300" t="s">
        <v>559</v>
      </c>
    </row>
    <row r="8" spans="1:14" ht="14.25">
      <c r="A8" s="144"/>
      <c r="E8" s="139">
        <v>2013</v>
      </c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4">
      <c r="A9" s="138" t="s">
        <v>807</v>
      </c>
      <c r="B9" s="140" t="s">
        <v>176</v>
      </c>
      <c r="C9" s="284" t="s">
        <v>1</v>
      </c>
      <c r="E9" s="165">
        <f t="shared" ref="E9:M9" si="0">IPTIRG</f>
        <v>0</v>
      </c>
      <c r="F9" s="165">
        <f t="shared" si="0"/>
        <v>0</v>
      </c>
      <c r="G9" s="165">
        <f t="shared" si="0"/>
        <v>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165">
        <f t="shared" si="0"/>
        <v>0</v>
      </c>
      <c r="L9" s="165">
        <f t="shared" si="0"/>
        <v>0</v>
      </c>
      <c r="M9" s="165">
        <f t="shared" si="0"/>
        <v>0</v>
      </c>
      <c r="N9" s="166" t="s">
        <v>176</v>
      </c>
    </row>
    <row r="10" spans="1:14">
      <c r="A10" s="138" t="s">
        <v>808</v>
      </c>
      <c r="B10" s="140" t="s">
        <v>178</v>
      </c>
      <c r="C10" s="284" t="s">
        <v>1</v>
      </c>
      <c r="E10" s="165">
        <f t="shared" ref="E10:M10" si="1">FTIRG</f>
        <v>0</v>
      </c>
      <c r="F10" s="165">
        <f t="shared" si="1"/>
        <v>0</v>
      </c>
      <c r="G10" s="165">
        <f t="shared" si="1"/>
        <v>0</v>
      </c>
      <c r="H10" s="165">
        <f t="shared" si="1"/>
        <v>0</v>
      </c>
      <c r="I10" s="165">
        <f t="shared" si="1"/>
        <v>0</v>
      </c>
      <c r="J10" s="165">
        <f t="shared" si="1"/>
        <v>0</v>
      </c>
      <c r="K10" s="165">
        <f t="shared" si="1"/>
        <v>0</v>
      </c>
      <c r="L10" s="165">
        <f t="shared" si="1"/>
        <v>0</v>
      </c>
      <c r="M10" s="165">
        <f t="shared" si="1"/>
        <v>0</v>
      </c>
      <c r="N10" s="166" t="s">
        <v>178</v>
      </c>
    </row>
    <row r="11" spans="1:14">
      <c r="A11" s="138" t="s">
        <v>809</v>
      </c>
      <c r="B11" s="140" t="s">
        <v>179</v>
      </c>
      <c r="C11" s="284" t="s">
        <v>1</v>
      </c>
      <c r="E11" s="165">
        <f t="shared" ref="E11:M11" si="2">ETIRG</f>
        <v>16.139635161599998</v>
      </c>
      <c r="F11" s="165">
        <f t="shared" si="2"/>
        <v>15.992450216000002</v>
      </c>
      <c r="G11" s="165">
        <f t="shared" si="2"/>
        <v>15.995999039999997</v>
      </c>
      <c r="H11" s="165">
        <f t="shared" si="2"/>
        <v>15.703460112000002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179</v>
      </c>
    </row>
    <row r="12" spans="1:14">
      <c r="A12" s="138" t="s">
        <v>328</v>
      </c>
      <c r="B12" s="140"/>
      <c r="C12" s="284" t="s">
        <v>1</v>
      </c>
      <c r="E12" s="72">
        <f>SUM(E9:E11)</f>
        <v>16.139635161599998</v>
      </c>
      <c r="F12" s="72">
        <f t="shared" ref="F12:M12" si="3">SUM(F9:F11)</f>
        <v>15.992450216000002</v>
      </c>
      <c r="G12" s="72">
        <f t="shared" si="3"/>
        <v>15.995999039999997</v>
      </c>
      <c r="H12" s="72">
        <f t="shared" si="3"/>
        <v>15.703460112000002</v>
      </c>
      <c r="I12" s="72">
        <f t="shared" si="3"/>
        <v>0</v>
      </c>
      <c r="J12" s="72">
        <f t="shared" si="3"/>
        <v>0</v>
      </c>
      <c r="K12" s="72">
        <f t="shared" si="3"/>
        <v>0</v>
      </c>
      <c r="L12" s="72">
        <f t="shared" si="3"/>
        <v>0</v>
      </c>
      <c r="M12" s="72">
        <f t="shared" si="3"/>
        <v>0</v>
      </c>
      <c r="N12" s="166" t="s">
        <v>329</v>
      </c>
    </row>
    <row r="13" spans="1:14">
      <c r="A13" s="138" t="s">
        <v>303</v>
      </c>
      <c r="B13" s="140" t="s">
        <v>177</v>
      </c>
      <c r="C13" s="284" t="s">
        <v>1</v>
      </c>
      <c r="E13" s="165">
        <f t="shared" ref="E13:M13" si="4">TIRGINCADJ</f>
        <v>0</v>
      </c>
      <c r="F13" s="165">
        <f t="shared" si="4"/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177</v>
      </c>
    </row>
    <row r="14" spans="1:14">
      <c r="A14" s="138" t="s">
        <v>810</v>
      </c>
      <c r="B14" s="140" t="s">
        <v>180</v>
      </c>
      <c r="C14" s="284" t="s">
        <v>1</v>
      </c>
      <c r="E14" s="165">
        <f t="shared" ref="E14:M14" si="5">ATIRG</f>
        <v>0</v>
      </c>
      <c r="F14" s="165">
        <f t="shared" si="5"/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180</v>
      </c>
    </row>
    <row r="15" spans="1:14">
      <c r="A15" s="138" t="s">
        <v>812</v>
      </c>
      <c r="B15" s="140" t="s">
        <v>370</v>
      </c>
      <c r="C15" s="284" t="s">
        <v>1</v>
      </c>
      <c r="E15" s="72">
        <f t="shared" ref="E15:M15" si="6">SUM(E12:E14)</f>
        <v>16.139635161599998</v>
      </c>
      <c r="F15" s="72">
        <f t="shared" si="6"/>
        <v>15.992450216000002</v>
      </c>
      <c r="G15" s="72">
        <f t="shared" si="6"/>
        <v>15.995999039999997</v>
      </c>
      <c r="H15" s="72">
        <f t="shared" si="6"/>
        <v>15.703460112000002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166" t="s">
        <v>242</v>
      </c>
    </row>
    <row r="16" spans="1:14" ht="13.5">
      <c r="A16" s="143"/>
      <c r="B16" s="140"/>
      <c r="E16" s="166"/>
      <c r="F16" s="166"/>
      <c r="G16" s="166"/>
      <c r="H16" s="166"/>
      <c r="I16" s="166"/>
      <c r="J16" s="166"/>
    </row>
    <row r="17" spans="1:17" ht="13.9">
      <c r="A17" s="144" t="s">
        <v>181</v>
      </c>
      <c r="B17" s="140"/>
    </row>
    <row r="18" spans="1:17">
      <c r="A18" s="300" t="s">
        <v>560</v>
      </c>
      <c r="B18" s="140"/>
      <c r="J18" s="166"/>
    </row>
    <row r="19" spans="1:17" ht="13.5">
      <c r="A19" s="143"/>
      <c r="B19" s="140"/>
    </row>
    <row r="20" spans="1:17" ht="14.25">
      <c r="A20" s="143"/>
      <c r="B20" s="140"/>
      <c r="E20" s="139">
        <v>2013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7" s="140" customFormat="1" ht="13.5">
      <c r="A21" s="143" t="s">
        <v>452</v>
      </c>
      <c r="B21" s="140" t="s">
        <v>182</v>
      </c>
      <c r="C21" s="284" t="s">
        <v>1</v>
      </c>
      <c r="E21" s="189">
        <f t="shared" ref="E21:M21" si="7">CFTIRG</f>
        <v>0</v>
      </c>
      <c r="F21" s="189">
        <f t="shared" si="7"/>
        <v>0</v>
      </c>
      <c r="G21" s="189">
        <f t="shared" si="7"/>
        <v>0</v>
      </c>
      <c r="H21" s="189">
        <f t="shared" si="7"/>
        <v>0</v>
      </c>
      <c r="I21" s="189">
        <f t="shared" si="7"/>
        <v>0</v>
      </c>
      <c r="J21" s="189">
        <f t="shared" si="7"/>
        <v>0</v>
      </c>
      <c r="K21" s="189">
        <f t="shared" si="7"/>
        <v>0</v>
      </c>
      <c r="L21" s="189">
        <f t="shared" si="7"/>
        <v>0</v>
      </c>
      <c r="M21" s="189">
        <f t="shared" si="7"/>
        <v>0</v>
      </c>
      <c r="N21" s="166" t="s">
        <v>182</v>
      </c>
    </row>
    <row r="22" spans="1:17">
      <c r="A22" s="307" t="s">
        <v>78</v>
      </c>
      <c r="B22" s="140" t="s">
        <v>139</v>
      </c>
      <c r="C22" s="284" t="s">
        <v>538</v>
      </c>
      <c r="E22" s="224">
        <f t="shared" ref="E22:M22" si="8">RPIF</f>
        <v>1.1344000000000001</v>
      </c>
      <c r="F22" s="224">
        <f t="shared" si="8"/>
        <v>1.163</v>
      </c>
      <c r="G22" s="224">
        <f t="shared" si="8"/>
        <v>1.2050000000000001</v>
      </c>
      <c r="H22" s="224">
        <f t="shared" si="8"/>
        <v>1.2270000000000001</v>
      </c>
      <c r="I22" s="224">
        <f t="shared" si="8"/>
        <v>1.2330000000000001</v>
      </c>
      <c r="J22" s="224">
        <f t="shared" si="8"/>
        <v>1.2709999999999999</v>
      </c>
      <c r="K22" s="224">
        <f t="shared" si="8"/>
        <v>1.3140000000000001</v>
      </c>
      <c r="L22" s="224">
        <f t="shared" si="8"/>
        <v>1.3580000000000001</v>
      </c>
      <c r="M22" s="224">
        <f t="shared" si="8"/>
        <v>1.31</v>
      </c>
      <c r="N22" s="166" t="s">
        <v>139</v>
      </c>
    </row>
    <row r="23" spans="1:17" ht="13.5">
      <c r="A23" s="143" t="s">
        <v>807</v>
      </c>
      <c r="B23" s="140" t="s">
        <v>176</v>
      </c>
      <c r="C23" s="284" t="s">
        <v>1</v>
      </c>
      <c r="E23" s="72">
        <f>E21*E22</f>
        <v>0</v>
      </c>
      <c r="F23" s="72">
        <f t="shared" ref="F23:M23" si="9">F21*F22</f>
        <v>0</v>
      </c>
      <c r="G23" s="72">
        <f t="shared" si="9"/>
        <v>0</v>
      </c>
      <c r="H23" s="72">
        <f t="shared" si="9"/>
        <v>0</v>
      </c>
      <c r="I23" s="72">
        <f t="shared" si="9"/>
        <v>0</v>
      </c>
      <c r="J23" s="72">
        <f t="shared" si="9"/>
        <v>0</v>
      </c>
      <c r="K23" s="72">
        <f t="shared" si="9"/>
        <v>0</v>
      </c>
      <c r="L23" s="72">
        <f t="shared" si="9"/>
        <v>0</v>
      </c>
      <c r="M23" s="72">
        <f t="shared" si="9"/>
        <v>0</v>
      </c>
      <c r="N23" s="166" t="s">
        <v>176</v>
      </c>
    </row>
    <row r="24" spans="1:17" ht="13.5">
      <c r="A24" s="143"/>
      <c r="E24" s="166"/>
      <c r="F24" s="166"/>
      <c r="G24" s="166"/>
      <c r="H24" s="166"/>
      <c r="I24" s="166"/>
    </row>
    <row r="25" spans="1:17" ht="13.5">
      <c r="A25" s="143"/>
    </row>
    <row r="26" spans="1:17" ht="13.5">
      <c r="A26" s="143"/>
    </row>
    <row r="27" spans="1:17" ht="13.9">
      <c r="A27" s="144" t="s">
        <v>183</v>
      </c>
      <c r="N27" s="166"/>
    </row>
    <row r="28" spans="1:17" ht="16.5" customHeight="1">
      <c r="A28" s="300" t="s">
        <v>561</v>
      </c>
    </row>
    <row r="29" spans="1:17" ht="16.5" customHeight="1">
      <c r="A29" s="300"/>
      <c r="E29" s="139">
        <v>2013</v>
      </c>
      <c r="F29" s="139">
        <v>2014</v>
      </c>
      <c r="G29" s="139">
        <v>2015</v>
      </c>
      <c r="H29" s="139">
        <v>2016</v>
      </c>
      <c r="I29" s="139">
        <v>2017</v>
      </c>
      <c r="J29" s="139">
        <v>2018</v>
      </c>
      <c r="K29" s="139">
        <v>2019</v>
      </c>
      <c r="L29" s="139">
        <v>2020</v>
      </c>
      <c r="M29" s="139">
        <v>2021</v>
      </c>
    </row>
    <row r="30" spans="1:17">
      <c r="A30" s="138" t="s">
        <v>291</v>
      </c>
      <c r="B30" s="140" t="s">
        <v>173</v>
      </c>
      <c r="C30" s="301" t="s">
        <v>128</v>
      </c>
      <c r="E30" s="211">
        <f t="shared" ref="E30:M30" si="10">CCTIRG</f>
        <v>8.7999999999999995E-2</v>
      </c>
      <c r="F30" s="211">
        <f t="shared" si="10"/>
        <v>8.7999999999999995E-2</v>
      </c>
      <c r="G30" s="211">
        <f t="shared" si="10"/>
        <v>8.7999999999999995E-2</v>
      </c>
      <c r="H30" s="211">
        <f t="shared" si="10"/>
        <v>8.7999999999999995E-2</v>
      </c>
      <c r="I30" s="211">
        <f t="shared" si="10"/>
        <v>8.7999999999999995E-2</v>
      </c>
      <c r="J30" s="211">
        <f t="shared" si="10"/>
        <v>8.7999999999999995E-2</v>
      </c>
      <c r="K30" s="211">
        <f t="shared" si="10"/>
        <v>8.7999999999999995E-2</v>
      </c>
      <c r="L30" s="211">
        <f t="shared" si="10"/>
        <v>8.7999999999999995E-2</v>
      </c>
      <c r="M30" s="211">
        <f t="shared" si="10"/>
        <v>8.7999999999999995E-2</v>
      </c>
      <c r="N30" s="166" t="s">
        <v>173</v>
      </c>
    </row>
    <row r="31" spans="1:17" s="140" customFormat="1">
      <c r="A31" s="149" t="s">
        <v>298</v>
      </c>
      <c r="B31" s="140" t="s">
        <v>169</v>
      </c>
      <c r="C31" s="290" t="s">
        <v>1</v>
      </c>
      <c r="E31" s="179">
        <f t="shared" ref="E31:M31" si="11">FTIRGC</f>
        <v>0</v>
      </c>
      <c r="F31" s="179">
        <f t="shared" si="11"/>
        <v>0</v>
      </c>
      <c r="G31" s="179">
        <f t="shared" si="11"/>
        <v>0</v>
      </c>
      <c r="H31" s="179">
        <f t="shared" si="11"/>
        <v>0</v>
      </c>
      <c r="I31" s="179">
        <f t="shared" si="11"/>
        <v>0</v>
      </c>
      <c r="J31" s="179">
        <f t="shared" si="11"/>
        <v>0</v>
      </c>
      <c r="K31" s="179">
        <f t="shared" si="11"/>
        <v>0</v>
      </c>
      <c r="L31" s="179">
        <f t="shared" si="11"/>
        <v>0</v>
      </c>
      <c r="M31" s="179">
        <f t="shared" si="11"/>
        <v>0</v>
      </c>
      <c r="N31" s="166" t="s">
        <v>169</v>
      </c>
    </row>
    <row r="32" spans="1:17">
      <c r="A32" s="138" t="s">
        <v>292</v>
      </c>
      <c r="B32" s="140" t="s">
        <v>184</v>
      </c>
      <c r="C32" s="290" t="s">
        <v>1</v>
      </c>
      <c r="E32" s="165">
        <f t="shared" ref="E32:M32" si="12">AFFTIRG</f>
        <v>0</v>
      </c>
      <c r="F32" s="165">
        <f t="shared" si="12"/>
        <v>0</v>
      </c>
      <c r="G32" s="165">
        <f t="shared" si="12"/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66" t="s">
        <v>184</v>
      </c>
      <c r="Q32" s="226"/>
    </row>
    <row r="33" spans="1:14">
      <c r="A33" s="307" t="s">
        <v>78</v>
      </c>
      <c r="B33" s="140" t="s">
        <v>139</v>
      </c>
      <c r="C33" s="284" t="s">
        <v>538</v>
      </c>
      <c r="E33" s="165">
        <f t="shared" ref="E33:M33" si="13">RPIF</f>
        <v>1.1344000000000001</v>
      </c>
      <c r="F33" s="165">
        <f t="shared" si="13"/>
        <v>1.163</v>
      </c>
      <c r="G33" s="165">
        <f t="shared" si="13"/>
        <v>1.2050000000000001</v>
      </c>
      <c r="H33" s="165">
        <f t="shared" si="13"/>
        <v>1.2270000000000001</v>
      </c>
      <c r="I33" s="165">
        <f t="shared" si="13"/>
        <v>1.2330000000000001</v>
      </c>
      <c r="J33" s="165">
        <f t="shared" si="13"/>
        <v>1.2709999999999999</v>
      </c>
      <c r="K33" s="165">
        <f t="shared" si="13"/>
        <v>1.3140000000000001</v>
      </c>
      <c r="L33" s="165">
        <f t="shared" si="13"/>
        <v>1.3580000000000001</v>
      </c>
      <c r="M33" s="165">
        <f t="shared" si="13"/>
        <v>1.31</v>
      </c>
      <c r="N33" s="166" t="s">
        <v>139</v>
      </c>
    </row>
    <row r="34" spans="1:14">
      <c r="B34" s="140" t="s">
        <v>196</v>
      </c>
      <c r="E34" s="72">
        <f>(E31+E32)*E30*E33</f>
        <v>0</v>
      </c>
      <c r="F34" s="72">
        <f t="shared" ref="F34:M34" si="14">(F31+F32)*F30*F33</f>
        <v>0</v>
      </c>
      <c r="G34" s="72">
        <f t="shared" si="14"/>
        <v>0</v>
      </c>
      <c r="H34" s="72">
        <f t="shared" si="14"/>
        <v>0</v>
      </c>
      <c r="I34" s="72">
        <f t="shared" si="14"/>
        <v>0</v>
      </c>
      <c r="J34" s="72">
        <f t="shared" si="14"/>
        <v>0</v>
      </c>
      <c r="K34" s="72">
        <f t="shared" si="14"/>
        <v>0</v>
      </c>
      <c r="L34" s="72">
        <f t="shared" si="14"/>
        <v>0</v>
      </c>
      <c r="M34" s="72">
        <f t="shared" si="14"/>
        <v>0</v>
      </c>
    </row>
    <row r="35" spans="1:14" ht="13.5">
      <c r="B35" s="143"/>
    </row>
    <row r="36" spans="1:14">
      <c r="A36" s="148" t="s">
        <v>299</v>
      </c>
      <c r="B36" s="140" t="s">
        <v>185</v>
      </c>
      <c r="C36" s="290" t="s">
        <v>1</v>
      </c>
      <c r="E36" s="165">
        <f t="shared" ref="E36:M36" si="15">ftirgdepn</f>
        <v>0</v>
      </c>
      <c r="F36" s="165">
        <f t="shared" si="15"/>
        <v>0</v>
      </c>
      <c r="G36" s="165">
        <f t="shared" si="15"/>
        <v>0</v>
      </c>
      <c r="H36" s="165">
        <f t="shared" si="15"/>
        <v>0</v>
      </c>
      <c r="I36" s="165">
        <f t="shared" si="15"/>
        <v>0</v>
      </c>
      <c r="J36" s="165">
        <f t="shared" si="15"/>
        <v>0</v>
      </c>
      <c r="K36" s="165">
        <f t="shared" si="15"/>
        <v>0</v>
      </c>
      <c r="L36" s="165">
        <f t="shared" si="15"/>
        <v>0</v>
      </c>
      <c r="M36" s="165">
        <f t="shared" si="15"/>
        <v>0</v>
      </c>
      <c r="N36" s="166" t="s">
        <v>185</v>
      </c>
    </row>
    <row r="37" spans="1:14">
      <c r="A37" s="138" t="s">
        <v>294</v>
      </c>
      <c r="B37" s="140" t="s">
        <v>186</v>
      </c>
      <c r="C37" s="290" t="s">
        <v>1</v>
      </c>
      <c r="E37" s="165">
        <f t="shared" ref="E37:M37" si="16">AFFTIRGDEPN</f>
        <v>0</v>
      </c>
      <c r="F37" s="165">
        <f t="shared" si="16"/>
        <v>0</v>
      </c>
      <c r="G37" s="165">
        <f t="shared" si="16"/>
        <v>0</v>
      </c>
      <c r="H37" s="165">
        <f t="shared" si="16"/>
        <v>0</v>
      </c>
      <c r="I37" s="165">
        <f t="shared" si="16"/>
        <v>0</v>
      </c>
      <c r="J37" s="165">
        <f t="shared" si="16"/>
        <v>0</v>
      </c>
      <c r="K37" s="165">
        <f t="shared" si="16"/>
        <v>0</v>
      </c>
      <c r="L37" s="165">
        <f t="shared" si="16"/>
        <v>0</v>
      </c>
      <c r="M37" s="165">
        <f t="shared" si="16"/>
        <v>0</v>
      </c>
      <c r="N37" s="166" t="s">
        <v>186</v>
      </c>
    </row>
    <row r="38" spans="1:14">
      <c r="A38" s="307" t="s">
        <v>78</v>
      </c>
      <c r="B38" s="140" t="s">
        <v>139</v>
      </c>
      <c r="C38" s="284" t="s">
        <v>538</v>
      </c>
      <c r="E38" s="225">
        <f t="shared" ref="E38:M38" si="17">RPIF</f>
        <v>1.1344000000000001</v>
      </c>
      <c r="F38" s="225">
        <f t="shared" si="17"/>
        <v>1.163</v>
      </c>
      <c r="G38" s="225">
        <f t="shared" si="17"/>
        <v>1.2050000000000001</v>
      </c>
      <c r="H38" s="225">
        <f t="shared" si="17"/>
        <v>1.2270000000000001</v>
      </c>
      <c r="I38" s="225">
        <f t="shared" si="17"/>
        <v>1.2330000000000001</v>
      </c>
      <c r="J38" s="225">
        <f t="shared" si="17"/>
        <v>1.2709999999999999</v>
      </c>
      <c r="K38" s="225">
        <f t="shared" si="17"/>
        <v>1.3140000000000001</v>
      </c>
      <c r="L38" s="225">
        <f t="shared" si="17"/>
        <v>1.3580000000000001</v>
      </c>
      <c r="M38" s="225">
        <f t="shared" si="17"/>
        <v>1.31</v>
      </c>
      <c r="N38" s="166" t="s">
        <v>139</v>
      </c>
    </row>
    <row r="39" spans="1:14">
      <c r="B39" s="140" t="s">
        <v>197</v>
      </c>
      <c r="E39" s="72">
        <f>(E36+E37)*E38</f>
        <v>0</v>
      </c>
      <c r="F39" s="72">
        <f t="shared" ref="F39:M39" si="18">(F36+F37)*F38</f>
        <v>0</v>
      </c>
      <c r="G39" s="72">
        <f t="shared" si="18"/>
        <v>0</v>
      </c>
      <c r="H39" s="72">
        <f t="shared" si="18"/>
        <v>0</v>
      </c>
      <c r="I39" s="72">
        <f t="shared" si="18"/>
        <v>0</v>
      </c>
      <c r="J39" s="72">
        <f t="shared" si="18"/>
        <v>0</v>
      </c>
      <c r="K39" s="72">
        <f t="shared" si="18"/>
        <v>0</v>
      </c>
      <c r="L39" s="72">
        <f t="shared" si="18"/>
        <v>0</v>
      </c>
      <c r="M39" s="72">
        <f t="shared" si="18"/>
        <v>0</v>
      </c>
    </row>
    <row r="40" spans="1:14">
      <c r="B40" s="140"/>
    </row>
    <row r="41" spans="1:14">
      <c r="A41" s="418" t="s">
        <v>808</v>
      </c>
      <c r="B41" s="140" t="s">
        <v>178</v>
      </c>
      <c r="C41" s="290" t="s">
        <v>1</v>
      </c>
      <c r="E41" s="72">
        <f>E34+E39</f>
        <v>0</v>
      </c>
      <c r="F41" s="72">
        <f t="shared" ref="F41:M41" si="19">F34+F39</f>
        <v>0</v>
      </c>
      <c r="G41" s="72">
        <f t="shared" si="19"/>
        <v>0</v>
      </c>
      <c r="H41" s="72">
        <f t="shared" si="19"/>
        <v>0</v>
      </c>
      <c r="I41" s="72">
        <f t="shared" si="19"/>
        <v>0</v>
      </c>
      <c r="J41" s="72">
        <f t="shared" si="19"/>
        <v>0</v>
      </c>
      <c r="K41" s="72">
        <f t="shared" si="19"/>
        <v>0</v>
      </c>
      <c r="L41" s="72">
        <f t="shared" si="19"/>
        <v>0</v>
      </c>
      <c r="M41" s="72">
        <f t="shared" si="19"/>
        <v>0</v>
      </c>
      <c r="N41" s="422" t="s">
        <v>178</v>
      </c>
    </row>
    <row r="42" spans="1:14" ht="13.5">
      <c r="A42" s="143"/>
      <c r="B42" s="140"/>
      <c r="E42" s="166"/>
      <c r="F42" s="166"/>
      <c r="G42" s="166"/>
      <c r="H42" s="166"/>
    </row>
    <row r="43" spans="1:14" ht="13.5">
      <c r="A43" s="143"/>
      <c r="B43" s="140"/>
    </row>
    <row r="44" spans="1:14" ht="13.9">
      <c r="A44" s="144" t="s">
        <v>187</v>
      </c>
      <c r="B44" s="140"/>
    </row>
    <row r="45" spans="1:14">
      <c r="A45" s="300" t="s">
        <v>562</v>
      </c>
      <c r="B45" s="140"/>
    </row>
    <row r="46" spans="1:14" ht="13.5">
      <c r="A46" s="143"/>
      <c r="B46" s="140"/>
      <c r="K46" s="166"/>
    </row>
    <row r="47" spans="1:14" ht="13.5">
      <c r="A47" s="143"/>
      <c r="B47" s="140"/>
    </row>
    <row r="48" spans="1:14" ht="13.5">
      <c r="A48" s="143"/>
      <c r="B48" s="140"/>
      <c r="K48" s="166"/>
    </row>
    <row r="49" spans="1:14" ht="13.5">
      <c r="A49" s="143"/>
      <c r="B49" s="140"/>
    </row>
    <row r="50" spans="1:14" ht="13.5">
      <c r="A50" s="143"/>
      <c r="B50" s="140"/>
    </row>
    <row r="51" spans="1:14" ht="14.25">
      <c r="A51" s="143"/>
      <c r="B51" s="140"/>
      <c r="E51" s="139">
        <v>2013</v>
      </c>
      <c r="F51" s="139">
        <v>2014</v>
      </c>
      <c r="G51" s="139">
        <v>2015</v>
      </c>
      <c r="H51" s="139">
        <v>2016</v>
      </c>
      <c r="I51" s="139">
        <v>2017</v>
      </c>
      <c r="J51" s="139">
        <v>2018</v>
      </c>
      <c r="K51" s="139">
        <v>2019</v>
      </c>
      <c r="L51" s="139">
        <v>2020</v>
      </c>
      <c r="M51" s="139">
        <v>2021</v>
      </c>
    </row>
    <row r="52" spans="1:14">
      <c r="A52" s="138" t="s">
        <v>291</v>
      </c>
      <c r="B52" s="140" t="s">
        <v>173</v>
      </c>
      <c r="C52" s="290" t="s">
        <v>128</v>
      </c>
      <c r="E52" s="211">
        <f t="shared" ref="E52:M52" si="20">CCTIRG</f>
        <v>8.7999999999999995E-2</v>
      </c>
      <c r="F52" s="211">
        <f t="shared" si="20"/>
        <v>8.7999999999999995E-2</v>
      </c>
      <c r="G52" s="211">
        <f t="shared" si="20"/>
        <v>8.7999999999999995E-2</v>
      </c>
      <c r="H52" s="211">
        <f t="shared" si="20"/>
        <v>8.7999999999999995E-2</v>
      </c>
      <c r="I52" s="211">
        <f t="shared" si="20"/>
        <v>8.7999999999999995E-2</v>
      </c>
      <c r="J52" s="211">
        <f t="shared" si="20"/>
        <v>8.7999999999999995E-2</v>
      </c>
      <c r="K52" s="211">
        <f t="shared" si="20"/>
        <v>8.7999999999999995E-2</v>
      </c>
      <c r="L52" s="211">
        <f t="shared" si="20"/>
        <v>8.7999999999999995E-2</v>
      </c>
      <c r="M52" s="211">
        <f t="shared" si="20"/>
        <v>8.7999999999999995E-2</v>
      </c>
      <c r="N52" s="422" t="s">
        <v>173</v>
      </c>
    </row>
    <row r="53" spans="1:14">
      <c r="A53" s="148" t="s">
        <v>302</v>
      </c>
      <c r="B53" s="140" t="s">
        <v>174</v>
      </c>
      <c r="C53" s="290" t="s">
        <v>1</v>
      </c>
      <c r="E53" s="165">
        <f>ETIRGC</f>
        <v>100.15300000000001</v>
      </c>
      <c r="F53" s="165">
        <f t="shared" ref="F53:M53" si="21">ETIRGC</f>
        <v>94.739000000000004</v>
      </c>
      <c r="G53" s="165">
        <f t="shared" si="21"/>
        <v>89.325999999999993</v>
      </c>
      <c r="H53" s="165">
        <f t="shared" si="21"/>
        <v>83.912000000000006</v>
      </c>
      <c r="I53" s="165">
        <f t="shared" si="21"/>
        <v>0</v>
      </c>
      <c r="J53" s="165">
        <f t="shared" si="21"/>
        <v>0</v>
      </c>
      <c r="K53" s="165">
        <f t="shared" si="21"/>
        <v>0</v>
      </c>
      <c r="L53" s="165">
        <f t="shared" si="21"/>
        <v>0</v>
      </c>
      <c r="M53" s="165">
        <f t="shared" si="21"/>
        <v>0</v>
      </c>
      <c r="N53" s="422" t="s">
        <v>174</v>
      </c>
    </row>
    <row r="54" spans="1:14">
      <c r="B54" s="140"/>
    </row>
    <row r="55" spans="1:14">
      <c r="A55" s="138" t="s">
        <v>295</v>
      </c>
      <c r="B55" s="140" t="s">
        <v>188</v>
      </c>
      <c r="C55" s="290" t="s">
        <v>1</v>
      </c>
      <c r="E55" s="165">
        <f t="shared" ref="E55:M55" si="22">SAFTIRG</f>
        <v>0</v>
      </c>
      <c r="F55" s="165">
        <f t="shared" si="22"/>
        <v>0</v>
      </c>
      <c r="G55" s="165">
        <f t="shared" si="22"/>
        <v>0</v>
      </c>
      <c r="H55" s="165">
        <f t="shared" si="22"/>
        <v>0</v>
      </c>
      <c r="I55" s="165">
        <f t="shared" si="22"/>
        <v>0</v>
      </c>
      <c r="J55" s="165">
        <f t="shared" si="22"/>
        <v>0</v>
      </c>
      <c r="K55" s="165">
        <f t="shared" si="22"/>
        <v>0</v>
      </c>
      <c r="L55" s="165">
        <f t="shared" si="22"/>
        <v>0</v>
      </c>
      <c r="M55" s="165">
        <f t="shared" si="22"/>
        <v>0</v>
      </c>
      <c r="N55" s="422" t="s">
        <v>188</v>
      </c>
    </row>
    <row r="56" spans="1:14">
      <c r="A56" s="148" t="s">
        <v>300</v>
      </c>
      <c r="B56" s="140" t="s">
        <v>171</v>
      </c>
      <c r="C56" s="290" t="s">
        <v>1</v>
      </c>
      <c r="E56" s="165">
        <f>ETIRGORAV</f>
        <v>105.983</v>
      </c>
      <c r="F56" s="165">
        <f t="shared" ref="F56:M56" si="23">ETIRGORAV</f>
        <v>105.983</v>
      </c>
      <c r="G56" s="165">
        <f t="shared" si="23"/>
        <v>105.983</v>
      </c>
      <c r="H56" s="165">
        <f t="shared" si="23"/>
        <v>105.983</v>
      </c>
      <c r="I56" s="165">
        <f t="shared" si="23"/>
        <v>105.983</v>
      </c>
      <c r="J56" s="165">
        <f t="shared" si="23"/>
        <v>105.983</v>
      </c>
      <c r="K56" s="165">
        <f t="shared" si="23"/>
        <v>105.983</v>
      </c>
      <c r="L56" s="165">
        <f t="shared" si="23"/>
        <v>105.983</v>
      </c>
      <c r="M56" s="165">
        <f t="shared" si="23"/>
        <v>105.983</v>
      </c>
      <c r="N56" s="422" t="s">
        <v>171</v>
      </c>
    </row>
    <row r="57" spans="1:14">
      <c r="A57" s="140" t="s">
        <v>189</v>
      </c>
      <c r="B57" s="140" t="s">
        <v>190</v>
      </c>
      <c r="C57" s="284" t="s">
        <v>538</v>
      </c>
      <c r="E57" s="72">
        <f>IF(E55&gt;0,E55/E56,1)</f>
        <v>1</v>
      </c>
      <c r="F57" s="72">
        <f t="shared" ref="F57:M57" si="24">IF(F55&gt;0,F55/F56,1)</f>
        <v>1</v>
      </c>
      <c r="G57" s="72">
        <f t="shared" si="24"/>
        <v>1</v>
      </c>
      <c r="H57" s="72">
        <f>IF(H55&gt;0,H55/H56,1)</f>
        <v>1</v>
      </c>
      <c r="I57" s="72">
        <f t="shared" si="24"/>
        <v>1</v>
      </c>
      <c r="J57" s="72">
        <f t="shared" si="24"/>
        <v>1</v>
      </c>
      <c r="K57" s="72">
        <f t="shared" si="24"/>
        <v>1</v>
      </c>
      <c r="L57" s="72">
        <f t="shared" si="24"/>
        <v>1</v>
      </c>
      <c r="M57" s="72">
        <f t="shared" si="24"/>
        <v>1</v>
      </c>
    </row>
    <row r="58" spans="1:14">
      <c r="B58" s="140"/>
    </row>
    <row r="59" spans="1:14">
      <c r="A59" s="307" t="s">
        <v>78</v>
      </c>
      <c r="B59" s="140" t="s">
        <v>139</v>
      </c>
      <c r="C59" s="284" t="s">
        <v>538</v>
      </c>
      <c r="E59" s="225">
        <f t="shared" ref="E59:M59" si="25">RPIF</f>
        <v>1.1344000000000001</v>
      </c>
      <c r="F59" s="225">
        <f t="shared" si="25"/>
        <v>1.163</v>
      </c>
      <c r="G59" s="225">
        <f t="shared" si="25"/>
        <v>1.2050000000000001</v>
      </c>
      <c r="H59" s="225">
        <f t="shared" si="25"/>
        <v>1.2270000000000001</v>
      </c>
      <c r="I59" s="225">
        <f t="shared" si="25"/>
        <v>1.2330000000000001</v>
      </c>
      <c r="J59" s="225">
        <f t="shared" si="25"/>
        <v>1.2709999999999999</v>
      </c>
      <c r="K59" s="225">
        <f t="shared" si="25"/>
        <v>1.3140000000000001</v>
      </c>
      <c r="L59" s="225">
        <f t="shared" si="25"/>
        <v>1.3580000000000001</v>
      </c>
      <c r="M59" s="225">
        <f t="shared" si="25"/>
        <v>1.31</v>
      </c>
      <c r="N59" s="422" t="s">
        <v>139</v>
      </c>
    </row>
    <row r="60" spans="1:14">
      <c r="B60" s="140"/>
    </row>
    <row r="61" spans="1:14">
      <c r="A61" s="140" t="s">
        <v>349</v>
      </c>
      <c r="C61" s="290" t="s">
        <v>1</v>
      </c>
      <c r="E61" s="72">
        <f>E52*(E57*E53)*E59</f>
        <v>9.9979935615999995</v>
      </c>
      <c r="F61" s="72">
        <f>F52*(F57*F53)*F59</f>
        <v>9.6959682160000007</v>
      </c>
      <c r="G61" s="72">
        <f t="shared" ref="G61:M61" si="26">G52*(G57*G53)*G59</f>
        <v>9.4721290399999987</v>
      </c>
      <c r="H61" s="72">
        <f t="shared" si="26"/>
        <v>9.0604821120000008</v>
      </c>
      <c r="I61" s="72">
        <f t="shared" si="26"/>
        <v>0</v>
      </c>
      <c r="J61" s="72">
        <f t="shared" si="26"/>
        <v>0</v>
      </c>
      <c r="K61" s="72">
        <f t="shared" si="26"/>
        <v>0</v>
      </c>
      <c r="L61" s="72">
        <f t="shared" si="26"/>
        <v>0</v>
      </c>
      <c r="M61" s="72">
        <f t="shared" si="26"/>
        <v>0</v>
      </c>
    </row>
    <row r="62" spans="1:14">
      <c r="A62" s="140"/>
      <c r="E62" s="166"/>
      <c r="F62" s="166"/>
      <c r="G62" s="166"/>
      <c r="H62" s="166"/>
    </row>
    <row r="63" spans="1:14">
      <c r="A63" s="140"/>
    </row>
    <row r="64" spans="1:14">
      <c r="A64" s="148" t="s">
        <v>301</v>
      </c>
      <c r="B64" s="140" t="s">
        <v>172</v>
      </c>
      <c r="C64" s="290" t="s">
        <v>1</v>
      </c>
      <c r="E64" s="165">
        <f t="shared" ref="E64:L64" si="27">Dep</f>
        <v>5.4139999999999997</v>
      </c>
      <c r="F64" s="165">
        <f t="shared" si="27"/>
        <v>5.4139999999999997</v>
      </c>
      <c r="G64" s="165">
        <f t="shared" si="27"/>
        <v>5.4139999999999997</v>
      </c>
      <c r="H64" s="165">
        <f t="shared" si="27"/>
        <v>5.4139999999999997</v>
      </c>
      <c r="I64" s="165">
        <f t="shared" si="27"/>
        <v>0</v>
      </c>
      <c r="J64" s="165">
        <f t="shared" si="27"/>
        <v>0</v>
      </c>
      <c r="K64" s="165">
        <f t="shared" si="27"/>
        <v>0</v>
      </c>
      <c r="L64" s="165">
        <f t="shared" si="27"/>
        <v>0</v>
      </c>
      <c r="M64" s="165">
        <f>Dep</f>
        <v>0</v>
      </c>
      <c r="N64" s="422" t="s">
        <v>172</v>
      </c>
    </row>
    <row r="65" spans="1:14">
      <c r="A65" s="140" t="s">
        <v>189</v>
      </c>
      <c r="B65" s="140" t="s">
        <v>190</v>
      </c>
      <c r="C65" s="290" t="s">
        <v>1</v>
      </c>
      <c r="E65" s="165">
        <f>E57</f>
        <v>1</v>
      </c>
      <c r="F65" s="165">
        <f t="shared" ref="F65:M65" si="28">F57</f>
        <v>1</v>
      </c>
      <c r="G65" s="165">
        <f t="shared" si="28"/>
        <v>1</v>
      </c>
      <c r="H65" s="165">
        <f t="shared" si="28"/>
        <v>1</v>
      </c>
      <c r="I65" s="165">
        <f t="shared" si="28"/>
        <v>1</v>
      </c>
      <c r="J65" s="165">
        <f t="shared" si="28"/>
        <v>1</v>
      </c>
      <c r="K65" s="165">
        <f t="shared" si="28"/>
        <v>1</v>
      </c>
      <c r="L65" s="165">
        <f t="shared" si="28"/>
        <v>1</v>
      </c>
      <c r="M65" s="165">
        <f t="shared" si="28"/>
        <v>1</v>
      </c>
    </row>
    <row r="66" spans="1:14">
      <c r="A66" s="307" t="s">
        <v>78</v>
      </c>
      <c r="B66" s="140" t="s">
        <v>139</v>
      </c>
      <c r="C66" s="284" t="s">
        <v>538</v>
      </c>
      <c r="E66" s="225">
        <f t="shared" ref="E66:M66" si="29">RPIF</f>
        <v>1.1344000000000001</v>
      </c>
      <c r="F66" s="225">
        <f t="shared" si="29"/>
        <v>1.163</v>
      </c>
      <c r="G66" s="225">
        <f t="shared" si="29"/>
        <v>1.2050000000000001</v>
      </c>
      <c r="H66" s="225">
        <f t="shared" si="29"/>
        <v>1.2270000000000001</v>
      </c>
      <c r="I66" s="225">
        <f t="shared" si="29"/>
        <v>1.2330000000000001</v>
      </c>
      <c r="J66" s="225">
        <f t="shared" si="29"/>
        <v>1.2709999999999999</v>
      </c>
      <c r="K66" s="225">
        <f t="shared" si="29"/>
        <v>1.3140000000000001</v>
      </c>
      <c r="L66" s="225">
        <f t="shared" si="29"/>
        <v>1.3580000000000001</v>
      </c>
      <c r="M66" s="225">
        <f t="shared" si="29"/>
        <v>1.31</v>
      </c>
      <c r="N66" s="422" t="s">
        <v>139</v>
      </c>
    </row>
    <row r="67" spans="1:14">
      <c r="A67" s="140" t="s">
        <v>219</v>
      </c>
      <c r="E67" s="72">
        <f>E64*E65*E66</f>
        <v>6.1416415999999998</v>
      </c>
      <c r="F67" s="72">
        <f t="shared" ref="F67:M67" si="30">F64*F65*F66</f>
        <v>6.2964820000000001</v>
      </c>
      <c r="G67" s="72">
        <f t="shared" si="30"/>
        <v>6.5238699999999996</v>
      </c>
      <c r="H67" s="72">
        <f t="shared" si="30"/>
        <v>6.6429780000000003</v>
      </c>
      <c r="I67" s="72">
        <f t="shared" si="30"/>
        <v>0</v>
      </c>
      <c r="J67" s="72">
        <f t="shared" si="30"/>
        <v>0</v>
      </c>
      <c r="K67" s="72">
        <f t="shared" si="30"/>
        <v>0</v>
      </c>
      <c r="L67" s="72">
        <f t="shared" si="30"/>
        <v>0</v>
      </c>
      <c r="M67" s="72">
        <f t="shared" si="30"/>
        <v>0</v>
      </c>
    </row>
    <row r="68" spans="1:14">
      <c r="B68" s="140"/>
    </row>
    <row r="69" spans="1:14">
      <c r="A69" s="418" t="s">
        <v>809</v>
      </c>
      <c r="B69" s="140" t="s">
        <v>179</v>
      </c>
      <c r="C69" s="290" t="s">
        <v>1</v>
      </c>
      <c r="E69" s="72">
        <f>E61+E67</f>
        <v>16.139635161599998</v>
      </c>
      <c r="F69" s="72">
        <f t="shared" ref="F69:M69" si="31">F61+F67</f>
        <v>15.992450216000002</v>
      </c>
      <c r="G69" s="72">
        <f t="shared" si="31"/>
        <v>15.995999039999997</v>
      </c>
      <c r="H69" s="72">
        <f t="shared" si="31"/>
        <v>15.703460112000002</v>
      </c>
      <c r="I69" s="72">
        <f t="shared" si="31"/>
        <v>0</v>
      </c>
      <c r="J69" s="72">
        <f t="shared" si="31"/>
        <v>0</v>
      </c>
      <c r="K69" s="72">
        <f t="shared" si="31"/>
        <v>0</v>
      </c>
      <c r="L69" s="72">
        <f t="shared" si="31"/>
        <v>0</v>
      </c>
      <c r="M69" s="72">
        <f t="shared" si="31"/>
        <v>0</v>
      </c>
      <c r="N69" s="422" t="s">
        <v>179</v>
      </c>
    </row>
    <row r="70" spans="1:14">
      <c r="F70" s="166"/>
      <c r="G70" s="166"/>
      <c r="H70" s="166"/>
      <c r="I70" s="166"/>
    </row>
    <row r="72" spans="1:14">
      <c r="B72" s="154"/>
    </row>
    <row r="73" spans="1:14">
      <c r="B73" s="154"/>
    </row>
    <row r="74" spans="1:14">
      <c r="B74" s="154"/>
    </row>
    <row r="75" spans="1:14">
      <c r="B75" s="148"/>
    </row>
    <row r="78" spans="1:14">
      <c r="G78" s="140"/>
    </row>
  </sheetData>
  <pageMargins left="0.23622047244094491" right="0.15748031496062992" top="0.35433070866141736" bottom="0.62992125984251968" header="0.15748031496062992" footer="0.27559055118110237"/>
  <pageSetup paperSize="9" scale="85" fitToHeight="2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1000000"/>
  <sheetViews>
    <sheetView showGridLines="0" zoomScale="85" zoomScaleNormal="85" workbookViewId="0">
      <pane xSplit="5" ySplit="7" topLeftCell="F8" activePane="bottomRight" state="frozen"/>
      <selection pane="topRight"/>
      <selection pane="bottomLeft"/>
      <selection pane="bottomRight" activeCell="F19" sqref="F19"/>
    </sheetView>
  </sheetViews>
  <sheetFormatPr defaultColWidth="9" defaultRowHeight="12.4"/>
  <cols>
    <col min="1" max="1" width="32.3515625" style="138" customWidth="1"/>
    <col min="2" max="2" width="6.87890625" style="138" customWidth="1"/>
    <col min="3" max="4" width="9" style="138" hidden="1" customWidth="1"/>
    <col min="5" max="5" width="13.46875" style="138" customWidth="1"/>
    <col min="6" max="13" width="11.64453125" style="138" customWidth="1"/>
    <col min="14" max="14" width="7.1171875" style="138" customWidth="1"/>
    <col min="15" max="15" width="2.64453125" style="138" customWidth="1"/>
    <col min="16" max="16384" width="9" style="138"/>
  </cols>
  <sheetData>
    <row r="1" spans="1:19" s="149" customFormat="1" ht="14.65">
      <c r="A1" s="158" t="s">
        <v>898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61" t="s">
        <v>311</v>
      </c>
      <c r="G5" s="166"/>
    </row>
    <row r="6" spans="1:19" ht="13.5">
      <c r="A6" s="300" t="s">
        <v>563</v>
      </c>
      <c r="B6" s="163"/>
      <c r="C6" s="163"/>
      <c r="D6" s="163"/>
      <c r="E6" s="163"/>
      <c r="F6" s="163"/>
      <c r="G6" s="163"/>
      <c r="H6" s="163"/>
      <c r="I6" s="163"/>
    </row>
    <row r="7" spans="1:19" ht="14.25">
      <c r="B7" s="143"/>
      <c r="C7" s="143"/>
      <c r="D7" s="143"/>
      <c r="E7" s="22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B8" s="143"/>
      <c r="C8" s="143"/>
      <c r="D8" s="143"/>
      <c r="E8" s="143"/>
      <c r="F8" s="143"/>
      <c r="G8" s="143"/>
      <c r="H8" s="143"/>
      <c r="I8" s="143"/>
    </row>
    <row r="9" spans="1:19" ht="13.5">
      <c r="A9" s="143" t="s">
        <v>13</v>
      </c>
      <c r="B9" s="143" t="s">
        <v>366</v>
      </c>
      <c r="C9" s="143"/>
      <c r="D9" s="143"/>
      <c r="E9" s="143" t="s">
        <v>1</v>
      </c>
      <c r="F9" s="165">
        <f t="shared" ref="F9:M9" si="0">BRt</f>
        <v>1561.072803</v>
      </c>
      <c r="G9" s="164">
        <f t="shared" si="0"/>
        <v>1732.7426765239791</v>
      </c>
      <c r="H9" s="164">
        <f t="shared" si="0"/>
        <v>1676.4672842336486</v>
      </c>
      <c r="I9" s="164">
        <f t="shared" si="0"/>
        <v>1684.3472811633824</v>
      </c>
      <c r="J9" s="164">
        <f t="shared" si="0"/>
        <v>1617.6047016073121</v>
      </c>
      <c r="K9" s="164">
        <f t="shared" si="0"/>
        <v>1671.1424134600488</v>
      </c>
      <c r="L9" s="164">
        <f t="shared" si="0"/>
        <v>1643.5020238333825</v>
      </c>
      <c r="M9" s="164">
        <f t="shared" si="0"/>
        <v>2053.6855310981396</v>
      </c>
      <c r="N9" s="166" t="s">
        <v>366</v>
      </c>
    </row>
    <row r="10" spans="1:19" ht="13.5">
      <c r="A10" s="143" t="s">
        <v>9</v>
      </c>
      <c r="B10" s="143" t="s">
        <v>371</v>
      </c>
      <c r="C10" s="143"/>
      <c r="D10" s="143"/>
      <c r="E10" s="143" t="s">
        <v>1</v>
      </c>
      <c r="F10" s="165">
        <f t="shared" ref="F10:M10" si="1">PTt</f>
        <v>0</v>
      </c>
      <c r="G10" s="164">
        <f t="shared" si="1"/>
        <v>0</v>
      </c>
      <c r="H10" s="164">
        <f t="shared" si="1"/>
        <v>-126.26356229730621</v>
      </c>
      <c r="I10" s="164">
        <f t="shared" si="1"/>
        <v>-117.78677039897654</v>
      </c>
      <c r="J10" s="164">
        <f t="shared" si="1"/>
        <v>-121.17691457216588</v>
      </c>
      <c r="K10" s="164">
        <f t="shared" si="1"/>
        <v>-125.04020026555875</v>
      </c>
      <c r="L10" s="164">
        <f t="shared" si="1"/>
        <v>-128.87613090726472</v>
      </c>
      <c r="M10" s="164">
        <f t="shared" si="1"/>
        <v>-123.86241365730204</v>
      </c>
      <c r="N10" s="166" t="s">
        <v>371</v>
      </c>
    </row>
    <row r="11" spans="1:19" ht="13.5">
      <c r="A11" s="143" t="s">
        <v>14</v>
      </c>
      <c r="B11" s="143" t="s">
        <v>372</v>
      </c>
      <c r="C11" s="143"/>
      <c r="D11" s="143"/>
      <c r="E11" s="143" t="s">
        <v>1</v>
      </c>
      <c r="F11" s="165">
        <f t="shared" ref="F11:M11" si="2">OIP</f>
        <v>14.336550000000001</v>
      </c>
      <c r="G11" s="164">
        <f t="shared" si="2"/>
        <v>0</v>
      </c>
      <c r="H11" s="164">
        <f t="shared" si="2"/>
        <v>-7.0252876241523836</v>
      </c>
      <c r="I11" s="164">
        <f t="shared" si="2"/>
        <v>-8.3323938317717463</v>
      </c>
      <c r="J11" s="164">
        <f t="shared" si="2"/>
        <v>-7.8491176116456556</v>
      </c>
      <c r="K11" s="164">
        <f t="shared" si="2"/>
        <v>-12.733583787035252</v>
      </c>
      <c r="L11" s="164">
        <f t="shared" si="2"/>
        <v>-12.03918790173239</v>
      </c>
      <c r="M11" s="164">
        <f t="shared" si="2"/>
        <v>-12.688528008219606</v>
      </c>
      <c r="N11" s="166" t="s">
        <v>372</v>
      </c>
    </row>
    <row r="12" spans="1:19" ht="13.5">
      <c r="A12" s="143" t="s">
        <v>42</v>
      </c>
      <c r="B12" s="143" t="s">
        <v>286</v>
      </c>
      <c r="C12" s="143"/>
      <c r="D12" s="143"/>
      <c r="E12" s="143" t="s">
        <v>1</v>
      </c>
      <c r="F12" s="165">
        <f t="shared" ref="F12:M12" si="3">NIA</f>
        <v>0</v>
      </c>
      <c r="G12" s="164">
        <f t="shared" si="3"/>
        <v>0</v>
      </c>
      <c r="H12" s="164">
        <f t="shared" si="3"/>
        <v>0</v>
      </c>
      <c r="I12" s="164">
        <f t="shared" si="3"/>
        <v>0</v>
      </c>
      <c r="J12" s="164">
        <f t="shared" si="3"/>
        <v>0</v>
      </c>
      <c r="K12" s="164">
        <f t="shared" si="3"/>
        <v>0</v>
      </c>
      <c r="L12" s="164">
        <f t="shared" si="3"/>
        <v>0</v>
      </c>
      <c r="M12" s="164">
        <f t="shared" si="3"/>
        <v>0</v>
      </c>
      <c r="N12" s="166" t="s">
        <v>286</v>
      </c>
    </row>
    <row r="13" spans="1:19" ht="13.5">
      <c r="A13" s="143" t="s">
        <v>41</v>
      </c>
      <c r="B13" s="143" t="s">
        <v>287</v>
      </c>
      <c r="C13" s="143"/>
      <c r="D13" s="143"/>
      <c r="E13" s="143" t="s">
        <v>1</v>
      </c>
      <c r="F13" s="165">
        <f t="shared" ref="F13:M13" si="4">NICF2</f>
        <v>0</v>
      </c>
      <c r="G13" s="164">
        <f t="shared" si="4"/>
        <v>0</v>
      </c>
      <c r="H13" s="164">
        <f t="shared" si="4"/>
        <v>0</v>
      </c>
      <c r="I13" s="164">
        <f t="shared" si="4"/>
        <v>0</v>
      </c>
      <c r="J13" s="164">
        <f t="shared" si="4"/>
        <v>0</v>
      </c>
      <c r="K13" s="164">
        <f t="shared" si="4"/>
        <v>0</v>
      </c>
      <c r="L13" s="164">
        <f t="shared" si="4"/>
        <v>0</v>
      </c>
      <c r="M13" s="164">
        <f t="shared" si="4"/>
        <v>0</v>
      </c>
      <c r="N13" s="166" t="s">
        <v>287</v>
      </c>
    </row>
    <row r="14" spans="1:19" ht="13.5">
      <c r="A14" s="143" t="s">
        <v>15</v>
      </c>
      <c r="B14" s="143" t="s">
        <v>370</v>
      </c>
      <c r="C14" s="143"/>
      <c r="D14" s="143"/>
      <c r="E14" s="143" t="s">
        <v>1</v>
      </c>
      <c r="F14" s="165">
        <f t="shared" ref="F14:M14" si="5">TIRG</f>
        <v>15.992450216000002</v>
      </c>
      <c r="G14" s="164">
        <f t="shared" si="5"/>
        <v>15.995999039999997</v>
      </c>
      <c r="H14" s="164">
        <f t="shared" si="5"/>
        <v>15.703460112000002</v>
      </c>
      <c r="I14" s="164">
        <f t="shared" si="5"/>
        <v>0</v>
      </c>
      <c r="J14" s="164">
        <f t="shared" si="5"/>
        <v>0</v>
      </c>
      <c r="K14" s="164">
        <f t="shared" si="5"/>
        <v>0</v>
      </c>
      <c r="L14" s="164">
        <f t="shared" si="5"/>
        <v>0</v>
      </c>
      <c r="M14" s="164">
        <f t="shared" si="5"/>
        <v>0</v>
      </c>
      <c r="N14" s="227" t="s">
        <v>370</v>
      </c>
    </row>
    <row r="15" spans="1:19" s="140" customFormat="1" ht="13.5">
      <c r="A15" s="143" t="s">
        <v>16</v>
      </c>
      <c r="B15" s="143" t="s">
        <v>373</v>
      </c>
      <c r="C15" s="143"/>
      <c r="D15" s="143"/>
      <c r="E15" s="143" t="s">
        <v>1</v>
      </c>
      <c r="F15" s="179">
        <f t="shared" ref="F15:M15" si="6">DIS</f>
        <v>0</v>
      </c>
      <c r="G15" s="194">
        <f t="shared" si="6"/>
        <v>0</v>
      </c>
      <c r="H15" s="194">
        <f t="shared" si="6"/>
        <v>0</v>
      </c>
      <c r="I15" s="194">
        <f t="shared" si="6"/>
        <v>0</v>
      </c>
      <c r="J15" s="194">
        <f t="shared" si="6"/>
        <v>0</v>
      </c>
      <c r="K15" s="194">
        <f t="shared" si="6"/>
        <v>0</v>
      </c>
      <c r="L15" s="194">
        <f t="shared" si="6"/>
        <v>0</v>
      </c>
      <c r="M15" s="194">
        <f t="shared" si="6"/>
        <v>0</v>
      </c>
      <c r="N15" s="166" t="s">
        <v>373</v>
      </c>
    </row>
    <row r="16" spans="1:19" s="140" customFormat="1" ht="13.5">
      <c r="A16" s="143" t="s">
        <v>17</v>
      </c>
      <c r="B16" s="143" t="s">
        <v>374</v>
      </c>
      <c r="C16" s="143"/>
      <c r="D16" s="143"/>
      <c r="E16" s="143" t="s">
        <v>1</v>
      </c>
      <c r="F16" s="179">
        <f t="shared" ref="F16:M16" si="7">TS</f>
        <v>0</v>
      </c>
      <c r="G16" s="194">
        <f t="shared" si="7"/>
        <v>0</v>
      </c>
      <c r="H16" s="194">
        <f t="shared" si="7"/>
        <v>0</v>
      </c>
      <c r="I16" s="194">
        <f t="shared" si="7"/>
        <v>0</v>
      </c>
      <c r="J16" s="194">
        <f t="shared" si="7"/>
        <v>0</v>
      </c>
      <c r="K16" s="194">
        <f t="shared" si="7"/>
        <v>0</v>
      </c>
      <c r="L16" s="194">
        <f t="shared" si="7"/>
        <v>0</v>
      </c>
      <c r="M16" s="194">
        <f t="shared" si="7"/>
        <v>0</v>
      </c>
      <c r="N16" s="166" t="s">
        <v>374</v>
      </c>
    </row>
    <row r="17" spans="1:14" ht="13.5">
      <c r="A17" s="143" t="s">
        <v>10</v>
      </c>
      <c r="B17" s="143" t="s">
        <v>375</v>
      </c>
      <c r="C17" s="143"/>
      <c r="D17" s="143"/>
      <c r="E17" s="143" t="s">
        <v>1</v>
      </c>
      <c r="F17" s="165">
        <f t="shared" ref="F17:M17" si="8">K</f>
        <v>2.690385000000135</v>
      </c>
      <c r="G17" s="164">
        <f t="shared" si="8"/>
        <v>0</v>
      </c>
      <c r="H17" s="164">
        <f t="shared" si="8"/>
        <v>-1636.5713496897565</v>
      </c>
      <c r="I17" s="164">
        <f t="shared" si="8"/>
        <v>-1801.4194281653436</v>
      </c>
      <c r="J17" s="164">
        <f t="shared" si="8"/>
        <v>-3286.5779842763436</v>
      </c>
      <c r="K17" s="164">
        <f t="shared" si="8"/>
        <v>-3450.2904998999675</v>
      </c>
      <c r="L17" s="164">
        <f t="shared" si="8"/>
        <v>-4919.8126230308681</v>
      </c>
      <c r="M17" s="164">
        <f t="shared" si="8"/>
        <v>-5117.3906383832582</v>
      </c>
      <c r="N17" s="166" t="s">
        <v>375</v>
      </c>
    </row>
    <row r="18" spans="1:14" ht="13.5">
      <c r="A18" s="143"/>
      <c r="B18" s="143"/>
      <c r="C18" s="143"/>
      <c r="D18" s="143"/>
      <c r="E18" s="143"/>
      <c r="F18" s="317"/>
      <c r="G18" s="228"/>
      <c r="H18" s="228"/>
      <c r="I18" s="228"/>
      <c r="J18" s="228"/>
      <c r="K18" s="228"/>
      <c r="L18" s="228"/>
      <c r="M18" s="228"/>
    </row>
    <row r="19" spans="1:14" ht="13.5">
      <c r="A19" s="143" t="s">
        <v>11</v>
      </c>
      <c r="B19" s="143" t="s">
        <v>12</v>
      </c>
      <c r="C19" s="143"/>
      <c r="D19" s="143"/>
      <c r="E19" s="143" t="s">
        <v>1</v>
      </c>
      <c r="F19" s="318">
        <f t="shared" ref="F19:M19" si="9">SUM(F9:F16)-F17</f>
        <v>1588.7114182159999</v>
      </c>
      <c r="G19" s="319">
        <f t="shared" si="9"/>
        <v>1748.7386755639791</v>
      </c>
      <c r="H19" s="75">
        <f t="shared" si="9"/>
        <v>3195.4532441139463</v>
      </c>
      <c r="I19" s="75">
        <f t="shared" si="9"/>
        <v>3359.6475450979779</v>
      </c>
      <c r="J19" s="75">
        <f t="shared" si="9"/>
        <v>4775.1566536998444</v>
      </c>
      <c r="K19" s="75">
        <f t="shared" si="9"/>
        <v>4983.6591293074225</v>
      </c>
      <c r="L19" s="75">
        <f t="shared" si="9"/>
        <v>6422.3993280552531</v>
      </c>
      <c r="M19" s="75">
        <f t="shared" si="9"/>
        <v>7034.525227815876</v>
      </c>
      <c r="N19" s="227" t="s">
        <v>12</v>
      </c>
    </row>
    <row r="20" spans="1:14" ht="13.5">
      <c r="C20" s="143"/>
      <c r="D20" s="143"/>
      <c r="E20" s="143"/>
      <c r="F20" s="166"/>
    </row>
    <row r="21" spans="1:14">
      <c r="F21" s="487"/>
      <c r="G21" s="488"/>
      <c r="H21" s="488"/>
      <c r="I21" s="488"/>
      <c r="J21" s="488"/>
      <c r="K21" s="488"/>
      <c r="L21" s="488"/>
      <c r="M21" s="488"/>
    </row>
    <row r="22" spans="1:14">
      <c r="F22" s="488"/>
      <c r="G22" s="488"/>
      <c r="H22" s="488"/>
      <c r="I22" s="488"/>
      <c r="J22" s="488"/>
      <c r="K22" s="488"/>
      <c r="L22" s="488"/>
      <c r="M22" s="488"/>
    </row>
    <row r="23" spans="1:14">
      <c r="G23" s="418"/>
      <c r="H23" s="418"/>
      <c r="I23" s="418"/>
      <c r="J23" s="418"/>
      <c r="K23" s="418"/>
      <c r="L23" s="418"/>
      <c r="M23" s="418"/>
    </row>
    <row r="24" spans="1:14">
      <c r="F24" s="418"/>
      <c r="G24" s="418"/>
      <c r="H24" s="418"/>
      <c r="I24" s="418"/>
      <c r="J24" s="418"/>
      <c r="K24" s="418"/>
      <c r="L24" s="418"/>
      <c r="M24" s="418"/>
    </row>
    <row r="999995" spans="1:1">
      <c r="A999995" s="138" t="s">
        <v>7</v>
      </c>
    </row>
    <row r="999996" spans="1:1">
      <c r="A999996" s="138" t="s">
        <v>2</v>
      </c>
    </row>
    <row r="999997" spans="1:1">
      <c r="A999997" s="138" t="s">
        <v>6</v>
      </c>
    </row>
    <row r="999998" spans="1:1">
      <c r="A999998" s="138" t="s">
        <v>3</v>
      </c>
    </row>
    <row r="999999" spans="1:1">
      <c r="A999999" s="138" t="s">
        <v>4</v>
      </c>
    </row>
    <row r="1000000" spans="1:1">
      <c r="A1000000" s="138" t="s">
        <v>5</v>
      </c>
    </row>
  </sheetData>
  <pageMargins left="0.26" right="0.18" top="0.66" bottom="0.67" header="0.31496062992125984" footer="0.31496062992125984"/>
  <pageSetup paperSize="9" orientation="landscape" r:id="rId1"/>
  <headerFooter>
    <oddFooter>&amp;C&amp;D&amp;R&amp;F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55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229" customWidth="1"/>
    <col min="2" max="2" width="18.1171875" style="229" customWidth="1"/>
    <col min="3" max="5" width="8" style="229" customWidth="1"/>
    <col min="6" max="6" width="5.87890625" style="229" customWidth="1"/>
    <col min="7" max="7" width="20.3515625" style="229" customWidth="1"/>
    <col min="8" max="8" width="2.3515625" style="229" customWidth="1"/>
    <col min="9" max="9" width="8.46875" style="229" customWidth="1"/>
    <col min="10" max="10" width="2.3515625" style="229" customWidth="1"/>
    <col min="11" max="16384" width="0" style="229" hidden="1"/>
  </cols>
  <sheetData>
    <row r="1" spans="1:8" s="149" customFormat="1" ht="14.65">
      <c r="A1" s="240" t="s">
        <v>327</v>
      </c>
      <c r="B1" s="40"/>
      <c r="C1" s="40"/>
      <c r="D1" s="40"/>
      <c r="E1" s="41"/>
      <c r="F1" s="40"/>
      <c r="G1" s="40"/>
      <c r="H1" s="40"/>
    </row>
    <row r="2" spans="1:8" s="149" customFormat="1" ht="14.65">
      <c r="A2" s="240" t="str">
        <f>CompName</f>
        <v>National Grid Electricity Transmission Plc</v>
      </c>
      <c r="B2" s="40"/>
      <c r="C2" s="40"/>
      <c r="D2" s="40"/>
      <c r="E2" s="41"/>
      <c r="F2" s="40"/>
      <c r="G2" s="40"/>
      <c r="H2" s="40"/>
    </row>
    <row r="3" spans="1:8" s="149" customFormat="1" ht="12.4">
      <c r="A3" s="42" t="str">
        <f>RegYr</f>
        <v>Regulatory Year ending 31 March 2019</v>
      </c>
      <c r="B3" s="40"/>
      <c r="C3" s="40"/>
      <c r="D3" s="40"/>
      <c r="E3" s="41"/>
      <c r="F3" s="40"/>
      <c r="G3" s="40"/>
      <c r="H3" s="40"/>
    </row>
    <row r="4" spans="1:8" ht="15.75" customHeight="1">
      <c r="A4" s="241"/>
      <c r="B4" s="241"/>
      <c r="C4" s="241"/>
      <c r="D4" s="241"/>
      <c r="E4" s="241"/>
      <c r="F4" s="241"/>
      <c r="G4" s="241"/>
      <c r="H4" s="241"/>
    </row>
    <row r="5" spans="1:8" ht="13.9">
      <c r="A5" s="40" t="s">
        <v>432</v>
      </c>
      <c r="B5" s="241"/>
      <c r="C5" s="241"/>
      <c r="D5" s="241"/>
      <c r="E5" s="241"/>
      <c r="F5" s="241"/>
      <c r="G5" s="241"/>
      <c r="H5" s="241"/>
    </row>
    <row r="6" spans="1:8" ht="9" customHeight="1">
      <c r="A6" s="241"/>
      <c r="B6" s="241"/>
      <c r="C6" s="241"/>
      <c r="D6" s="241"/>
      <c r="E6" s="241"/>
      <c r="F6" s="241"/>
      <c r="G6" s="241"/>
      <c r="H6" s="241"/>
    </row>
    <row r="7" spans="1:8" ht="13.9">
      <c r="A7" s="242" t="s">
        <v>104</v>
      </c>
      <c r="B7" s="241"/>
      <c r="C7" s="241"/>
      <c r="D7" s="241"/>
      <c r="E7" s="241"/>
      <c r="F7" s="241"/>
      <c r="G7" s="241"/>
      <c r="H7" s="241"/>
    </row>
    <row r="8" spans="1:8" ht="9" customHeight="1">
      <c r="A8" s="243"/>
      <c r="B8" s="241"/>
      <c r="C8" s="241"/>
      <c r="D8" s="241"/>
      <c r="E8" s="241"/>
      <c r="F8" s="241"/>
      <c r="G8" s="241"/>
      <c r="H8" s="241"/>
    </row>
    <row r="9" spans="1:8" ht="13.9">
      <c r="A9" s="244" t="s">
        <v>105</v>
      </c>
      <c r="B9" s="245"/>
      <c r="C9" s="245"/>
      <c r="D9" s="245"/>
      <c r="E9" s="245"/>
      <c r="F9" s="245"/>
      <c r="G9" s="245"/>
      <c r="H9" s="241"/>
    </row>
    <row r="10" spans="1:8" ht="9" customHeight="1">
      <c r="A10" s="241"/>
      <c r="B10" s="241"/>
      <c r="C10" s="241"/>
      <c r="D10" s="241"/>
      <c r="E10" s="241"/>
      <c r="F10" s="241"/>
      <c r="G10" s="241"/>
      <c r="H10" s="241"/>
    </row>
    <row r="11" spans="1:8" ht="13.9">
      <c r="G11" s="230" t="s">
        <v>8</v>
      </c>
      <c r="H11" s="231"/>
    </row>
    <row r="12" spans="1:8" ht="13.9">
      <c r="B12" s="232" t="s">
        <v>106</v>
      </c>
      <c r="G12" s="233" t="s">
        <v>1</v>
      </c>
    </row>
    <row r="13" spans="1:8" ht="13.9">
      <c r="A13" s="230">
        <v>1</v>
      </c>
      <c r="B13" s="378"/>
      <c r="C13" s="379"/>
      <c r="D13" s="379"/>
      <c r="E13" s="379"/>
      <c r="F13" s="380"/>
      <c r="G13" s="382"/>
      <c r="H13" s="235"/>
    </row>
    <row r="14" spans="1:8" ht="13.9">
      <c r="A14" s="230">
        <v>2</v>
      </c>
      <c r="B14" s="378"/>
      <c r="C14" s="379"/>
      <c r="D14" s="379"/>
      <c r="E14" s="379"/>
      <c r="F14" s="380"/>
      <c r="G14" s="382"/>
      <c r="H14" s="235"/>
    </row>
    <row r="15" spans="1:8" ht="13.9">
      <c r="A15" s="230">
        <v>3</v>
      </c>
      <c r="B15" s="378"/>
      <c r="C15" s="379"/>
      <c r="D15" s="379"/>
      <c r="E15" s="379"/>
      <c r="F15" s="380"/>
      <c r="G15" s="382"/>
      <c r="H15" s="235"/>
    </row>
    <row r="16" spans="1:8" ht="13.9">
      <c r="A16" s="230">
        <v>4</v>
      </c>
      <c r="B16" s="378"/>
      <c r="C16" s="379"/>
      <c r="D16" s="379"/>
      <c r="E16" s="379"/>
      <c r="F16" s="380"/>
      <c r="G16" s="382"/>
      <c r="H16" s="235"/>
    </row>
    <row r="17" spans="1:8" ht="13.9">
      <c r="A17" s="230">
        <v>5</v>
      </c>
      <c r="B17" s="378"/>
      <c r="C17" s="379"/>
      <c r="D17" s="379"/>
      <c r="E17" s="379"/>
      <c r="F17" s="380"/>
      <c r="G17" s="382"/>
      <c r="H17" s="235"/>
    </row>
    <row r="18" spans="1:8" ht="13.9">
      <c r="A18" s="230">
        <v>6</v>
      </c>
      <c r="B18" s="378"/>
      <c r="C18" s="379"/>
      <c r="D18" s="379"/>
      <c r="E18" s="379"/>
      <c r="F18" s="380"/>
      <c r="G18" s="382"/>
      <c r="H18" s="235"/>
    </row>
    <row r="19" spans="1:8" ht="13.9">
      <c r="A19" s="230">
        <v>7</v>
      </c>
      <c r="B19" s="567"/>
      <c r="C19" s="568"/>
      <c r="D19" s="568"/>
      <c r="E19" s="568"/>
      <c r="F19" s="568"/>
      <c r="G19" s="313"/>
      <c r="H19" s="235"/>
    </row>
    <row r="20" spans="1:8" ht="13.9">
      <c r="A20" s="230">
        <v>8</v>
      </c>
      <c r="B20" s="567"/>
      <c r="C20" s="568"/>
      <c r="D20" s="568"/>
      <c r="E20" s="568"/>
      <c r="F20" s="568"/>
      <c r="G20" s="313"/>
      <c r="H20" s="235"/>
    </row>
    <row r="21" spans="1:8" ht="13.9">
      <c r="A21" s="230">
        <v>9</v>
      </c>
      <c r="B21" s="569"/>
      <c r="C21" s="569"/>
      <c r="D21" s="569"/>
      <c r="E21" s="569"/>
      <c r="F21" s="569"/>
      <c r="G21" s="234"/>
      <c r="H21" s="235"/>
    </row>
    <row r="22" spans="1:8" ht="13.9">
      <c r="A22" s="230">
        <v>10</v>
      </c>
      <c r="B22" s="569"/>
      <c r="C22" s="569"/>
      <c r="D22" s="569"/>
      <c r="E22" s="569"/>
      <c r="F22" s="569"/>
      <c r="G22" s="234"/>
    </row>
    <row r="23" spans="1:8" ht="13.9">
      <c r="A23" s="230">
        <v>11</v>
      </c>
      <c r="B23" s="569"/>
      <c r="C23" s="569"/>
      <c r="D23" s="569"/>
      <c r="E23" s="569"/>
      <c r="F23" s="569"/>
      <c r="G23" s="234"/>
    </row>
    <row r="24" spans="1:8" ht="13.9">
      <c r="A24" s="230">
        <v>12</v>
      </c>
      <c r="B24" s="569"/>
      <c r="C24" s="569"/>
      <c r="D24" s="569"/>
      <c r="E24" s="569"/>
      <c r="F24" s="569"/>
      <c r="G24" s="234"/>
    </row>
    <row r="25" spans="1:8" ht="13.9">
      <c r="A25" s="230">
        <v>13</v>
      </c>
      <c r="B25" s="569"/>
      <c r="C25" s="569"/>
      <c r="D25" s="569"/>
      <c r="E25" s="569"/>
      <c r="F25" s="569"/>
      <c r="G25" s="234"/>
    </row>
    <row r="26" spans="1:8" ht="13.9">
      <c r="A26" s="230">
        <v>14</v>
      </c>
      <c r="B26" s="569"/>
      <c r="C26" s="569"/>
      <c r="D26" s="569"/>
      <c r="E26" s="569"/>
      <c r="F26" s="569"/>
      <c r="G26" s="234"/>
    </row>
    <row r="27" spans="1:8" ht="13.9">
      <c r="A27" s="230">
        <v>15</v>
      </c>
      <c r="B27" s="569"/>
      <c r="C27" s="569"/>
      <c r="D27" s="569"/>
      <c r="E27" s="569"/>
      <c r="F27" s="569"/>
      <c r="G27" s="234"/>
    </row>
    <row r="28" spans="1:8" ht="9" customHeight="1">
      <c r="A28" s="236"/>
      <c r="B28" s="237"/>
      <c r="C28" s="237"/>
      <c r="D28" s="237"/>
      <c r="E28" s="237"/>
      <c r="F28" s="237"/>
      <c r="G28" s="238"/>
    </row>
    <row r="29" spans="1:8" ht="14.25" thickBot="1">
      <c r="F29" s="149" t="s">
        <v>107</v>
      </c>
      <c r="G29" s="246">
        <f>SUM(G13:G27)</f>
        <v>0</v>
      </c>
    </row>
    <row r="30" spans="1:8" ht="9" customHeight="1" thickTop="1"/>
    <row r="31" spans="1:8" ht="13.9">
      <c r="A31" s="242" t="s">
        <v>108</v>
      </c>
      <c r="B31" s="241"/>
      <c r="C31" s="241"/>
      <c r="D31" s="241"/>
      <c r="E31" s="241"/>
      <c r="F31" s="241"/>
      <c r="G31" s="241"/>
      <c r="H31" s="241"/>
    </row>
    <row r="32" spans="1:8" ht="9" customHeight="1">
      <c r="A32" s="241"/>
      <c r="B32" s="241"/>
      <c r="C32" s="241"/>
      <c r="D32" s="241"/>
      <c r="E32" s="241"/>
      <c r="F32" s="241"/>
      <c r="G32" s="241"/>
      <c r="H32" s="241"/>
    </row>
    <row r="33" spans="1:11" ht="13.9">
      <c r="A33" s="244" t="s">
        <v>109</v>
      </c>
      <c r="B33" s="245"/>
      <c r="C33" s="245"/>
      <c r="D33" s="245"/>
      <c r="E33" s="245"/>
      <c r="F33" s="245"/>
      <c r="G33" s="245"/>
      <c r="H33" s="241"/>
    </row>
    <row r="34" spans="1:11" ht="9" customHeight="1">
      <c r="A34" s="241"/>
      <c r="B34" s="241"/>
      <c r="C34" s="241"/>
      <c r="D34" s="241"/>
      <c r="E34" s="241"/>
      <c r="F34" s="241"/>
      <c r="G34" s="241"/>
      <c r="H34" s="241"/>
    </row>
    <row r="35" spans="1:11" ht="13.9">
      <c r="G35" s="230" t="s">
        <v>8</v>
      </c>
    </row>
    <row r="36" spans="1:11" ht="13.9">
      <c r="B36" s="232" t="s">
        <v>106</v>
      </c>
      <c r="G36" s="233" t="s">
        <v>1</v>
      </c>
    </row>
    <row r="37" spans="1:11" ht="13.9">
      <c r="A37" s="230">
        <v>1</v>
      </c>
      <c r="B37" s="565"/>
      <c r="C37" s="566"/>
      <c r="D37" s="566"/>
      <c r="E37" s="566"/>
      <c r="F37" s="566"/>
      <c r="G37" s="313"/>
    </row>
    <row r="38" spans="1:11" ht="13.9">
      <c r="A38" s="230">
        <v>2</v>
      </c>
      <c r="B38" s="378"/>
      <c r="C38" s="381"/>
      <c r="D38" s="381"/>
      <c r="E38" s="381"/>
      <c r="F38" s="380"/>
      <c r="G38" s="382"/>
      <c r="H38" s="235"/>
    </row>
    <row r="39" spans="1:11" ht="13.9">
      <c r="A39" s="230">
        <v>3</v>
      </c>
      <c r="B39" s="378"/>
      <c r="C39" s="381"/>
      <c r="D39" s="381"/>
      <c r="E39" s="381"/>
      <c r="F39" s="380"/>
      <c r="G39" s="382"/>
      <c r="H39" s="235"/>
    </row>
    <row r="40" spans="1:11" ht="13.9">
      <c r="A40" s="230">
        <v>4</v>
      </c>
      <c r="B40" s="378"/>
      <c r="C40" s="381"/>
      <c r="D40" s="381"/>
      <c r="E40" s="381"/>
      <c r="F40" s="380"/>
      <c r="G40" s="382"/>
      <c r="H40" s="235"/>
    </row>
    <row r="41" spans="1:11" ht="13.9">
      <c r="A41" s="230">
        <v>5</v>
      </c>
      <c r="B41" s="378"/>
      <c r="C41" s="381"/>
      <c r="D41" s="381"/>
      <c r="E41" s="381"/>
      <c r="F41" s="380"/>
      <c r="G41" s="382"/>
      <c r="H41" s="235"/>
    </row>
    <row r="42" spans="1:11" ht="13.9">
      <c r="A42" s="230">
        <v>6</v>
      </c>
      <c r="B42" s="378"/>
      <c r="C42" s="381"/>
      <c r="D42" s="381"/>
      <c r="E42" s="381"/>
      <c r="F42" s="380"/>
      <c r="G42" s="382"/>
      <c r="H42" s="235"/>
      <c r="K42" s="239"/>
    </row>
    <row r="43" spans="1:11" ht="13.9">
      <c r="A43" s="230">
        <v>7</v>
      </c>
      <c r="B43" s="378"/>
      <c r="C43" s="381"/>
      <c r="D43" s="381"/>
      <c r="E43" s="381"/>
      <c r="F43" s="380"/>
      <c r="G43" s="382"/>
      <c r="H43" s="235"/>
      <c r="K43" s="239"/>
    </row>
    <row r="44" spans="1:11" ht="13.9">
      <c r="A44" s="230">
        <v>8</v>
      </c>
      <c r="B44" s="567"/>
      <c r="C44" s="568"/>
      <c r="D44" s="568"/>
      <c r="E44" s="568"/>
      <c r="F44" s="568"/>
      <c r="G44" s="313"/>
      <c r="H44" s="235"/>
      <c r="K44" s="239"/>
    </row>
    <row r="45" spans="1:11" ht="13.9">
      <c r="A45" s="230">
        <v>9</v>
      </c>
      <c r="B45" s="565"/>
      <c r="C45" s="566"/>
      <c r="D45" s="566"/>
      <c r="E45" s="566"/>
      <c r="F45" s="566"/>
      <c r="G45" s="313"/>
      <c r="H45" s="235"/>
      <c r="K45" s="239"/>
    </row>
    <row r="46" spans="1:11" ht="13.9">
      <c r="A46" s="230">
        <v>10</v>
      </c>
      <c r="B46" s="378"/>
      <c r="C46" s="381"/>
      <c r="D46" s="381"/>
      <c r="E46" s="381"/>
      <c r="F46" s="380"/>
      <c r="G46" s="313"/>
      <c r="H46" s="235"/>
      <c r="K46" s="239"/>
    </row>
    <row r="47" spans="1:11" ht="13.9">
      <c r="A47" s="230">
        <v>11</v>
      </c>
      <c r="B47" s="378"/>
      <c r="C47" s="381"/>
      <c r="D47" s="381"/>
      <c r="E47" s="381"/>
      <c r="F47" s="380"/>
      <c r="G47" s="313"/>
      <c r="H47" s="235"/>
    </row>
    <row r="48" spans="1:11" ht="13.9">
      <c r="A48" s="230">
        <v>12</v>
      </c>
      <c r="B48" s="378"/>
      <c r="C48" s="381"/>
      <c r="D48" s="381"/>
      <c r="E48" s="381"/>
      <c r="F48" s="380"/>
      <c r="G48" s="313"/>
      <c r="H48" s="235"/>
    </row>
    <row r="49" spans="1:8" ht="13.9">
      <c r="A49" s="230">
        <v>13</v>
      </c>
      <c r="B49" s="378"/>
      <c r="C49" s="381"/>
      <c r="D49" s="381"/>
      <c r="E49" s="381"/>
      <c r="F49" s="380"/>
      <c r="G49" s="313"/>
      <c r="H49" s="235"/>
    </row>
    <row r="50" spans="1:8" ht="13.9">
      <c r="A50" s="230">
        <v>14</v>
      </c>
      <c r="B50" s="378"/>
      <c r="C50" s="381"/>
      <c r="D50" s="381"/>
      <c r="E50" s="381"/>
      <c r="F50" s="380"/>
      <c r="G50" s="313"/>
      <c r="H50" s="235"/>
    </row>
    <row r="51" spans="1:8" ht="13.9">
      <c r="A51" s="230">
        <v>15</v>
      </c>
      <c r="B51" s="378"/>
      <c r="C51" s="381"/>
      <c r="D51" s="381"/>
      <c r="E51" s="381"/>
      <c r="F51" s="380"/>
      <c r="G51" s="382"/>
      <c r="H51" s="235"/>
    </row>
    <row r="52" spans="1:8" ht="13.9">
      <c r="A52" s="230">
        <v>16</v>
      </c>
      <c r="B52" s="567"/>
      <c r="C52" s="568"/>
      <c r="D52" s="568"/>
      <c r="E52" s="568"/>
      <c r="F52" s="568"/>
      <c r="G52" s="313"/>
    </row>
    <row r="53" spans="1:8" ht="14.25" thickBot="1">
      <c r="D53" s="387"/>
      <c r="F53" s="149" t="s">
        <v>107</v>
      </c>
      <c r="G53" s="246">
        <f>SUM(G37:G52)</f>
        <v>0</v>
      </c>
    </row>
    <row r="54" spans="1:8" ht="14.25" thickTop="1"/>
    <row r="55" spans="1:8" ht="15" customHeight="1"/>
  </sheetData>
  <mergeCells count="13">
    <mergeCell ref="B45:F45"/>
    <mergeCell ref="B52:F52"/>
    <mergeCell ref="B27:F27"/>
    <mergeCell ref="B19:F19"/>
    <mergeCell ref="B20:F20"/>
    <mergeCell ref="B21:F21"/>
    <mergeCell ref="B22:F22"/>
    <mergeCell ref="B23:F23"/>
    <mergeCell ref="B24:F24"/>
    <mergeCell ref="B25:F25"/>
    <mergeCell ref="B26:F26"/>
    <mergeCell ref="B37:F37"/>
    <mergeCell ref="B44:F44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L63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229" customWidth="1"/>
    <col min="2" max="6" width="8" style="229" customWidth="1"/>
    <col min="7" max="7" width="20.3515625" style="229" customWidth="1"/>
    <col min="8" max="8" width="2.3515625" style="229" customWidth="1"/>
    <col min="9" max="9" width="18.87890625" style="229" customWidth="1"/>
    <col min="10" max="10" width="2.87890625" style="229" customWidth="1"/>
    <col min="11" max="11" width="26" style="229" customWidth="1"/>
    <col min="12" max="12" width="2.3515625" style="229" customWidth="1"/>
    <col min="13" max="16384" width="0" style="229" hidden="1"/>
  </cols>
  <sheetData>
    <row r="1" spans="1:11" s="149" customFormat="1" ht="14.65">
      <c r="A1" s="158" t="s">
        <v>899</v>
      </c>
      <c r="B1" s="40"/>
      <c r="C1" s="40"/>
      <c r="D1" s="40"/>
      <c r="E1" s="41"/>
      <c r="F1" s="40"/>
      <c r="G1" s="40"/>
    </row>
    <row r="2" spans="1:11" s="149" customFormat="1" ht="14.65">
      <c r="A2" s="158" t="str">
        <f>CompName</f>
        <v>National Grid Electricity Transmission Plc</v>
      </c>
      <c r="B2" s="40"/>
      <c r="C2" s="40"/>
      <c r="D2" s="40"/>
      <c r="E2" s="41"/>
      <c r="F2" s="40"/>
      <c r="G2" s="40"/>
    </row>
    <row r="3" spans="1:11" s="149" customFormat="1" ht="12.4">
      <c r="A3" s="160"/>
      <c r="B3" s="40"/>
      <c r="C3" s="40" t="s">
        <v>297</v>
      </c>
      <c r="D3" s="40"/>
      <c r="E3" s="41"/>
      <c r="F3" s="40"/>
      <c r="G3" s="40"/>
    </row>
    <row r="4" spans="1:11" s="149" customFormat="1" ht="14.65">
      <c r="A4" s="158"/>
      <c r="B4" s="40"/>
      <c r="C4" s="40"/>
      <c r="D4" s="40"/>
      <c r="E4" s="41"/>
      <c r="F4" s="40"/>
      <c r="G4" s="40"/>
    </row>
    <row r="5" spans="1:11" ht="5.2" customHeight="1">
      <c r="B5" s="241"/>
      <c r="C5" s="241"/>
      <c r="D5" s="241"/>
      <c r="E5" s="241"/>
      <c r="F5" s="241"/>
      <c r="G5" s="241"/>
    </row>
    <row r="6" spans="1:11" ht="13.9">
      <c r="B6" s="241"/>
      <c r="C6" s="260" t="s">
        <v>296</v>
      </c>
      <c r="D6" s="260" t="str">
        <f>RegYr</f>
        <v>Regulatory Year ending 31 March 2019</v>
      </c>
      <c r="E6" s="241"/>
      <c r="F6" s="241"/>
      <c r="G6" s="241"/>
    </row>
    <row r="7" spans="1:11" ht="5.2" customHeight="1">
      <c r="B7" s="241"/>
      <c r="C7" s="241"/>
      <c r="D7" s="241"/>
      <c r="E7" s="241"/>
      <c r="F7" s="241"/>
      <c r="G7" s="241"/>
    </row>
    <row r="8" spans="1:11" ht="13.9" hidden="1">
      <c r="A8" s="247"/>
      <c r="B8" s="9"/>
      <c r="C8" s="9"/>
      <c r="D8" s="9"/>
      <c r="E8" s="9"/>
      <c r="F8" s="10"/>
      <c r="G8" s="9"/>
      <c r="H8" s="247"/>
      <c r="I8" s="247"/>
      <c r="J8" s="247"/>
      <c r="K8" s="247"/>
    </row>
    <row r="9" spans="1:11" ht="13.9">
      <c r="A9" s="8"/>
      <c r="B9" s="4"/>
      <c r="C9" s="4"/>
      <c r="D9" s="4"/>
      <c r="E9" s="4"/>
      <c r="F9" s="5"/>
      <c r="G9" s="4"/>
      <c r="H9" s="8"/>
      <c r="I9" s="249" t="s">
        <v>1</v>
      </c>
      <c r="J9" s="8"/>
      <c r="K9" s="249" t="s">
        <v>1</v>
      </c>
    </row>
    <row r="10" spans="1:11" ht="13.9">
      <c r="A10" s="8"/>
      <c r="B10" s="7" t="s">
        <v>103</v>
      </c>
      <c r="C10" s="4"/>
      <c r="D10" s="4"/>
      <c r="E10" s="4"/>
      <c r="F10" s="5"/>
      <c r="G10" s="4"/>
      <c r="H10" s="8"/>
      <c r="I10" s="249"/>
      <c r="J10" s="8"/>
      <c r="K10" s="249"/>
    </row>
    <row r="11" spans="1:11" s="252" customFormat="1" ht="13.9">
      <c r="A11" s="8"/>
      <c r="B11" s="241" t="s">
        <v>102</v>
      </c>
      <c r="C11" s="4"/>
      <c r="D11" s="4"/>
      <c r="E11" s="4"/>
      <c r="F11" s="5"/>
      <c r="G11" s="4"/>
      <c r="H11" s="8"/>
      <c r="I11" s="421">
        <f>'R10 Correction'!J9</f>
        <v>0</v>
      </c>
      <c r="J11" s="251"/>
      <c r="K11" s="251"/>
    </row>
    <row r="12" spans="1:11" s="252" customFormat="1" ht="13.9">
      <c r="A12" s="250"/>
      <c r="B12" s="4" t="s">
        <v>101</v>
      </c>
      <c r="C12" s="4"/>
      <c r="D12" s="4"/>
      <c r="E12" s="4"/>
      <c r="F12" s="5"/>
      <c r="G12" s="5"/>
      <c r="H12" s="8"/>
      <c r="I12" s="421">
        <f>'R16 SO External Rev'!U8</f>
        <v>2.8819531490267654</v>
      </c>
      <c r="J12" s="253"/>
      <c r="K12" s="253"/>
    </row>
    <row r="13" spans="1:11" s="252" customFormat="1" ht="13.9">
      <c r="A13" s="8"/>
      <c r="B13" s="4" t="s">
        <v>100</v>
      </c>
      <c r="C13" s="4"/>
      <c r="D13" s="4"/>
      <c r="E13" s="4"/>
      <c r="F13" s="5"/>
      <c r="G13" s="5"/>
      <c r="H13" s="8"/>
      <c r="I13" s="421">
        <f>'R15 SO Internal'!J18</f>
        <v>163.96062084237681</v>
      </c>
      <c r="J13" s="253"/>
      <c r="K13" s="254"/>
    </row>
    <row r="14" spans="1:11" s="252" customFormat="1" ht="13.9">
      <c r="A14" s="8"/>
      <c r="B14" s="4"/>
      <c r="C14" s="261"/>
      <c r="D14" s="4"/>
      <c r="E14" s="4"/>
      <c r="F14" s="5"/>
      <c r="G14" s="5"/>
      <c r="H14" s="8"/>
      <c r="I14" s="478"/>
      <c r="J14" s="253"/>
      <c r="K14" s="482">
        <f>SUM(I11:I13)</f>
        <v>166.84257399140358</v>
      </c>
    </row>
    <row r="15" spans="1:11" s="252" customFormat="1" ht="13.9">
      <c r="A15" s="255"/>
      <c r="B15" s="4"/>
      <c r="C15" s="4"/>
      <c r="D15" s="4"/>
      <c r="E15" s="4"/>
      <c r="F15" s="5"/>
      <c r="G15" s="5"/>
      <c r="H15" s="8"/>
      <c r="I15" s="478"/>
      <c r="J15" s="253"/>
      <c r="K15" s="483"/>
    </row>
    <row r="16" spans="1:11" s="252" customFormat="1" ht="13.9" hidden="1">
      <c r="A16" s="8"/>
      <c r="B16" s="4"/>
      <c r="C16" s="4"/>
      <c r="D16" s="4"/>
      <c r="E16" s="4"/>
      <c r="F16" s="5"/>
      <c r="G16" s="4"/>
      <c r="H16" s="8"/>
      <c r="I16" s="478"/>
      <c r="J16" s="253"/>
      <c r="K16" s="483"/>
    </row>
    <row r="17" spans="1:11" s="252" customFormat="1" ht="13.9" hidden="1">
      <c r="A17" s="8"/>
      <c r="B17" s="4"/>
      <c r="C17" s="4"/>
      <c r="D17" s="4"/>
      <c r="E17" s="4"/>
      <c r="F17" s="5"/>
      <c r="G17" s="4"/>
      <c r="H17" s="8"/>
      <c r="I17" s="478"/>
      <c r="J17" s="253"/>
      <c r="K17" s="483"/>
    </row>
    <row r="18" spans="1:11" s="252" customFormat="1" ht="13.9">
      <c r="A18" s="8"/>
      <c r="B18" s="4" t="s">
        <v>99</v>
      </c>
      <c r="C18" s="4"/>
      <c r="D18" s="4"/>
      <c r="E18" s="4"/>
      <c r="F18" s="5"/>
      <c r="G18" s="4"/>
      <c r="H18" s="8"/>
      <c r="I18" s="478"/>
      <c r="J18" s="253"/>
      <c r="K18" s="483"/>
    </row>
    <row r="19" spans="1:11" s="252" customFormat="1" ht="13.9">
      <c r="A19" s="8"/>
      <c r="B19" s="4"/>
      <c r="C19" s="4" t="s">
        <v>98</v>
      </c>
      <c r="D19" s="4"/>
      <c r="E19" s="4"/>
      <c r="F19" s="5"/>
      <c r="G19" s="4"/>
      <c r="H19" s="8"/>
      <c r="I19" s="421">
        <f>'R13 Excluded Revenue'!G29</f>
        <v>0</v>
      </c>
      <c r="J19" s="253"/>
      <c r="K19" s="483"/>
    </row>
    <row r="20" spans="1:11" s="252" customFormat="1" ht="13.9">
      <c r="A20" s="8"/>
      <c r="B20" s="4"/>
      <c r="C20" s="4" t="s">
        <v>97</v>
      </c>
      <c r="D20" s="4"/>
      <c r="E20" s="4"/>
      <c r="F20" s="5"/>
      <c r="G20" s="4"/>
      <c r="H20" s="8"/>
      <c r="I20" s="479"/>
      <c r="J20" s="253"/>
      <c r="K20" s="483"/>
    </row>
    <row r="21" spans="1:11" s="252" customFormat="1" ht="13.9">
      <c r="A21" s="8"/>
      <c r="B21" s="4"/>
      <c r="C21" s="4" t="s">
        <v>96</v>
      </c>
      <c r="D21" s="4"/>
      <c r="E21" s="4"/>
      <c r="F21" s="5"/>
      <c r="G21" s="4"/>
      <c r="H21" s="8"/>
      <c r="I21" s="421">
        <f>'R13 Excluded Revenue'!G53</f>
        <v>0</v>
      </c>
      <c r="J21" s="253"/>
      <c r="K21" s="483"/>
    </row>
    <row r="22" spans="1:11" s="252" customFormat="1" ht="13.9">
      <c r="A22" s="8"/>
      <c r="B22" s="4"/>
      <c r="C22" s="4"/>
      <c r="D22" s="4"/>
      <c r="E22" s="4"/>
      <c r="F22" s="5"/>
      <c r="G22" s="4"/>
      <c r="H22" s="8"/>
      <c r="I22" s="478"/>
      <c r="J22" s="253"/>
      <c r="K22" s="482">
        <f>SUM(I19:I21)</f>
        <v>0</v>
      </c>
    </row>
    <row r="23" spans="1:11" s="252" customFormat="1" ht="9" customHeight="1">
      <c r="A23" s="8"/>
      <c r="B23" s="4"/>
      <c r="C23" s="4"/>
      <c r="D23" s="4"/>
      <c r="E23" s="4"/>
      <c r="F23" s="5"/>
      <c r="G23" s="4"/>
      <c r="H23" s="8"/>
      <c r="I23" s="478"/>
      <c r="J23" s="253"/>
      <c r="K23" s="483"/>
    </row>
    <row r="24" spans="1:11" s="252" customFormat="1" ht="13.9">
      <c r="A24" s="8"/>
      <c r="B24" s="4" t="s">
        <v>95</v>
      </c>
      <c r="C24" s="4"/>
      <c r="D24" s="4"/>
      <c r="E24" s="4"/>
      <c r="F24" s="5"/>
      <c r="G24" s="4"/>
      <c r="H24" s="8"/>
      <c r="I24" s="478"/>
      <c r="J24" s="253"/>
      <c r="K24" s="483"/>
    </row>
    <row r="25" spans="1:11" s="252" customFormat="1" ht="13.9">
      <c r="A25" s="8"/>
      <c r="B25" s="4" t="s">
        <v>94</v>
      </c>
      <c r="C25" s="4"/>
      <c r="D25" s="4"/>
      <c r="E25" s="4"/>
      <c r="F25" s="5"/>
      <c r="G25" s="4"/>
      <c r="H25" s="8"/>
      <c r="I25" s="478"/>
      <c r="J25" s="253"/>
      <c r="K25" s="483"/>
    </row>
    <row r="26" spans="1:11" s="252" customFormat="1" ht="5.2" customHeight="1">
      <c r="A26" s="8"/>
      <c r="B26" s="8"/>
      <c r="C26" s="8"/>
      <c r="D26" s="8"/>
      <c r="E26" s="8"/>
      <c r="F26" s="248"/>
      <c r="G26" s="8"/>
      <c r="H26" s="8"/>
      <c r="I26" s="478"/>
      <c r="J26" s="253"/>
      <c r="K26" s="483"/>
    </row>
    <row r="27" spans="1:11" s="252" customFormat="1" ht="15" customHeight="1">
      <c r="A27" s="8"/>
      <c r="B27" s="573"/>
      <c r="C27" s="574"/>
      <c r="D27" s="574"/>
      <c r="E27" s="574"/>
      <c r="F27" s="574"/>
      <c r="G27" s="575"/>
      <c r="H27" s="8"/>
      <c r="I27" s="480"/>
      <c r="J27" s="253"/>
      <c r="K27" s="483"/>
    </row>
    <row r="28" spans="1:11" s="252" customFormat="1" ht="33.75" customHeight="1">
      <c r="A28" s="8"/>
      <c r="B28" s="573"/>
      <c r="C28" s="574"/>
      <c r="D28" s="574"/>
      <c r="E28" s="574"/>
      <c r="F28" s="574"/>
      <c r="G28" s="575"/>
      <c r="H28" s="256"/>
      <c r="I28" s="480"/>
      <c r="J28" s="253"/>
      <c r="K28" s="483"/>
    </row>
    <row r="29" spans="1:11" s="252" customFormat="1" ht="15" customHeight="1">
      <c r="A29" s="8"/>
      <c r="B29" s="573"/>
      <c r="C29" s="574"/>
      <c r="D29" s="574"/>
      <c r="E29" s="574"/>
      <c r="F29" s="574"/>
      <c r="G29" s="575"/>
      <c r="H29" s="8"/>
      <c r="I29" s="480"/>
      <c r="J29" s="253"/>
      <c r="K29" s="483"/>
    </row>
    <row r="30" spans="1:11" s="252" customFormat="1" ht="15" customHeight="1">
      <c r="A30" s="8"/>
      <c r="B30" s="573"/>
      <c r="C30" s="574"/>
      <c r="D30" s="574"/>
      <c r="E30" s="574"/>
      <c r="F30" s="574"/>
      <c r="G30" s="575"/>
      <c r="H30" s="256"/>
      <c r="I30" s="480"/>
      <c r="J30" s="253"/>
      <c r="K30" s="483"/>
    </row>
    <row r="31" spans="1:11" s="252" customFormat="1" ht="15" customHeight="1">
      <c r="A31" s="8"/>
      <c r="B31" s="573"/>
      <c r="C31" s="574"/>
      <c r="D31" s="574"/>
      <c r="E31" s="574"/>
      <c r="F31" s="574"/>
      <c r="G31" s="575"/>
      <c r="H31" s="8"/>
      <c r="I31" s="480"/>
      <c r="J31" s="253"/>
      <c r="K31" s="483"/>
    </row>
    <row r="32" spans="1:11" s="252" customFormat="1" ht="13.9">
      <c r="A32" s="8"/>
      <c r="B32" s="573"/>
      <c r="C32" s="574"/>
      <c r="D32" s="574"/>
      <c r="E32" s="574"/>
      <c r="F32" s="574"/>
      <c r="G32" s="575"/>
      <c r="H32" s="256"/>
      <c r="I32" s="480"/>
      <c r="J32" s="253"/>
      <c r="K32" s="483"/>
    </row>
    <row r="33" spans="1:12" s="252" customFormat="1" ht="15" customHeight="1">
      <c r="A33" s="8"/>
      <c r="B33" s="573"/>
      <c r="C33" s="574"/>
      <c r="D33" s="574"/>
      <c r="E33" s="574"/>
      <c r="F33" s="574"/>
      <c r="G33" s="575"/>
      <c r="H33" s="256"/>
      <c r="I33" s="480"/>
      <c r="J33" s="253"/>
      <c r="K33" s="483"/>
    </row>
    <row r="34" spans="1:12" s="252" customFormat="1" ht="26.25" customHeight="1">
      <c r="A34" s="8"/>
      <c r="B34" s="573"/>
      <c r="C34" s="574"/>
      <c r="D34" s="574"/>
      <c r="E34" s="574"/>
      <c r="F34" s="574"/>
      <c r="G34" s="575"/>
      <c r="H34" s="256"/>
      <c r="I34" s="480"/>
      <c r="J34" s="253"/>
      <c r="K34" s="483"/>
    </row>
    <row r="35" spans="1:12" s="252" customFormat="1" ht="30" customHeight="1">
      <c r="A35" s="8"/>
      <c r="B35" s="573"/>
      <c r="C35" s="574"/>
      <c r="D35" s="574"/>
      <c r="E35" s="574"/>
      <c r="F35" s="574"/>
      <c r="G35" s="575"/>
      <c r="H35" s="8"/>
      <c r="I35" s="481"/>
      <c r="J35" s="253"/>
      <c r="K35" s="483"/>
    </row>
    <row r="36" spans="1:12" s="252" customFormat="1" ht="15" customHeight="1">
      <c r="A36" s="8"/>
      <c r="B36" s="573"/>
      <c r="C36" s="574"/>
      <c r="D36" s="574"/>
      <c r="E36" s="574"/>
      <c r="F36" s="574"/>
      <c r="G36" s="575"/>
      <c r="H36" s="256"/>
      <c r="I36" s="480"/>
      <c r="J36" s="253"/>
      <c r="K36" s="483"/>
    </row>
    <row r="37" spans="1:12" s="252" customFormat="1" ht="13.9">
      <c r="A37" s="8"/>
      <c r="B37" s="573"/>
      <c r="C37" s="574"/>
      <c r="D37" s="574"/>
      <c r="E37" s="574"/>
      <c r="F37" s="574"/>
      <c r="G37" s="575"/>
      <c r="H37" s="256"/>
      <c r="I37" s="480"/>
      <c r="J37" s="253"/>
      <c r="K37" s="483"/>
    </row>
    <row r="38" spans="1:12" s="252" customFormat="1" ht="15" customHeight="1">
      <c r="A38" s="8"/>
      <c r="B38" s="573"/>
      <c r="C38" s="574"/>
      <c r="D38" s="574"/>
      <c r="E38" s="574"/>
      <c r="F38" s="574"/>
      <c r="G38" s="575"/>
      <c r="H38" s="256"/>
      <c r="I38" s="480"/>
      <c r="J38" s="253"/>
      <c r="K38" s="483"/>
    </row>
    <row r="39" spans="1:12" s="252" customFormat="1" ht="15" customHeight="1">
      <c r="A39" s="8"/>
      <c r="B39" s="573"/>
      <c r="C39" s="574"/>
      <c r="D39" s="574"/>
      <c r="E39" s="574"/>
      <c r="F39" s="574"/>
      <c r="G39" s="575"/>
      <c r="H39" s="256"/>
      <c r="I39" s="480"/>
      <c r="J39" s="253"/>
      <c r="K39" s="483"/>
    </row>
    <row r="40" spans="1:12" s="252" customFormat="1" ht="15" customHeight="1">
      <c r="A40" s="8"/>
      <c r="B40" s="573"/>
      <c r="C40" s="574"/>
      <c r="D40" s="574"/>
      <c r="E40" s="574"/>
      <c r="F40" s="574"/>
      <c r="G40" s="575"/>
      <c r="H40" s="8"/>
      <c r="I40" s="480"/>
      <c r="J40" s="253"/>
      <c r="K40" s="483"/>
    </row>
    <row r="41" spans="1:12" s="252" customFormat="1" ht="13.9">
      <c r="A41" s="8"/>
      <c r="B41" s="8"/>
      <c r="C41" s="8"/>
      <c r="D41" s="8"/>
      <c r="E41" s="8"/>
      <c r="F41" s="248"/>
      <c r="G41" s="8"/>
      <c r="H41" s="8"/>
      <c r="I41" s="253"/>
      <c r="J41" s="253"/>
      <c r="K41" s="482">
        <f>SUM(I27:I40)</f>
        <v>0</v>
      </c>
    </row>
    <row r="42" spans="1:12" s="252" customFormat="1" ht="13.9">
      <c r="A42" s="8"/>
      <c r="B42" s="8"/>
      <c r="C42" s="8"/>
      <c r="D42" s="8"/>
      <c r="E42" s="8"/>
      <c r="F42" s="8"/>
      <c r="G42" s="8"/>
      <c r="H42" s="8"/>
      <c r="I42" s="251"/>
      <c r="J42" s="253"/>
      <c r="K42" s="483"/>
    </row>
    <row r="43" spans="1:12" s="252" customFormat="1" ht="15.75" thickBot="1">
      <c r="A43" s="8"/>
      <c r="B43" s="8"/>
      <c r="C43" s="250"/>
      <c r="D43" s="7"/>
      <c r="E43" s="4"/>
      <c r="F43" s="5"/>
      <c r="G43" s="118" t="s">
        <v>451</v>
      </c>
      <c r="H43" s="4"/>
      <c r="I43" s="6"/>
      <c r="J43" s="6"/>
      <c r="K43" s="484">
        <f>K14+K22+K41</f>
        <v>166.84257399140358</v>
      </c>
      <c r="L43" s="472" t="s">
        <v>794</v>
      </c>
    </row>
    <row r="44" spans="1:12" s="252" customFormat="1" ht="14.25" thickTop="1">
      <c r="A44" s="8"/>
      <c r="B44" s="8"/>
      <c r="C44" s="8"/>
      <c r="D44" s="8"/>
      <c r="E44" s="8"/>
      <c r="F44" s="248"/>
      <c r="G44" s="8"/>
      <c r="H44" s="8"/>
      <c r="I44" s="257"/>
      <c r="J44" s="257"/>
      <c r="K44" s="257"/>
    </row>
    <row r="45" spans="1:12" s="252" customFormat="1" ht="13.9">
      <c r="A45" s="8"/>
      <c r="B45" s="8"/>
      <c r="C45" s="8"/>
      <c r="D45" s="8"/>
      <c r="E45" s="8"/>
      <c r="F45" s="248"/>
      <c r="G45" s="8"/>
      <c r="H45" s="8"/>
      <c r="I45" s="258"/>
      <c r="J45" s="258"/>
      <c r="K45" s="258"/>
    </row>
    <row r="46" spans="1:12" s="252" customFormat="1" ht="13.9">
      <c r="A46" s="8"/>
      <c r="B46" s="8"/>
      <c r="C46" s="8"/>
      <c r="D46" s="8"/>
      <c r="E46" s="8"/>
      <c r="F46" s="248"/>
      <c r="G46" s="8"/>
      <c r="H46" s="8"/>
      <c r="I46" s="258"/>
      <c r="J46" s="258"/>
      <c r="K46" s="258"/>
    </row>
    <row r="47" spans="1:12" s="252" customFormat="1" ht="13.9">
      <c r="A47" s="259" t="s">
        <v>93</v>
      </c>
      <c r="B47" s="8"/>
      <c r="C47" s="8"/>
      <c r="D47" s="8"/>
      <c r="E47" s="8"/>
      <c r="F47" s="248"/>
      <c r="G47" s="8"/>
      <c r="H47" s="8"/>
      <c r="I47" s="258"/>
      <c r="J47" s="258"/>
      <c r="K47" s="258"/>
    </row>
    <row r="48" spans="1:12" ht="13.9">
      <c r="A48" s="8"/>
      <c r="B48" s="8"/>
      <c r="C48" s="8"/>
      <c r="D48" s="8"/>
      <c r="E48" s="8"/>
      <c r="F48" s="248"/>
      <c r="G48" s="8"/>
      <c r="H48" s="8"/>
      <c r="I48" s="8"/>
      <c r="J48" s="8"/>
      <c r="K48" s="8"/>
    </row>
    <row r="49" spans="1:11" ht="28.5" customHeight="1">
      <c r="A49" s="570"/>
      <c r="B49" s="571"/>
      <c r="C49" s="571"/>
      <c r="D49" s="571"/>
      <c r="E49" s="571"/>
      <c r="F49" s="571"/>
      <c r="G49" s="571"/>
      <c r="H49" s="571"/>
      <c r="I49" s="571"/>
      <c r="J49" s="571"/>
      <c r="K49" s="572"/>
    </row>
    <row r="50" spans="1:11" ht="29.25" customHeight="1">
      <c r="A50" s="570"/>
      <c r="B50" s="571"/>
      <c r="C50" s="571"/>
      <c r="D50" s="571"/>
      <c r="E50" s="571"/>
      <c r="F50" s="571"/>
      <c r="G50" s="571"/>
      <c r="H50" s="571"/>
      <c r="I50" s="571"/>
      <c r="J50" s="571"/>
      <c r="K50" s="572"/>
    </row>
    <row r="51" spans="1:11" ht="29.25" customHeight="1">
      <c r="A51" s="570"/>
      <c r="B51" s="571"/>
      <c r="C51" s="571"/>
      <c r="D51" s="571"/>
      <c r="E51" s="571"/>
      <c r="F51" s="571"/>
      <c r="G51" s="571"/>
      <c r="H51" s="571"/>
      <c r="I51" s="571"/>
      <c r="J51" s="571"/>
      <c r="K51" s="572"/>
    </row>
    <row r="52" spans="1:11" ht="19.5" customHeight="1">
      <c r="A52" s="570"/>
      <c r="B52" s="571"/>
      <c r="C52" s="571"/>
      <c r="D52" s="571"/>
      <c r="E52" s="571"/>
      <c r="F52" s="571"/>
      <c r="G52" s="571"/>
      <c r="H52" s="571"/>
      <c r="I52" s="571"/>
      <c r="J52" s="571"/>
      <c r="K52" s="572"/>
    </row>
    <row r="53" spans="1:11" ht="19.5" customHeight="1">
      <c r="A53" s="570"/>
      <c r="B53" s="571"/>
      <c r="C53" s="571"/>
      <c r="D53" s="571"/>
      <c r="E53" s="571"/>
      <c r="F53" s="571"/>
      <c r="G53" s="571"/>
      <c r="H53" s="571"/>
      <c r="I53" s="571"/>
      <c r="J53" s="571"/>
      <c r="K53" s="572"/>
    </row>
    <row r="54" spans="1:11" ht="19.5" customHeight="1">
      <c r="A54" s="570"/>
      <c r="B54" s="571"/>
      <c r="C54" s="571"/>
      <c r="D54" s="571"/>
      <c r="E54" s="571"/>
      <c r="F54" s="571"/>
      <c r="G54" s="571"/>
      <c r="H54" s="571"/>
      <c r="I54" s="571"/>
      <c r="J54" s="571"/>
      <c r="K54" s="572"/>
    </row>
    <row r="55" spans="1:11" ht="31.5" customHeight="1">
      <c r="A55" s="570"/>
      <c r="B55" s="571"/>
      <c r="C55" s="571"/>
      <c r="D55" s="571"/>
      <c r="E55" s="571"/>
      <c r="F55" s="571"/>
      <c r="G55" s="571"/>
      <c r="H55" s="571"/>
      <c r="I55" s="571"/>
      <c r="J55" s="571"/>
      <c r="K55" s="572"/>
    </row>
    <row r="56" spans="1:11" ht="13.9"/>
    <row r="57" spans="1:11" ht="13.9"/>
    <row r="58" spans="1:11" ht="15" customHeight="1"/>
    <row r="59" spans="1:11" ht="15" customHeight="1"/>
    <row r="60" spans="1:11" ht="15" customHeight="1"/>
    <row r="61" spans="1:11" ht="15" customHeight="1"/>
    <row r="62" spans="1:11" ht="15" customHeight="1"/>
    <row r="63" spans="1:11" ht="15" customHeight="1"/>
  </sheetData>
  <mergeCells count="21">
    <mergeCell ref="B27:G27"/>
    <mergeCell ref="B28:G28"/>
    <mergeCell ref="B33:G33"/>
    <mergeCell ref="B40:G40"/>
    <mergeCell ref="B32:G32"/>
    <mergeCell ref="B29:G29"/>
    <mergeCell ref="B30:G30"/>
    <mergeCell ref="B31:G31"/>
    <mergeCell ref="B34:G34"/>
    <mergeCell ref="B35:G35"/>
    <mergeCell ref="B36:G36"/>
    <mergeCell ref="B37:G37"/>
    <mergeCell ref="B38:G38"/>
    <mergeCell ref="B39:G39"/>
    <mergeCell ref="A54:K54"/>
    <mergeCell ref="A49:K49"/>
    <mergeCell ref="A55:K55"/>
    <mergeCell ref="A50:K50"/>
    <mergeCell ref="A51:K51"/>
    <mergeCell ref="A52:K52"/>
    <mergeCell ref="A53:K53"/>
  </mergeCells>
  <pageMargins left="0.15748031496062992" right="0.15748031496062992" top="0.59055118110236227" bottom="0.59055118110236227" header="0.11811023622047245" footer="0.11811023622047245"/>
  <pageSetup paperSize="9" scale="77" orientation="portrait" r:id="rId1"/>
  <headerFooter alignWithMargins="0">
    <oddFooter>&amp;L&amp;F&amp;C&amp;A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T107"/>
  <sheetViews>
    <sheetView showGridLines="0" zoomScale="85" zoomScaleNormal="85" workbookViewId="0"/>
  </sheetViews>
  <sheetFormatPr defaultColWidth="9" defaultRowHeight="12.4"/>
  <cols>
    <col min="1" max="1" width="32.3515625" style="138" customWidth="1"/>
    <col min="2" max="2" width="7.87890625" style="138" customWidth="1"/>
    <col min="3" max="3" width="9" style="138" customWidth="1"/>
    <col min="4" max="4" width="10.46875" style="138" customWidth="1"/>
    <col min="5" max="5" width="8.46875" style="138" customWidth="1"/>
    <col min="6" max="7" width="10.3515625" style="138" customWidth="1"/>
    <col min="8" max="8" width="10.17578125" style="138" customWidth="1"/>
    <col min="9" max="9" width="10.3515625" style="138" customWidth="1"/>
    <col min="10" max="10" width="10.87890625" style="138" customWidth="1"/>
    <col min="11" max="11" width="10.17578125" style="138" customWidth="1"/>
    <col min="12" max="12" width="10" style="138" customWidth="1"/>
    <col min="13" max="13" width="10.87890625" style="138" bestFit="1" customWidth="1"/>
    <col min="14" max="16384" width="9" style="138"/>
  </cols>
  <sheetData>
    <row r="1" spans="1:20" s="149" customFormat="1" ht="14.65">
      <c r="A1" s="158" t="s">
        <v>360</v>
      </c>
    </row>
    <row r="2" spans="1:20" s="149" customFormat="1" ht="14.65">
      <c r="A2" s="158" t="str">
        <f>CompName</f>
        <v>National Grid Electricity Transmission Plc</v>
      </c>
    </row>
    <row r="3" spans="1:20" s="149" customFormat="1">
      <c r="A3" s="160" t="str">
        <f>RegYr</f>
        <v>Regulatory Year ending 31 March 2019</v>
      </c>
    </row>
    <row r="4" spans="1:20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20" ht="16.5" customHeight="1">
      <c r="A5" s="178" t="s">
        <v>68</v>
      </c>
      <c r="H5" s="476"/>
      <c r="I5" s="476"/>
    </row>
    <row r="6" spans="1:20" ht="13.5">
      <c r="B6" s="163"/>
      <c r="C6" s="163"/>
      <c r="D6" s="163"/>
      <c r="E6" s="163"/>
      <c r="F6" s="163"/>
      <c r="G6" s="163"/>
      <c r="H6" s="262"/>
      <c r="I6" s="163"/>
    </row>
    <row r="7" spans="1:20" ht="13.5" customHeight="1">
      <c r="A7" s="137" t="s">
        <v>501</v>
      </c>
      <c r="B7" s="143"/>
      <c r="C7" s="223"/>
      <c r="E7" s="143"/>
      <c r="F7" s="405" t="s">
        <v>714</v>
      </c>
      <c r="L7" s="166"/>
    </row>
    <row r="8" spans="1:20" ht="13.5" customHeight="1">
      <c r="B8" s="143"/>
      <c r="C8" s="143"/>
      <c r="D8" s="143"/>
      <c r="E8" s="143"/>
      <c r="F8" s="263"/>
      <c r="G8" s="263"/>
      <c r="H8" s="263"/>
      <c r="I8" s="263"/>
      <c r="J8" s="263"/>
      <c r="K8" s="263"/>
      <c r="L8" s="263"/>
      <c r="M8" s="263"/>
    </row>
    <row r="9" spans="1:20" ht="14.25">
      <c r="B9" s="143"/>
      <c r="C9" s="143"/>
      <c r="D9" s="143"/>
      <c r="E9" s="143"/>
      <c r="F9" s="139">
        <v>2014</v>
      </c>
      <c r="G9" s="139">
        <v>2015</v>
      </c>
      <c r="H9" s="139">
        <v>2016</v>
      </c>
      <c r="I9" s="139">
        <v>2017</v>
      </c>
      <c r="J9" s="139">
        <v>2018</v>
      </c>
      <c r="K9" s="139">
        <v>2019</v>
      </c>
      <c r="L9" s="139">
        <v>2020</v>
      </c>
      <c r="M9" s="139">
        <v>2021</v>
      </c>
    </row>
    <row r="10" spans="1:20">
      <c r="A10" s="140" t="s">
        <v>71</v>
      </c>
      <c r="B10" s="140" t="s">
        <v>323</v>
      </c>
      <c r="D10" s="284" t="s">
        <v>1</v>
      </c>
      <c r="F10" s="373">
        <f t="shared" ref="F10:M10" si="0">SOPU</f>
        <v>113.976</v>
      </c>
      <c r="G10" s="373">
        <f t="shared" si="0"/>
        <v>113.533</v>
      </c>
      <c r="H10" s="373">
        <f t="shared" si="0"/>
        <v>114.357</v>
      </c>
      <c r="I10" s="373">
        <f t="shared" si="0"/>
        <v>116.705</v>
      </c>
      <c r="J10" s="373">
        <f t="shared" si="0"/>
        <v>122.833</v>
      </c>
      <c r="K10" s="373">
        <f t="shared" si="0"/>
        <v>117.524</v>
      </c>
      <c r="L10" s="373">
        <f t="shared" si="0"/>
        <v>124.73099999999999</v>
      </c>
      <c r="M10" s="373">
        <f t="shared" si="0"/>
        <v>126.191</v>
      </c>
      <c r="N10" s="166" t="s">
        <v>323</v>
      </c>
      <c r="P10" s="477"/>
      <c r="Q10" s="477"/>
      <c r="R10" s="477"/>
    </row>
    <row r="11" spans="1:20" ht="24.75">
      <c r="A11" s="140" t="s">
        <v>727</v>
      </c>
      <c r="B11" s="140" t="s">
        <v>715</v>
      </c>
      <c r="D11" s="276" t="s">
        <v>499</v>
      </c>
      <c r="F11" s="165">
        <f>F60</f>
        <v>0</v>
      </c>
      <c r="G11" s="165">
        <f t="shared" ref="G11:M11" si="1">G60</f>
        <v>0</v>
      </c>
      <c r="H11" s="165">
        <f t="shared" si="1"/>
        <v>0</v>
      </c>
      <c r="I11" s="165">
        <f t="shared" si="1"/>
        <v>0</v>
      </c>
      <c r="J11" s="165">
        <f t="shared" si="1"/>
        <v>-0.3</v>
      </c>
      <c r="K11" s="165">
        <f t="shared" si="1"/>
        <v>-0.3</v>
      </c>
      <c r="L11" s="165">
        <f t="shared" si="1"/>
        <v>-0.6</v>
      </c>
      <c r="M11" s="165">
        <f t="shared" si="1"/>
        <v>-0.6</v>
      </c>
      <c r="N11" s="166" t="s">
        <v>715</v>
      </c>
      <c r="P11" s="477"/>
      <c r="Q11" s="477"/>
      <c r="R11" s="477"/>
    </row>
    <row r="12" spans="1:20">
      <c r="A12" s="140" t="s">
        <v>72</v>
      </c>
      <c r="B12" s="140" t="s">
        <v>376</v>
      </c>
      <c r="D12" s="284" t="s">
        <v>1</v>
      </c>
      <c r="F12" s="165">
        <f t="shared" ref="F12:M12" si="2">SOMOD</f>
        <v>0</v>
      </c>
      <c r="G12" s="165">
        <f t="shared" si="2"/>
        <v>3.7</v>
      </c>
      <c r="H12" s="165">
        <f t="shared" si="2"/>
        <v>6</v>
      </c>
      <c r="I12" s="165">
        <f t="shared" si="2"/>
        <v>20.9</v>
      </c>
      <c r="J12" s="165">
        <f t="shared" si="2"/>
        <v>9.1999999999999993</v>
      </c>
      <c r="K12" s="165">
        <f t="shared" si="2"/>
        <v>30.1</v>
      </c>
      <c r="L12" s="165">
        <f t="shared" si="2"/>
        <v>97</v>
      </c>
      <c r="M12" s="165">
        <f t="shared" si="2"/>
        <v>0</v>
      </c>
      <c r="N12" s="166" t="s">
        <v>141</v>
      </c>
      <c r="P12" s="477"/>
      <c r="Q12" s="477"/>
      <c r="R12" s="477"/>
      <c r="S12" s="477"/>
      <c r="T12" s="477"/>
    </row>
    <row r="13" spans="1:20" ht="24.75">
      <c r="A13" s="140" t="s">
        <v>498</v>
      </c>
      <c r="B13" s="140" t="s">
        <v>496</v>
      </c>
      <c r="D13" s="276" t="s">
        <v>499</v>
      </c>
      <c r="F13" s="277">
        <f t="shared" ref="F13:M13" si="3">SOEMR</f>
        <v>0</v>
      </c>
      <c r="G13" s="277">
        <f t="shared" si="3"/>
        <v>14.7</v>
      </c>
      <c r="H13" s="277">
        <f t="shared" si="3"/>
        <v>0</v>
      </c>
      <c r="I13" s="277">
        <f t="shared" si="3"/>
        <v>0</v>
      </c>
      <c r="J13" s="277">
        <f t="shared" si="3"/>
        <v>0</v>
      </c>
      <c r="K13" s="277">
        <f t="shared" si="3"/>
        <v>0</v>
      </c>
      <c r="L13" s="277">
        <f t="shared" si="3"/>
        <v>0</v>
      </c>
      <c r="M13" s="277">
        <f t="shared" si="3"/>
        <v>0</v>
      </c>
      <c r="N13" s="166" t="s">
        <v>496</v>
      </c>
      <c r="P13" s="477"/>
      <c r="Q13" s="477"/>
      <c r="R13" s="477"/>
      <c r="S13" s="477"/>
      <c r="T13" s="477"/>
    </row>
    <row r="14" spans="1:20" ht="24.75">
      <c r="A14" s="140" t="s">
        <v>500</v>
      </c>
      <c r="B14" s="140" t="s">
        <v>497</v>
      </c>
      <c r="D14" s="276" t="s">
        <v>499</v>
      </c>
      <c r="F14" s="277">
        <f t="shared" ref="F14:M14" si="4">SOEMRCO</f>
        <v>0</v>
      </c>
      <c r="G14" s="277">
        <f t="shared" si="4"/>
        <v>0</v>
      </c>
      <c r="H14" s="277">
        <f t="shared" si="4"/>
        <v>0</v>
      </c>
      <c r="I14" s="277">
        <f t="shared" si="4"/>
        <v>-7.4</v>
      </c>
      <c r="J14" s="277">
        <f t="shared" si="4"/>
        <v>0</v>
      </c>
      <c r="K14" s="277">
        <f t="shared" si="4"/>
        <v>0</v>
      </c>
      <c r="L14" s="277">
        <f t="shared" si="4"/>
        <v>0</v>
      </c>
      <c r="M14" s="277">
        <f t="shared" si="4"/>
        <v>0</v>
      </c>
      <c r="N14" s="166" t="s">
        <v>497</v>
      </c>
      <c r="P14" s="477"/>
      <c r="Q14" s="477"/>
      <c r="R14" s="477"/>
      <c r="S14" s="477"/>
      <c r="T14" s="477"/>
    </row>
    <row r="15" spans="1:20">
      <c r="A15" s="140" t="s">
        <v>73</v>
      </c>
      <c r="B15" s="140" t="s">
        <v>377</v>
      </c>
      <c r="D15" s="284" t="s">
        <v>1</v>
      </c>
      <c r="F15" s="165">
        <f t="shared" ref="F15:M15" si="5">SOTRU</f>
        <v>0</v>
      </c>
      <c r="G15" s="165">
        <f t="shared" si="5"/>
        <v>0</v>
      </c>
      <c r="H15" s="165">
        <f t="shared" si="5"/>
        <v>0.42654856661829127</v>
      </c>
      <c r="I15" s="165">
        <f t="shared" si="5"/>
        <v>-1.8119263396039809</v>
      </c>
      <c r="J15" s="165">
        <f t="shared" si="5"/>
        <v>-2.7317247502935995</v>
      </c>
      <c r="K15" s="165">
        <f t="shared" si="5"/>
        <v>-0.56739022211183443</v>
      </c>
      <c r="L15" s="165">
        <f t="shared" si="5"/>
        <v>0.32880455225854299</v>
      </c>
      <c r="M15" s="165">
        <f t="shared" si="5"/>
        <v>-0.4832522461288592</v>
      </c>
      <c r="N15" s="166" t="s">
        <v>377</v>
      </c>
      <c r="P15" s="477"/>
      <c r="Q15" s="477"/>
      <c r="R15" s="477"/>
      <c r="S15" s="477"/>
      <c r="T15" s="477"/>
    </row>
    <row r="16" spans="1:20">
      <c r="A16" s="419" t="s">
        <v>78</v>
      </c>
      <c r="B16" s="140" t="s">
        <v>320</v>
      </c>
      <c r="D16" s="284" t="s">
        <v>538</v>
      </c>
      <c r="F16" s="373">
        <f t="shared" ref="F16:M16" si="6">RPIF</f>
        <v>1.163</v>
      </c>
      <c r="G16" s="373">
        <f t="shared" si="6"/>
        <v>1.2050000000000001</v>
      </c>
      <c r="H16" s="373">
        <f t="shared" si="6"/>
        <v>1.2270000000000001</v>
      </c>
      <c r="I16" s="373">
        <f t="shared" si="6"/>
        <v>1.2330000000000001</v>
      </c>
      <c r="J16" s="373">
        <f t="shared" si="6"/>
        <v>1.2709999999999999</v>
      </c>
      <c r="K16" s="373">
        <f t="shared" si="6"/>
        <v>1.3140000000000001</v>
      </c>
      <c r="L16" s="373">
        <f t="shared" si="6"/>
        <v>1.3580000000000001</v>
      </c>
      <c r="M16" s="373">
        <f t="shared" si="6"/>
        <v>1.31</v>
      </c>
      <c r="N16" s="166" t="s">
        <v>139</v>
      </c>
    </row>
    <row r="17" spans="1:17">
      <c r="A17" s="140" t="s">
        <v>69</v>
      </c>
      <c r="B17" s="140" t="s">
        <v>378</v>
      </c>
      <c r="D17" s="284" t="s">
        <v>1</v>
      </c>
      <c r="F17" s="74">
        <f>SUM(F10:F15)</f>
        <v>113.976</v>
      </c>
      <c r="G17" s="74">
        <f t="shared" ref="G17:M17" si="7">SUM(G10:G15)</f>
        <v>131.93299999999999</v>
      </c>
      <c r="H17" s="74">
        <f t="shared" si="7"/>
        <v>120.78354856661829</v>
      </c>
      <c r="I17" s="74">
        <f t="shared" si="7"/>
        <v>128.393073660396</v>
      </c>
      <c r="J17" s="74">
        <f t="shared" si="7"/>
        <v>129.0012752497064</v>
      </c>
      <c r="K17" s="74">
        <f t="shared" si="7"/>
        <v>146.75660977788817</v>
      </c>
      <c r="L17" s="74">
        <f t="shared" si="7"/>
        <v>221.45980455225853</v>
      </c>
      <c r="M17" s="74">
        <f t="shared" si="7"/>
        <v>125.10774775387115</v>
      </c>
      <c r="N17" s="166" t="s">
        <v>378</v>
      </c>
    </row>
    <row r="18" spans="1:17">
      <c r="A18" s="140" t="s">
        <v>70</v>
      </c>
      <c r="B18" s="140" t="s">
        <v>379</v>
      </c>
      <c r="D18" s="284" t="s">
        <v>1</v>
      </c>
      <c r="F18" s="74">
        <f>(F10+F11+F12+F14+F15)*F16</f>
        <v>132.55408800000001</v>
      </c>
      <c r="G18" s="74">
        <f>(G10+G11+G12+G13+G14+G15)*G16</f>
        <v>158.979265</v>
      </c>
      <c r="H18" s="74">
        <f>(H10+H11+H12+H13+H14+H15)*H16</f>
        <v>148.20141409124065</v>
      </c>
      <c r="I18" s="74">
        <f>(I10+I11+I12+I13+I14+I15)*I16</f>
        <v>158.30865982326827</v>
      </c>
      <c r="J18" s="74">
        <f t="shared" ref="J18:M18" si="8">(J10+J11+J12+J13+J14+J15)*J16</f>
        <v>163.96062084237681</v>
      </c>
      <c r="K18" s="74">
        <f t="shared" si="8"/>
        <v>192.83818524814507</v>
      </c>
      <c r="L18" s="74">
        <f t="shared" si="8"/>
        <v>300.74241458196713</v>
      </c>
      <c r="M18" s="74">
        <f t="shared" si="8"/>
        <v>163.89114955757123</v>
      </c>
      <c r="N18" s="166" t="s">
        <v>379</v>
      </c>
    </row>
    <row r="19" spans="1:17" ht="13.5">
      <c r="A19" s="140"/>
      <c r="B19" s="140"/>
      <c r="D19" s="284"/>
      <c r="F19" s="166"/>
      <c r="G19" s="388"/>
      <c r="H19" s="166"/>
      <c r="I19" s="166"/>
      <c r="J19" s="166"/>
      <c r="K19" s="163"/>
      <c r="L19" s="163"/>
      <c r="M19" s="163"/>
      <c r="N19" s="265"/>
      <c r="O19" s="163"/>
      <c r="P19" s="163"/>
      <c r="Q19" s="163"/>
    </row>
    <row r="20" spans="1:17" ht="13.5">
      <c r="B20" s="140"/>
      <c r="D20" s="284"/>
      <c r="N20" s="265"/>
      <c r="O20" s="163"/>
      <c r="P20" s="163"/>
      <c r="Q20" s="163"/>
    </row>
    <row r="21" spans="1:17" ht="15.75">
      <c r="A21" s="185" t="s">
        <v>395</v>
      </c>
      <c r="B21" s="140"/>
      <c r="D21" s="284"/>
      <c r="F21" s="264" t="s">
        <v>74</v>
      </c>
      <c r="M21" s="166"/>
      <c r="N21" s="265"/>
      <c r="O21" s="163"/>
      <c r="P21" s="163"/>
      <c r="Q21" s="163"/>
    </row>
    <row r="22" spans="1:17" ht="14.25">
      <c r="A22" s="292" t="s">
        <v>564</v>
      </c>
      <c r="B22" s="140"/>
      <c r="D22" s="284"/>
      <c r="E22" s="139">
        <v>2013</v>
      </c>
      <c r="F22" s="139">
        <v>2014</v>
      </c>
      <c r="G22" s="139">
        <v>2015</v>
      </c>
      <c r="H22" s="139">
        <v>2016</v>
      </c>
      <c r="I22" s="139">
        <v>2017</v>
      </c>
      <c r="J22" s="139">
        <v>2018</v>
      </c>
      <c r="K22" s="139">
        <v>2019</v>
      </c>
      <c r="L22" s="139">
        <v>2020</v>
      </c>
      <c r="M22" s="139">
        <v>2021</v>
      </c>
      <c r="N22" s="265"/>
      <c r="O22" s="163"/>
      <c r="P22" s="163"/>
      <c r="Q22" s="163"/>
    </row>
    <row r="23" spans="1:17" ht="13.5">
      <c r="A23" s="140" t="s">
        <v>386</v>
      </c>
      <c r="B23" s="140" t="s">
        <v>322</v>
      </c>
      <c r="D23" s="284" t="s">
        <v>1</v>
      </c>
      <c r="E23" s="165">
        <f>E49</f>
        <v>0</v>
      </c>
      <c r="F23" s="165">
        <f>SOREV</f>
        <v>113.976</v>
      </c>
      <c r="G23" s="165">
        <f>SOREV</f>
        <v>131.93299999999999</v>
      </c>
      <c r="H23" s="165">
        <f t="shared" ref="H23:M23" si="9">SOREV</f>
        <v>120.78354856661829</v>
      </c>
      <c r="I23" s="165">
        <f t="shared" si="9"/>
        <v>128.393073660396</v>
      </c>
      <c r="J23" s="165">
        <f t="shared" si="9"/>
        <v>129.00127524970637</v>
      </c>
      <c r="K23" s="165">
        <f t="shared" si="9"/>
        <v>146.75660977788814</v>
      </c>
      <c r="L23" s="165">
        <f t="shared" si="9"/>
        <v>221.45980455225853</v>
      </c>
      <c r="M23" s="165">
        <f t="shared" si="9"/>
        <v>125.10774775387115</v>
      </c>
      <c r="N23" s="166" t="s">
        <v>322</v>
      </c>
      <c r="O23" s="163"/>
      <c r="P23" s="163"/>
      <c r="Q23" s="163"/>
    </row>
    <row r="24" spans="1:17" ht="13.5">
      <c r="A24" s="140" t="s">
        <v>47</v>
      </c>
      <c r="B24" s="140" t="s">
        <v>153</v>
      </c>
      <c r="D24" s="284" t="s">
        <v>1</v>
      </c>
      <c r="E24" s="373">
        <f t="shared" ref="E24:M24" si="10">PVF</f>
        <v>1.0475000000000001</v>
      </c>
      <c r="F24" s="373">
        <f t="shared" si="10"/>
        <v>1.04552</v>
      </c>
      <c r="G24" s="373">
        <f t="shared" si="10"/>
        <v>1.0443199999999999</v>
      </c>
      <c r="H24" s="373">
        <f t="shared" si="10"/>
        <v>1.0432999999999999</v>
      </c>
      <c r="I24" s="373">
        <f t="shared" si="10"/>
        <v>1.0422800000000001</v>
      </c>
      <c r="J24" s="373">
        <f t="shared" si="10"/>
        <v>1.04132</v>
      </c>
      <c r="K24" s="373">
        <f t="shared" si="10"/>
        <v>1.0394600000000001</v>
      </c>
      <c r="L24" s="373">
        <f t="shared" si="10"/>
        <v>1.03748</v>
      </c>
      <c r="M24" s="373">
        <f t="shared" si="10"/>
        <v>1.03748</v>
      </c>
      <c r="N24" s="166" t="s">
        <v>153</v>
      </c>
      <c r="O24" s="163"/>
      <c r="P24" s="163"/>
      <c r="Q24" s="163"/>
    </row>
    <row r="25" spans="1:17" ht="13.5">
      <c r="A25" s="140" t="s">
        <v>321</v>
      </c>
      <c r="B25" s="140" t="s">
        <v>320</v>
      </c>
      <c r="D25" s="284" t="s">
        <v>1</v>
      </c>
      <c r="E25" s="373">
        <f t="shared" ref="E25:M25" si="11">RPIF</f>
        <v>1.1344000000000001</v>
      </c>
      <c r="F25" s="373">
        <f t="shared" si="11"/>
        <v>1.163</v>
      </c>
      <c r="G25" s="373">
        <f t="shared" si="11"/>
        <v>1.2050000000000001</v>
      </c>
      <c r="H25" s="373">
        <f t="shared" si="11"/>
        <v>1.2270000000000001</v>
      </c>
      <c r="I25" s="373">
        <f t="shared" si="11"/>
        <v>1.2330000000000001</v>
      </c>
      <c r="J25" s="373">
        <f t="shared" si="11"/>
        <v>1.2709999999999999</v>
      </c>
      <c r="K25" s="373">
        <f t="shared" si="11"/>
        <v>1.3140000000000001</v>
      </c>
      <c r="L25" s="373">
        <f t="shared" si="11"/>
        <v>1.3580000000000001</v>
      </c>
      <c r="M25" s="373">
        <f t="shared" si="11"/>
        <v>1.31</v>
      </c>
      <c r="N25" s="166" t="s">
        <v>139</v>
      </c>
      <c r="O25" s="163"/>
      <c r="P25" s="163"/>
      <c r="Q25" s="163"/>
    </row>
    <row r="26" spans="1:17" ht="13.5">
      <c r="A26" s="140" t="s">
        <v>76</v>
      </c>
      <c r="B26" s="140" t="s">
        <v>363</v>
      </c>
      <c r="D26" s="284" t="s">
        <v>1</v>
      </c>
      <c r="E26" s="373">
        <f t="shared" ref="E26:M26" si="12">RPIA</f>
        <v>1.1339999999999999</v>
      </c>
      <c r="F26" s="373">
        <f t="shared" si="12"/>
        <v>1.167</v>
      </c>
      <c r="G26" s="373">
        <f t="shared" si="12"/>
        <v>1.19</v>
      </c>
      <c r="H26" s="373">
        <f t="shared" si="12"/>
        <v>1.202</v>
      </c>
      <c r="I26" s="373">
        <f t="shared" si="12"/>
        <v>1.228</v>
      </c>
      <c r="J26" s="373">
        <f t="shared" si="12"/>
        <v>1.274</v>
      </c>
      <c r="K26" s="373">
        <f t="shared" si="12"/>
        <v>1.31</v>
      </c>
      <c r="L26" s="373">
        <f t="shared" si="12"/>
        <v>1.3460000000000001</v>
      </c>
      <c r="M26" s="373">
        <f t="shared" si="12"/>
        <v>1.3839999999999999</v>
      </c>
      <c r="N26" s="266" t="s">
        <v>149</v>
      </c>
      <c r="O26" s="163"/>
      <c r="P26" s="163"/>
      <c r="Q26" s="163"/>
    </row>
    <row r="27" spans="1:17" ht="13.5">
      <c r="A27" s="140" t="s">
        <v>73</v>
      </c>
      <c r="B27" s="140" t="s">
        <v>377</v>
      </c>
      <c r="D27" s="284" t="s">
        <v>1</v>
      </c>
      <c r="G27" s="74">
        <f>((E26-E25)/E26)*E23*E24*F24</f>
        <v>0</v>
      </c>
      <c r="H27" s="74">
        <f>((F26-F25)/F26)*F23*F24*G24</f>
        <v>0.42654856661829127</v>
      </c>
      <c r="I27" s="74">
        <f>((G26-G25)/G26)*G23*G24*H24</f>
        <v>-1.8119263396039809</v>
      </c>
      <c r="J27" s="74">
        <f t="shared" ref="J27:M27" si="13">((H26-H25)/H26)*H23*H24*I24</f>
        <v>-2.7317247502935995</v>
      </c>
      <c r="K27" s="74">
        <f t="shared" si="13"/>
        <v>-0.56739022211183443</v>
      </c>
      <c r="L27" s="74">
        <f t="shared" si="13"/>
        <v>0.32880455225854299</v>
      </c>
      <c r="M27" s="74">
        <f t="shared" si="13"/>
        <v>-0.4832522461288592</v>
      </c>
      <c r="N27" s="424" t="s">
        <v>384</v>
      </c>
      <c r="O27" s="163"/>
      <c r="P27" s="163"/>
      <c r="Q27" s="163"/>
    </row>
    <row r="28" spans="1:17" ht="13.5">
      <c r="A28" s="140"/>
      <c r="B28" s="140"/>
      <c r="D28" s="284"/>
      <c r="F28" s="166"/>
      <c r="G28" s="166"/>
      <c r="H28" s="166"/>
      <c r="I28" s="166"/>
      <c r="J28" s="166"/>
      <c r="K28" s="163"/>
      <c r="L28" s="163"/>
      <c r="M28" s="163"/>
      <c r="N28" s="265"/>
      <c r="O28" s="163"/>
      <c r="P28" s="163"/>
      <c r="Q28" s="163"/>
    </row>
    <row r="29" spans="1:17" ht="13.5">
      <c r="A29" s="140"/>
      <c r="B29" s="140"/>
      <c r="D29" s="284"/>
      <c r="F29" s="166"/>
      <c r="G29" s="166"/>
      <c r="H29" s="166"/>
      <c r="I29" s="166"/>
      <c r="J29" s="166"/>
      <c r="K29" s="163"/>
      <c r="L29" s="163"/>
      <c r="M29" s="163"/>
      <c r="N29" s="265"/>
      <c r="O29" s="163"/>
      <c r="P29" s="163"/>
      <c r="Q29" s="163"/>
    </row>
    <row r="30" spans="1:17" ht="13.5">
      <c r="A30" s="185" t="s">
        <v>383</v>
      </c>
      <c r="B30" s="140"/>
      <c r="D30" s="284"/>
      <c r="F30" s="163"/>
      <c r="G30" s="163"/>
      <c r="H30" s="163"/>
      <c r="I30" s="163"/>
      <c r="J30" s="163"/>
      <c r="K30" s="163"/>
      <c r="L30" s="163"/>
      <c r="M30" s="163"/>
      <c r="N30" s="265"/>
      <c r="O30" s="163"/>
      <c r="P30" s="163"/>
      <c r="Q30" s="163"/>
    </row>
    <row r="31" spans="1:17" ht="13.5">
      <c r="A31" s="140"/>
      <c r="B31" s="140"/>
      <c r="D31" s="284"/>
      <c r="F31" s="163"/>
      <c r="G31" s="163"/>
      <c r="H31" s="163"/>
      <c r="I31" s="163"/>
      <c r="J31" s="163"/>
      <c r="K31" s="166"/>
      <c r="L31" s="163"/>
      <c r="M31" s="163"/>
      <c r="N31" s="265"/>
      <c r="O31" s="163"/>
      <c r="P31" s="163"/>
      <c r="Q31" s="163"/>
    </row>
    <row r="32" spans="1:17" ht="14.25">
      <c r="A32" s="140"/>
      <c r="B32" s="140"/>
      <c r="D32" s="284"/>
      <c r="F32" s="139">
        <v>2014</v>
      </c>
      <c r="G32" s="139">
        <v>2015</v>
      </c>
      <c r="H32" s="139">
        <v>2016</v>
      </c>
      <c r="I32" s="139">
        <v>2017</v>
      </c>
      <c r="J32" s="139">
        <v>2018</v>
      </c>
      <c r="K32" s="139">
        <v>2019</v>
      </c>
      <c r="L32" s="139">
        <v>2020</v>
      </c>
      <c r="M32" s="139">
        <v>2021</v>
      </c>
      <c r="N32" s="265"/>
      <c r="O32" s="163"/>
      <c r="P32" s="163"/>
      <c r="Q32" s="163"/>
    </row>
    <row r="33" spans="1:17" ht="13.5">
      <c r="A33" s="140" t="s">
        <v>380</v>
      </c>
      <c r="B33" s="140" t="s">
        <v>323</v>
      </c>
      <c r="D33" s="284" t="s">
        <v>1</v>
      </c>
      <c r="F33" s="165">
        <f t="shared" ref="F33:M33" si="14">SOPU</f>
        <v>113.976</v>
      </c>
      <c r="G33" s="165">
        <f t="shared" si="14"/>
        <v>113.533</v>
      </c>
      <c r="H33" s="165">
        <f>SOPU</f>
        <v>114.357</v>
      </c>
      <c r="I33" s="165">
        <f t="shared" si="14"/>
        <v>116.705</v>
      </c>
      <c r="J33" s="165">
        <f t="shared" si="14"/>
        <v>122.833</v>
      </c>
      <c r="K33" s="165">
        <f t="shared" si="14"/>
        <v>117.524</v>
      </c>
      <c r="L33" s="165">
        <f t="shared" si="14"/>
        <v>124.73099999999999</v>
      </c>
      <c r="M33" s="165">
        <f t="shared" si="14"/>
        <v>126.191</v>
      </c>
      <c r="N33" s="266" t="s">
        <v>323</v>
      </c>
      <c r="O33" s="163"/>
      <c r="P33" s="163"/>
      <c r="Q33" s="163"/>
    </row>
    <row r="34" spans="1:17" ht="13.5">
      <c r="A34" s="140" t="s">
        <v>385</v>
      </c>
      <c r="B34" s="140" t="s">
        <v>141</v>
      </c>
      <c r="D34" s="284" t="s">
        <v>1</v>
      </c>
      <c r="F34" s="165">
        <f t="shared" ref="F34:M34" si="15">SOMOD</f>
        <v>0</v>
      </c>
      <c r="G34" s="165">
        <f t="shared" si="15"/>
        <v>3.7</v>
      </c>
      <c r="H34" s="165">
        <f t="shared" si="15"/>
        <v>6</v>
      </c>
      <c r="I34" s="165">
        <f t="shared" si="15"/>
        <v>20.9</v>
      </c>
      <c r="J34" s="165">
        <f t="shared" si="15"/>
        <v>9.1999999999999993</v>
      </c>
      <c r="K34" s="165">
        <f t="shared" si="15"/>
        <v>30.1</v>
      </c>
      <c r="L34" s="165">
        <f t="shared" si="15"/>
        <v>97</v>
      </c>
      <c r="M34" s="165">
        <f t="shared" si="15"/>
        <v>0</v>
      </c>
      <c r="N34" s="266" t="s">
        <v>141</v>
      </c>
      <c r="O34" s="163"/>
      <c r="P34" s="163"/>
      <c r="Q34" s="163"/>
    </row>
    <row r="35" spans="1:17" ht="13.5">
      <c r="A35" s="140" t="s">
        <v>498</v>
      </c>
      <c r="B35" s="140" t="s">
        <v>496</v>
      </c>
      <c r="D35" s="284" t="s">
        <v>1</v>
      </c>
      <c r="F35" s="165">
        <f t="shared" ref="F35:M35" si="16">SOEMR</f>
        <v>0</v>
      </c>
      <c r="G35" s="165">
        <f t="shared" si="16"/>
        <v>14.7</v>
      </c>
      <c r="H35" s="165">
        <f t="shared" si="16"/>
        <v>0</v>
      </c>
      <c r="I35" s="165">
        <f t="shared" si="16"/>
        <v>0</v>
      </c>
      <c r="J35" s="165">
        <f t="shared" si="16"/>
        <v>0</v>
      </c>
      <c r="K35" s="165">
        <f t="shared" si="16"/>
        <v>0</v>
      </c>
      <c r="L35" s="165">
        <f t="shared" si="16"/>
        <v>0</v>
      </c>
      <c r="M35" s="165">
        <f t="shared" si="16"/>
        <v>0</v>
      </c>
      <c r="N35" s="266" t="s">
        <v>496</v>
      </c>
      <c r="O35" s="163"/>
      <c r="P35" s="163"/>
      <c r="Q35" s="163"/>
    </row>
    <row r="36" spans="1:17" ht="13.5">
      <c r="A36" s="140" t="s">
        <v>500</v>
      </c>
      <c r="B36" s="140" t="s">
        <v>497</v>
      </c>
      <c r="D36" s="284" t="s">
        <v>1</v>
      </c>
      <c r="F36" s="165">
        <f t="shared" ref="F36:M36" si="17">SOEMRCO</f>
        <v>0</v>
      </c>
      <c r="G36" s="165">
        <f t="shared" si="17"/>
        <v>0</v>
      </c>
      <c r="H36" s="165">
        <f t="shared" si="17"/>
        <v>0</v>
      </c>
      <c r="I36" s="165">
        <f t="shared" si="17"/>
        <v>-7.4</v>
      </c>
      <c r="J36" s="165">
        <f t="shared" si="17"/>
        <v>0</v>
      </c>
      <c r="K36" s="165">
        <f t="shared" si="17"/>
        <v>0</v>
      </c>
      <c r="L36" s="165">
        <f t="shared" si="17"/>
        <v>0</v>
      </c>
      <c r="M36" s="165">
        <f t="shared" si="17"/>
        <v>0</v>
      </c>
      <c r="N36" s="266" t="s">
        <v>497</v>
      </c>
      <c r="O36" s="163"/>
      <c r="P36" s="163"/>
    </row>
    <row r="37" spans="1:17" ht="13.5">
      <c r="A37" s="140" t="s">
        <v>589</v>
      </c>
      <c r="B37" s="140" t="s">
        <v>715</v>
      </c>
      <c r="D37" s="284" t="s">
        <v>1</v>
      </c>
      <c r="F37" s="165">
        <f t="shared" ref="F37:M37" si="18">SOEMRINC</f>
        <v>0</v>
      </c>
      <c r="G37" s="165">
        <f t="shared" si="18"/>
        <v>0</v>
      </c>
      <c r="H37" s="165">
        <f t="shared" si="18"/>
        <v>0</v>
      </c>
      <c r="I37" s="165">
        <f t="shared" si="18"/>
        <v>0</v>
      </c>
      <c r="J37" s="165">
        <f t="shared" si="18"/>
        <v>-0.3</v>
      </c>
      <c r="K37" s="165">
        <f t="shared" si="18"/>
        <v>-0.3</v>
      </c>
      <c r="L37" s="165">
        <f t="shared" si="18"/>
        <v>-0.6</v>
      </c>
      <c r="M37" s="165">
        <f t="shared" si="18"/>
        <v>-0.6</v>
      </c>
      <c r="N37" s="266" t="s">
        <v>715</v>
      </c>
      <c r="O37" s="163"/>
      <c r="P37" s="163"/>
      <c r="Q37" s="163"/>
    </row>
    <row r="38" spans="1:17" ht="13.5">
      <c r="A38" s="140" t="s">
        <v>381</v>
      </c>
      <c r="B38" s="140" t="s">
        <v>384</v>
      </c>
      <c r="D38" s="284" t="s">
        <v>1</v>
      </c>
      <c r="F38" s="165">
        <f t="shared" ref="F38:M38" si="19">SOTRU</f>
        <v>0</v>
      </c>
      <c r="G38" s="165">
        <f t="shared" si="19"/>
        <v>0</v>
      </c>
      <c r="H38" s="165">
        <f t="shared" si="19"/>
        <v>0.42654856661829127</v>
      </c>
      <c r="I38" s="165">
        <f t="shared" si="19"/>
        <v>-1.8119263396039809</v>
      </c>
      <c r="J38" s="165">
        <f t="shared" si="19"/>
        <v>-2.7317247502935995</v>
      </c>
      <c r="K38" s="165">
        <f t="shared" si="19"/>
        <v>-0.56739022211183443</v>
      </c>
      <c r="L38" s="165">
        <f t="shared" si="19"/>
        <v>0.32880455225854299</v>
      </c>
      <c r="M38" s="165">
        <f t="shared" si="19"/>
        <v>-0.4832522461288592</v>
      </c>
      <c r="N38" s="166" t="s">
        <v>384</v>
      </c>
      <c r="O38" s="163"/>
      <c r="P38" s="163"/>
      <c r="Q38" s="163"/>
    </row>
    <row r="39" spans="1:17" ht="13.5">
      <c r="A39" s="140" t="s">
        <v>75</v>
      </c>
      <c r="B39" s="140" t="s">
        <v>565</v>
      </c>
      <c r="D39" s="284" t="s">
        <v>1</v>
      </c>
      <c r="F39" s="74">
        <f>SUM(F33:F38)</f>
        <v>113.976</v>
      </c>
      <c r="G39" s="74">
        <f>SUM(G33:G38)</f>
        <v>131.93299999999999</v>
      </c>
      <c r="H39" s="74">
        <f>SUM(H33:H38)</f>
        <v>120.78354856661829</v>
      </c>
      <c r="I39" s="74">
        <f>SUM(I33:I38)</f>
        <v>128.393073660396</v>
      </c>
      <c r="J39" s="74">
        <f>SUM(J33:J38)</f>
        <v>129.00127524970637</v>
      </c>
      <c r="K39" s="74">
        <f t="shared" ref="K39:M39" si="20">SUM(K33:K38)</f>
        <v>146.75660977788814</v>
      </c>
      <c r="L39" s="74">
        <f t="shared" si="20"/>
        <v>221.45980455225853</v>
      </c>
      <c r="M39" s="74">
        <f t="shared" si="20"/>
        <v>125.10774775387115</v>
      </c>
      <c r="N39" s="166" t="s">
        <v>322</v>
      </c>
      <c r="O39" s="163"/>
      <c r="P39" s="163"/>
      <c r="Q39" s="163"/>
    </row>
    <row r="40" spans="1:17" ht="13.5">
      <c r="C40" s="163"/>
      <c r="D40" s="284"/>
      <c r="F40" s="166"/>
      <c r="G40" s="166"/>
      <c r="H40" s="166"/>
      <c r="I40" s="166"/>
      <c r="J40" s="166"/>
      <c r="N40" s="163"/>
      <c r="O40" s="163"/>
      <c r="P40" s="163"/>
      <c r="Q40" s="163"/>
    </row>
    <row r="41" spans="1:17" ht="13.5">
      <c r="C41" s="163"/>
      <c r="D41" s="284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</row>
    <row r="42" spans="1:17" ht="13.5">
      <c r="C42" s="163"/>
      <c r="D42" s="284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</row>
    <row r="43" spans="1:17" ht="13.5">
      <c r="C43" s="163"/>
      <c r="D43" s="284"/>
      <c r="F43" s="267" t="s">
        <v>387</v>
      </c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</row>
    <row r="44" spans="1:17" ht="13.5">
      <c r="H44" s="163"/>
      <c r="I44" s="163"/>
      <c r="J44" s="163"/>
      <c r="K44" s="166"/>
      <c r="L44" s="163"/>
      <c r="M44" s="163"/>
      <c r="N44" s="163"/>
      <c r="O44" s="163"/>
      <c r="P44" s="163"/>
      <c r="Q44" s="163"/>
    </row>
    <row r="45" spans="1:17" ht="14.25">
      <c r="C45" s="163"/>
      <c r="D45" s="284"/>
      <c r="E45" s="139">
        <v>2013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</row>
    <row r="46" spans="1:17" ht="13.5">
      <c r="A46" s="138" t="s">
        <v>566</v>
      </c>
      <c r="B46" s="138" t="s">
        <v>388</v>
      </c>
      <c r="C46" s="163"/>
      <c r="D46" s="284" t="s">
        <v>1</v>
      </c>
      <c r="E46" s="165">
        <f>'R5 Input page'!E114</f>
        <v>0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3"/>
    </row>
    <row r="47" spans="1:17" ht="13.5">
      <c r="A47" s="138" t="s">
        <v>567</v>
      </c>
      <c r="B47" s="138" t="s">
        <v>389</v>
      </c>
      <c r="C47" s="163"/>
      <c r="D47" s="284" t="s">
        <v>1</v>
      </c>
      <c r="E47" s="165">
        <f>'R5 Input page'!E115</f>
        <v>0</v>
      </c>
      <c r="H47" s="163"/>
      <c r="I47" s="163"/>
      <c r="J47" s="163"/>
      <c r="K47" s="163"/>
      <c r="L47" s="163"/>
      <c r="M47" s="163"/>
      <c r="N47" s="163"/>
      <c r="O47" s="163"/>
      <c r="P47" s="163"/>
      <c r="Q47" s="163"/>
    </row>
    <row r="48" spans="1:17" ht="13.5">
      <c r="A48" s="140" t="s">
        <v>568</v>
      </c>
      <c r="B48" s="138" t="s">
        <v>139</v>
      </c>
      <c r="C48" s="163"/>
      <c r="D48" s="284" t="s">
        <v>1</v>
      </c>
      <c r="E48" s="165">
        <f>RPIF</f>
        <v>1.1344000000000001</v>
      </c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  <row r="49" spans="1:17" ht="13.5">
      <c r="A49" s="140" t="s">
        <v>569</v>
      </c>
      <c r="B49" s="140" t="s">
        <v>565</v>
      </c>
      <c r="C49" s="163"/>
      <c r="D49" s="284" t="s">
        <v>1</v>
      </c>
      <c r="E49" s="74">
        <f>(E46+E47)/E48</f>
        <v>0</v>
      </c>
      <c r="F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</row>
    <row r="50" spans="1:17" ht="13.5">
      <c r="C50" s="163"/>
      <c r="D50" s="163"/>
      <c r="E50" s="166"/>
      <c r="F50" s="166"/>
      <c r="G50" s="166"/>
      <c r="H50" s="166"/>
      <c r="I50" s="163"/>
      <c r="J50" s="163"/>
      <c r="K50" s="163"/>
      <c r="L50" s="163"/>
      <c r="M50" s="163"/>
      <c r="N50" s="163"/>
      <c r="O50" s="163"/>
      <c r="P50" s="163"/>
      <c r="Q50" s="163"/>
    </row>
    <row r="51" spans="1:17" ht="13.5"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</row>
    <row r="52" spans="1:17" ht="13.5">
      <c r="A52" s="185" t="s">
        <v>726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</row>
    <row r="53" spans="1:17" ht="17.649999999999999">
      <c r="A53" s="137" t="s">
        <v>716</v>
      </c>
      <c r="C53" s="163"/>
      <c r="D53" s="163"/>
      <c r="E53" s="163"/>
      <c r="F53" s="406" t="s">
        <v>717</v>
      </c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</row>
    <row r="54" spans="1:17" ht="13.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4.25">
      <c r="C55" s="163"/>
      <c r="D55" s="163"/>
      <c r="E55" s="163"/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  <c r="N55" s="163"/>
      <c r="O55" s="163"/>
      <c r="P55" s="163"/>
      <c r="Q55" s="163"/>
    </row>
    <row r="56" spans="1:17" ht="13.5">
      <c r="A56" s="138" t="s">
        <v>722</v>
      </c>
      <c r="B56" s="138" t="s">
        <v>718</v>
      </c>
      <c r="C56" s="163"/>
      <c r="D56" s="284" t="s">
        <v>1</v>
      </c>
      <c r="E56" s="163"/>
      <c r="F56" s="165">
        <f t="shared" ref="F56:M56" si="21">DRI</f>
        <v>0</v>
      </c>
      <c r="G56" s="165">
        <f t="shared" si="21"/>
        <v>0</v>
      </c>
      <c r="H56" s="165">
        <f t="shared" si="21"/>
        <v>0</v>
      </c>
      <c r="I56" s="165">
        <f t="shared" si="21"/>
        <v>0</v>
      </c>
      <c r="J56" s="165">
        <f t="shared" si="21"/>
        <v>0</v>
      </c>
      <c r="K56" s="165">
        <f>DRI</f>
        <v>0</v>
      </c>
      <c r="L56" s="165">
        <f t="shared" si="21"/>
        <v>0</v>
      </c>
      <c r="M56" s="165">
        <f t="shared" si="21"/>
        <v>0</v>
      </c>
      <c r="N56" s="424" t="s">
        <v>718</v>
      </c>
      <c r="O56" s="163"/>
      <c r="P56" s="163"/>
      <c r="Q56" s="163"/>
    </row>
    <row r="57" spans="1:17" ht="25.15">
      <c r="A57" s="275" t="s">
        <v>723</v>
      </c>
      <c r="B57" s="138" t="s">
        <v>719</v>
      </c>
      <c r="C57" s="163"/>
      <c r="D57" s="284" t="s">
        <v>1</v>
      </c>
      <c r="E57" s="163"/>
      <c r="F57" s="165">
        <f t="shared" ref="F57:M57" si="22">DFA</f>
        <v>0</v>
      </c>
      <c r="G57" s="165">
        <f t="shared" si="22"/>
        <v>0</v>
      </c>
      <c r="H57" s="165">
        <f t="shared" si="22"/>
        <v>0</v>
      </c>
      <c r="I57" s="165">
        <f t="shared" si="22"/>
        <v>0</v>
      </c>
      <c r="J57" s="165">
        <f t="shared" si="22"/>
        <v>0</v>
      </c>
      <c r="K57" s="165">
        <f t="shared" si="22"/>
        <v>0</v>
      </c>
      <c r="L57" s="165">
        <f t="shared" si="22"/>
        <v>0</v>
      </c>
      <c r="M57" s="165">
        <f t="shared" si="22"/>
        <v>0</v>
      </c>
      <c r="N57" s="424" t="s">
        <v>719</v>
      </c>
      <c r="O57" s="163"/>
      <c r="P57" s="163"/>
      <c r="Q57" s="163"/>
    </row>
    <row r="58" spans="1:17" ht="13.5">
      <c r="A58" s="138" t="s">
        <v>724</v>
      </c>
      <c r="B58" s="138" t="s">
        <v>720</v>
      </c>
      <c r="C58" s="163"/>
      <c r="D58" s="284" t="s">
        <v>1</v>
      </c>
      <c r="E58" s="163"/>
      <c r="F58" s="165">
        <f t="shared" ref="F58:M58" si="23">DSR</f>
        <v>0</v>
      </c>
      <c r="G58" s="165">
        <f t="shared" si="23"/>
        <v>0</v>
      </c>
      <c r="H58" s="165">
        <f t="shared" si="23"/>
        <v>0</v>
      </c>
      <c r="I58" s="165">
        <f t="shared" si="23"/>
        <v>0</v>
      </c>
      <c r="J58" s="165">
        <f t="shared" si="23"/>
        <v>0</v>
      </c>
      <c r="K58" s="165">
        <f t="shared" si="23"/>
        <v>0</v>
      </c>
      <c r="L58" s="165">
        <f t="shared" si="23"/>
        <v>0</v>
      </c>
      <c r="M58" s="165">
        <f t="shared" si="23"/>
        <v>0</v>
      </c>
      <c r="N58" s="424" t="s">
        <v>720</v>
      </c>
      <c r="O58" s="163"/>
      <c r="P58" s="163"/>
      <c r="Q58" s="163"/>
    </row>
    <row r="59" spans="1:17" ht="13.5">
      <c r="A59" s="138" t="s">
        <v>725</v>
      </c>
      <c r="B59" s="138" t="s">
        <v>721</v>
      </c>
      <c r="C59" s="163"/>
      <c r="D59" s="284" t="s">
        <v>1</v>
      </c>
      <c r="E59" s="163"/>
      <c r="F59" s="165">
        <f t="shared" ref="F59:M59" si="24">CSSS</f>
        <v>0</v>
      </c>
      <c r="G59" s="165">
        <f t="shared" si="24"/>
        <v>0</v>
      </c>
      <c r="H59" s="165">
        <f t="shared" si="24"/>
        <v>0</v>
      </c>
      <c r="I59" s="165">
        <f t="shared" si="24"/>
        <v>0</v>
      </c>
      <c r="J59" s="165">
        <f t="shared" si="24"/>
        <v>-0.3</v>
      </c>
      <c r="K59" s="165">
        <f t="shared" si="24"/>
        <v>-0.3</v>
      </c>
      <c r="L59" s="165">
        <f t="shared" si="24"/>
        <v>-0.6</v>
      </c>
      <c r="M59" s="165">
        <f t="shared" si="24"/>
        <v>-0.6</v>
      </c>
      <c r="N59" s="424" t="s">
        <v>721</v>
      </c>
      <c r="O59" s="163"/>
      <c r="P59" s="163"/>
      <c r="Q59" s="163"/>
    </row>
    <row r="60" spans="1:17" ht="13.5">
      <c r="A60" s="419" t="s">
        <v>589</v>
      </c>
      <c r="B60" s="138" t="s">
        <v>715</v>
      </c>
      <c r="C60" s="163"/>
      <c r="D60" s="284" t="s">
        <v>1</v>
      </c>
      <c r="E60" s="163"/>
      <c r="F60" s="74">
        <f>SUM(F56:F59)</f>
        <v>0</v>
      </c>
      <c r="G60" s="74">
        <f t="shared" ref="G60:M60" si="25">SUM(G56:G59)</f>
        <v>0</v>
      </c>
      <c r="H60" s="74">
        <f t="shared" si="25"/>
        <v>0</v>
      </c>
      <c r="I60" s="74">
        <f t="shared" si="25"/>
        <v>0</v>
      </c>
      <c r="J60" s="74">
        <f t="shared" si="25"/>
        <v>-0.3</v>
      </c>
      <c r="K60" s="74">
        <f t="shared" si="25"/>
        <v>-0.3</v>
      </c>
      <c r="L60" s="74">
        <f t="shared" si="25"/>
        <v>-0.6</v>
      </c>
      <c r="M60" s="74">
        <f t="shared" si="25"/>
        <v>-0.6</v>
      </c>
      <c r="N60" s="266" t="s">
        <v>715</v>
      </c>
      <c r="O60" s="163"/>
      <c r="P60" s="163"/>
      <c r="Q60" s="163"/>
    </row>
    <row r="61" spans="1:17" ht="13.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3.5">
      <c r="A62" s="275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7.649999999999999">
      <c r="A63" s="185" t="s">
        <v>723</v>
      </c>
      <c r="C63" s="163"/>
      <c r="D63" s="163"/>
      <c r="E63" s="163"/>
      <c r="F63" s="407" t="s">
        <v>728</v>
      </c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1:17" ht="14.25">
      <c r="A64" s="275"/>
      <c r="C64" s="163"/>
      <c r="D64" s="163"/>
      <c r="E64" s="163"/>
      <c r="F64" s="139">
        <v>2014</v>
      </c>
      <c r="G64" s="139">
        <v>2015</v>
      </c>
      <c r="H64" s="139">
        <v>2016</v>
      </c>
      <c r="I64" s="139">
        <v>2017</v>
      </c>
      <c r="J64" s="139">
        <v>2018</v>
      </c>
      <c r="K64" s="139">
        <v>2019</v>
      </c>
      <c r="L64" s="139">
        <v>2020</v>
      </c>
      <c r="M64" s="139">
        <v>2021</v>
      </c>
      <c r="N64" s="163"/>
      <c r="O64" s="163"/>
      <c r="P64" s="163"/>
      <c r="Q64" s="163"/>
    </row>
    <row r="65" spans="1:17" ht="37.5">
      <c r="A65" s="275" t="s">
        <v>732</v>
      </c>
      <c r="B65" s="361" t="s">
        <v>729</v>
      </c>
      <c r="C65" s="163"/>
      <c r="D65" s="409" t="s">
        <v>1</v>
      </c>
      <c r="E65" s="163"/>
      <c r="F65" s="449"/>
      <c r="G65" s="449"/>
      <c r="H65" s="449"/>
      <c r="I65" s="449"/>
      <c r="J65" s="449"/>
      <c r="K65" s="449"/>
      <c r="L65" s="449"/>
      <c r="M65" s="449"/>
      <c r="N65" s="163"/>
      <c r="O65" s="163"/>
      <c r="P65" s="163"/>
      <c r="Q65" s="163"/>
    </row>
    <row r="66" spans="1:17" ht="37.5">
      <c r="A66" s="275" t="s">
        <v>733</v>
      </c>
      <c r="B66" s="361" t="s">
        <v>730</v>
      </c>
      <c r="C66" s="163"/>
      <c r="D66" s="409" t="s">
        <v>1</v>
      </c>
      <c r="E66" s="163"/>
      <c r="F66" s="449"/>
      <c r="G66" s="449"/>
      <c r="H66" s="449"/>
      <c r="I66" s="449"/>
      <c r="J66" s="449"/>
      <c r="K66" s="449"/>
      <c r="L66" s="449"/>
      <c r="M66" s="421" t="e">
        <f>2*((2%-MIN(K71,4%))/2%)</f>
        <v>#DIV/0!</v>
      </c>
      <c r="N66" s="163"/>
      <c r="O66" s="163"/>
      <c r="P66" s="163"/>
      <c r="Q66" s="163"/>
    </row>
    <row r="67" spans="1:17" ht="37.5">
      <c r="A67" s="275" t="s">
        <v>734</v>
      </c>
      <c r="B67" s="361" t="s">
        <v>731</v>
      </c>
      <c r="C67" s="163"/>
      <c r="D67" s="409" t="s">
        <v>1</v>
      </c>
      <c r="E67" s="163"/>
      <c r="F67" s="449"/>
      <c r="G67" s="449"/>
      <c r="H67" s="449"/>
      <c r="I67" s="449"/>
      <c r="J67" s="449"/>
      <c r="K67" s="449"/>
      <c r="L67" s="421" t="e">
        <f>2*((2%-MIN(J72,4%))/2%)</f>
        <v>#DIV/0!</v>
      </c>
      <c r="M67" s="449"/>
      <c r="N67" s="163"/>
      <c r="O67" s="163"/>
      <c r="P67" s="163"/>
      <c r="Q67" s="163"/>
    </row>
    <row r="68" spans="1:17" ht="13.5">
      <c r="A68" s="418" t="s">
        <v>723</v>
      </c>
      <c r="B68" s="418" t="s">
        <v>719</v>
      </c>
      <c r="C68" s="420"/>
      <c r="D68" s="431" t="s">
        <v>1</v>
      </c>
      <c r="E68" s="163"/>
      <c r="F68" s="163"/>
      <c r="G68" s="163"/>
      <c r="H68" s="74">
        <f>F65+F66+F67</f>
        <v>0</v>
      </c>
      <c r="I68" s="74">
        <f t="shared" ref="I68:M68" si="26">G65+G66+G67</f>
        <v>0</v>
      </c>
      <c r="J68" s="74">
        <f t="shared" si="26"/>
        <v>0</v>
      </c>
      <c r="K68" s="74">
        <f t="shared" si="26"/>
        <v>0</v>
      </c>
      <c r="L68" s="74">
        <f t="shared" si="26"/>
        <v>0</v>
      </c>
      <c r="M68" s="74">
        <f t="shared" si="26"/>
        <v>0</v>
      </c>
      <c r="N68" s="266" t="s">
        <v>719</v>
      </c>
      <c r="O68" s="163"/>
      <c r="P68" s="163"/>
      <c r="Q68" s="163"/>
    </row>
    <row r="69" spans="1:17" ht="13.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1:17" s="418" customFormat="1" ht="62.25">
      <c r="A70" s="425" t="s">
        <v>754</v>
      </c>
      <c r="B70" s="428" t="s">
        <v>755</v>
      </c>
      <c r="C70" s="420"/>
      <c r="D70" s="431" t="s">
        <v>128</v>
      </c>
      <c r="E70" s="420"/>
      <c r="F70" s="442"/>
      <c r="G70" s="442"/>
      <c r="H70" s="442"/>
      <c r="I70" s="442"/>
      <c r="J70" s="442"/>
      <c r="K70" s="442"/>
      <c r="L70" s="442"/>
      <c r="M70" s="442"/>
      <c r="N70" s="420"/>
      <c r="O70" s="420"/>
      <c r="P70" s="420"/>
      <c r="Q70" s="420"/>
    </row>
    <row r="71" spans="1:17" s="418" customFormat="1" ht="62.25">
      <c r="A71" s="425" t="s">
        <v>756</v>
      </c>
      <c r="B71" s="428" t="s">
        <v>757</v>
      </c>
      <c r="C71" s="420"/>
      <c r="D71" s="431" t="s">
        <v>128</v>
      </c>
      <c r="E71" s="420"/>
      <c r="F71" s="442"/>
      <c r="G71" s="442"/>
      <c r="H71" s="442"/>
      <c r="I71" s="442"/>
      <c r="J71" s="442"/>
      <c r="K71" s="421" t="e">
        <f>ABS((K$74-K76)/K76)</f>
        <v>#DIV/0!</v>
      </c>
      <c r="L71" s="421" t="e">
        <f t="shared" ref="L71:M71" si="27">ABS((L$74-L76)/L76)</f>
        <v>#DIV/0!</v>
      </c>
      <c r="M71" s="421" t="e">
        <f t="shared" si="27"/>
        <v>#DIV/0!</v>
      </c>
      <c r="N71" s="420"/>
      <c r="O71" s="420"/>
      <c r="P71" s="420"/>
      <c r="Q71" s="420"/>
    </row>
    <row r="72" spans="1:17" s="418" customFormat="1" ht="74.650000000000006">
      <c r="A72" s="425" t="s">
        <v>758</v>
      </c>
      <c r="B72" s="428" t="s">
        <v>759</v>
      </c>
      <c r="C72" s="420"/>
      <c r="D72" s="431" t="s">
        <v>128</v>
      </c>
      <c r="E72" s="420"/>
      <c r="F72" s="442"/>
      <c r="G72" s="442"/>
      <c r="H72" s="442"/>
      <c r="I72" s="442"/>
      <c r="J72" s="421" t="e">
        <f>ABS((J$74-J76)/J76)</f>
        <v>#DIV/0!</v>
      </c>
      <c r="K72" s="442"/>
      <c r="L72" s="442"/>
      <c r="M72" s="442"/>
      <c r="N72" s="420"/>
      <c r="O72" s="420"/>
      <c r="P72" s="420"/>
      <c r="Q72" s="420"/>
    </row>
    <row r="73" spans="1:17" s="418" customFormat="1" ht="13.5"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</row>
    <row r="74" spans="1:17" s="418" customFormat="1" ht="13.5">
      <c r="A74" s="433" t="s">
        <v>746</v>
      </c>
      <c r="C74" s="420"/>
      <c r="D74" s="420"/>
      <c r="E74" s="420"/>
      <c r="F74" s="449"/>
      <c r="G74" s="449"/>
      <c r="H74" s="449"/>
      <c r="I74" s="449"/>
      <c r="J74" s="435">
        <f>PEAKA</f>
        <v>0</v>
      </c>
      <c r="K74" s="435">
        <f>PEAKA</f>
        <v>0</v>
      </c>
      <c r="L74" s="435">
        <f>PEAKA</f>
        <v>0</v>
      </c>
      <c r="M74" s="435">
        <f>PEAKA</f>
        <v>0</v>
      </c>
      <c r="N74" s="422" t="s">
        <v>747</v>
      </c>
      <c r="O74" s="420"/>
      <c r="P74" s="420"/>
      <c r="Q74" s="420"/>
    </row>
    <row r="75" spans="1:17" s="418" customFormat="1" ht="13.5">
      <c r="A75" s="433" t="s">
        <v>748</v>
      </c>
      <c r="C75" s="420"/>
      <c r="D75" s="420"/>
      <c r="E75" s="420"/>
      <c r="F75" s="449"/>
      <c r="G75" s="449"/>
      <c r="H75" s="449"/>
      <c r="I75" s="449"/>
      <c r="J75" s="450"/>
      <c r="K75" s="450"/>
      <c r="L75" s="450"/>
      <c r="M75" s="450"/>
      <c r="N75" s="422" t="s">
        <v>749</v>
      </c>
      <c r="O75" s="420"/>
      <c r="P75" s="420"/>
      <c r="Q75" s="420"/>
    </row>
    <row r="76" spans="1:17" s="418" customFormat="1" ht="13.5">
      <c r="A76" s="433" t="s">
        <v>750</v>
      </c>
      <c r="C76" s="420"/>
      <c r="D76" s="420"/>
      <c r="E76" s="420"/>
      <c r="F76" s="449"/>
      <c r="G76" s="449"/>
      <c r="H76" s="449"/>
      <c r="I76" s="449"/>
      <c r="J76" s="435">
        <f>PEAK3</f>
        <v>0</v>
      </c>
      <c r="K76" s="435">
        <f>PEAK3</f>
        <v>0</v>
      </c>
      <c r="L76" s="435">
        <f>PEAK3</f>
        <v>0</v>
      </c>
      <c r="M76" s="435">
        <f>PEAK3</f>
        <v>0</v>
      </c>
      <c r="N76" s="422" t="s">
        <v>751</v>
      </c>
      <c r="O76" s="420"/>
      <c r="P76" s="420"/>
      <c r="Q76" s="420"/>
    </row>
    <row r="77" spans="1:17" s="418" customFormat="1" ht="13.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</row>
    <row r="78" spans="1:17" s="418" customFormat="1" ht="13.5"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</row>
    <row r="79" spans="1:17" s="418" customFormat="1" ht="13.5">
      <c r="A79" s="430" t="s">
        <v>763</v>
      </c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</row>
    <row r="80" spans="1:17" s="418" customFormat="1" ht="25.15">
      <c r="A80" s="433" t="s">
        <v>760</v>
      </c>
      <c r="B80" s="416" t="s">
        <v>764</v>
      </c>
      <c r="C80" s="420"/>
      <c r="D80" s="440" t="s">
        <v>761</v>
      </c>
      <c r="E80" s="420"/>
      <c r="F80" s="442"/>
      <c r="G80" s="442"/>
      <c r="H80" s="442"/>
      <c r="I80" s="442"/>
      <c r="J80" s="442"/>
      <c r="K80" s="442"/>
      <c r="L80" s="442"/>
      <c r="M80" s="448">
        <f>+K85</f>
        <v>0</v>
      </c>
      <c r="N80" s="420"/>
      <c r="O80" s="420"/>
      <c r="P80" s="420"/>
      <c r="Q80" s="420"/>
    </row>
    <row r="81" spans="1:17" s="418" customFormat="1" ht="25.15">
      <c r="A81" s="433" t="s">
        <v>765</v>
      </c>
      <c r="B81" s="416" t="s">
        <v>766</v>
      </c>
      <c r="C81" s="420"/>
      <c r="D81" s="440" t="s">
        <v>761</v>
      </c>
      <c r="E81" s="420"/>
      <c r="F81" s="442"/>
      <c r="G81" s="442"/>
      <c r="H81" s="442"/>
      <c r="I81" s="442"/>
      <c r="J81" s="442"/>
      <c r="K81" s="442"/>
      <c r="L81" s="442"/>
      <c r="M81" s="447">
        <f>+K84</f>
        <v>0</v>
      </c>
      <c r="N81" s="420"/>
      <c r="O81" s="420"/>
      <c r="P81" s="420"/>
      <c r="Q81" s="420"/>
    </row>
    <row r="82" spans="1:17" s="418" customFormat="1" ht="14.25">
      <c r="B82" s="418" t="s">
        <v>720</v>
      </c>
      <c r="C82" s="420"/>
      <c r="D82" s="420"/>
      <c r="E82" s="420"/>
      <c r="F82" s="443"/>
      <c r="G82" s="443"/>
      <c r="H82" s="443"/>
      <c r="I82" s="443"/>
      <c r="J82" s="443"/>
      <c r="K82" s="443"/>
      <c r="L82" s="443"/>
      <c r="M82" s="417">
        <f>IF(M80&gt;=M81+0.2,1000000*((MIN(M80,M81+2)-M81-0.2)/1.8),(IF(M80&lt;M81-0.2,1000000*(MAX(M80,M81-2)-M81+0.2)/1.8,0)))</f>
        <v>0</v>
      </c>
      <c r="N82" s="422" t="s">
        <v>720</v>
      </c>
      <c r="O82" s="420"/>
      <c r="P82" s="420"/>
      <c r="Q82" s="420"/>
    </row>
    <row r="83" spans="1:17" s="418" customFormat="1" ht="14.25">
      <c r="A83" s="439"/>
      <c r="B83" s="416"/>
      <c r="C83" s="440"/>
      <c r="D83" s="416"/>
      <c r="E83" s="416"/>
      <c r="F83" s="434"/>
      <c r="G83" s="434"/>
      <c r="H83" s="434"/>
      <c r="I83" s="434"/>
      <c r="J83" s="434"/>
      <c r="K83" s="434"/>
      <c r="L83" s="434"/>
      <c r="M83" s="434"/>
      <c r="N83" s="420"/>
      <c r="O83" s="420"/>
      <c r="P83" s="420"/>
      <c r="Q83" s="420"/>
    </row>
    <row r="84" spans="1:17" s="418" customFormat="1" ht="25.15">
      <c r="A84" s="433" t="s">
        <v>765</v>
      </c>
      <c r="B84" s="416"/>
      <c r="C84" s="440"/>
      <c r="D84" s="416"/>
      <c r="E84" s="416"/>
      <c r="F84" s="442"/>
      <c r="G84" s="442"/>
      <c r="H84" s="442"/>
      <c r="I84" s="442"/>
      <c r="J84" s="442"/>
      <c r="K84" s="435">
        <f>+J85</f>
        <v>0</v>
      </c>
      <c r="L84" s="435">
        <f>ROUND((J85+K85)/2,3)</f>
        <v>0</v>
      </c>
      <c r="M84" s="435">
        <f>ROUND((K85+L85)/2,3)</f>
        <v>0</v>
      </c>
      <c r="N84" s="420"/>
      <c r="O84" s="420"/>
      <c r="P84" s="420"/>
      <c r="Q84" s="420"/>
    </row>
    <row r="85" spans="1:17" s="418" customFormat="1" ht="25.15">
      <c r="A85" s="433" t="s">
        <v>760</v>
      </c>
      <c r="B85" s="416"/>
      <c r="C85" s="440"/>
      <c r="D85" s="440" t="s">
        <v>761</v>
      </c>
      <c r="E85" s="416"/>
      <c r="F85" s="442"/>
      <c r="G85" s="442"/>
      <c r="H85" s="442"/>
      <c r="I85" s="442"/>
      <c r="J85" s="421">
        <f>DSRpq</f>
        <v>0</v>
      </c>
      <c r="K85" s="421">
        <f>DSRpq</f>
        <v>0</v>
      </c>
      <c r="L85" s="421">
        <f>DSRpq</f>
        <v>0</v>
      </c>
      <c r="M85" s="421">
        <f>DSRpq</f>
        <v>0</v>
      </c>
      <c r="N85" s="422" t="s">
        <v>762</v>
      </c>
      <c r="O85" s="420"/>
      <c r="P85" s="420"/>
      <c r="Q85" s="420"/>
    </row>
    <row r="86" spans="1:17" s="418" customFormat="1" ht="13.5"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</row>
    <row r="87" spans="1:17" ht="17.649999999999999">
      <c r="A87" s="408" t="s">
        <v>740</v>
      </c>
      <c r="C87" s="163"/>
      <c r="D87" s="163"/>
      <c r="E87" s="163"/>
      <c r="F87" s="410" t="s">
        <v>735</v>
      </c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1:17" ht="14.25">
      <c r="C88" s="163"/>
      <c r="D88" s="163"/>
      <c r="E88" s="163"/>
      <c r="F88" s="139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163"/>
      <c r="O88" s="163"/>
      <c r="P88" s="163"/>
      <c r="Q88" s="163"/>
    </row>
    <row r="89" spans="1:17" ht="37.5">
      <c r="A89" s="411" t="s">
        <v>738</v>
      </c>
      <c r="B89" s="361" t="s">
        <v>737</v>
      </c>
      <c r="C89" s="163"/>
      <c r="D89" s="409" t="s">
        <v>1</v>
      </c>
      <c r="E89" s="163"/>
      <c r="F89" s="442"/>
      <c r="G89" s="442"/>
      <c r="H89" s="442"/>
      <c r="I89" s="442"/>
      <c r="J89" s="442"/>
      <c r="K89" s="442"/>
      <c r="L89" s="421">
        <f t="shared" ref="L89:M89" si="28">+L98</f>
        <v>-0.3</v>
      </c>
      <c r="M89" s="421">
        <f t="shared" si="28"/>
        <v>-0.3</v>
      </c>
      <c r="N89" s="163"/>
      <c r="O89" s="163"/>
      <c r="P89" s="163"/>
      <c r="Q89" s="163"/>
    </row>
    <row r="90" spans="1:17" ht="37.5">
      <c r="A90" s="411" t="s">
        <v>739</v>
      </c>
      <c r="B90" s="361" t="s">
        <v>736</v>
      </c>
      <c r="C90" s="163"/>
      <c r="D90" s="409" t="s">
        <v>1</v>
      </c>
      <c r="E90" s="163"/>
      <c r="F90" s="442"/>
      <c r="G90" s="442"/>
      <c r="H90" s="442"/>
      <c r="I90" s="442"/>
      <c r="J90" s="421">
        <f>+J105</f>
        <v>-0.3</v>
      </c>
      <c r="K90" s="421">
        <f t="shared" ref="K90:M90" si="29">+K105</f>
        <v>-0.3</v>
      </c>
      <c r="L90" s="421">
        <f t="shared" si="29"/>
        <v>-0.3</v>
      </c>
      <c r="M90" s="421">
        <f t="shared" si="29"/>
        <v>-0.3</v>
      </c>
      <c r="N90" s="163"/>
      <c r="O90" s="163"/>
      <c r="P90" s="163"/>
      <c r="Q90" s="163"/>
    </row>
    <row r="91" spans="1:17" ht="13.5">
      <c r="B91" s="138" t="s">
        <v>721</v>
      </c>
      <c r="C91" s="163"/>
      <c r="D91" s="409" t="s">
        <v>1</v>
      </c>
      <c r="E91" s="163"/>
      <c r="F91" s="420"/>
      <c r="G91" s="420"/>
      <c r="H91" s="420"/>
      <c r="I91" s="420"/>
      <c r="J91" s="74">
        <f>SUM(J89:J90)</f>
        <v>-0.3</v>
      </c>
      <c r="K91" s="74">
        <f t="shared" ref="K91:M91" si="30">SUM(K89:K90)</f>
        <v>-0.3</v>
      </c>
      <c r="L91" s="74">
        <f t="shared" si="30"/>
        <v>-0.6</v>
      </c>
      <c r="M91" s="74">
        <f t="shared" si="30"/>
        <v>-0.6</v>
      </c>
      <c r="N91" s="266" t="s">
        <v>721</v>
      </c>
      <c r="O91" s="163"/>
      <c r="P91" s="163"/>
      <c r="Q91" s="163"/>
    </row>
    <row r="92" spans="1:17" ht="13.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1:17" s="418" customFormat="1" ht="25.15">
      <c r="A93" s="433" t="s">
        <v>767</v>
      </c>
      <c r="B93" s="433" t="s">
        <v>768</v>
      </c>
      <c r="C93" s="420"/>
      <c r="D93" s="440" t="s">
        <v>510</v>
      </c>
      <c r="E93" s="420"/>
      <c r="F93" s="442"/>
      <c r="G93" s="442"/>
      <c r="H93" s="442"/>
      <c r="I93" s="442"/>
      <c r="J93" s="421">
        <f>CfDS</f>
        <v>0</v>
      </c>
      <c r="K93" s="421">
        <f t="shared" ref="K93:M93" si="31">CfDS</f>
        <v>0</v>
      </c>
      <c r="L93" s="421">
        <f t="shared" si="31"/>
        <v>0</v>
      </c>
      <c r="M93" s="421">
        <f t="shared" si="31"/>
        <v>0</v>
      </c>
      <c r="N93" s="424" t="s">
        <v>768</v>
      </c>
      <c r="O93" s="420"/>
      <c r="P93" s="420"/>
      <c r="Q93" s="420"/>
    </row>
    <row r="94" spans="1:17" s="418" customFormat="1" ht="25.15">
      <c r="A94" s="433" t="s">
        <v>775</v>
      </c>
      <c r="B94" s="433" t="s">
        <v>776</v>
      </c>
      <c r="C94" s="420"/>
      <c r="D94" s="440" t="s">
        <v>510</v>
      </c>
      <c r="E94" s="420"/>
      <c r="F94" s="442"/>
      <c r="G94" s="442"/>
      <c r="H94" s="442"/>
      <c r="I94" s="490">
        <f>ROUND(IF(I95+$H$97&lt;I$95+1,I$95+1,I$95+$H$97),1)</f>
        <v>6</v>
      </c>
      <c r="J94" s="490">
        <f t="shared" ref="J94:M94" si="32">ROUND(IF(J95+$H$97&lt;J$95+1,J$95+1,J$95+$H$97),1)</f>
        <v>6</v>
      </c>
      <c r="K94" s="490">
        <f t="shared" si="32"/>
        <v>6</v>
      </c>
      <c r="L94" s="490">
        <f t="shared" si="32"/>
        <v>6</v>
      </c>
      <c r="M94" s="490">
        <f t="shared" si="32"/>
        <v>6</v>
      </c>
      <c r="N94" s="420"/>
      <c r="O94" s="420"/>
      <c r="P94" s="420"/>
      <c r="Q94" s="420"/>
    </row>
    <row r="95" spans="1:17" s="418" customFormat="1" ht="25.15">
      <c r="A95" s="433" t="s">
        <v>778</v>
      </c>
      <c r="B95" s="433" t="s">
        <v>777</v>
      </c>
      <c r="C95" s="420"/>
      <c r="D95" s="440" t="s">
        <v>510</v>
      </c>
      <c r="E95" s="420"/>
      <c r="F95" s="442"/>
      <c r="G95" s="442"/>
      <c r="H95" s="442"/>
      <c r="I95" s="490">
        <f>MAX(ROUND($H93,1),5)</f>
        <v>5</v>
      </c>
      <c r="J95" s="490">
        <f>MAX(ROUND($H93,1),5)</f>
        <v>5</v>
      </c>
      <c r="K95" s="490">
        <f t="shared" ref="K95:M95" si="33">MAX(ROUND($H93,1),5)</f>
        <v>5</v>
      </c>
      <c r="L95" s="490">
        <f t="shared" si="33"/>
        <v>5</v>
      </c>
      <c r="M95" s="490">
        <f t="shared" si="33"/>
        <v>5</v>
      </c>
      <c r="N95" s="420"/>
      <c r="O95" s="420"/>
      <c r="P95" s="420"/>
      <c r="Q95" s="420"/>
    </row>
    <row r="96" spans="1:17" s="418" customFormat="1" ht="37.5" customHeight="1">
      <c r="A96" s="433" t="s">
        <v>800</v>
      </c>
      <c r="B96" s="433" t="s">
        <v>779</v>
      </c>
      <c r="C96" s="420"/>
      <c r="D96" s="440" t="s">
        <v>510</v>
      </c>
      <c r="E96" s="420"/>
      <c r="F96" s="442"/>
      <c r="G96" s="442"/>
      <c r="H96" s="442"/>
      <c r="I96" s="490">
        <f>ROUND(IF(I95-$H$97&gt;I$95-1,I$95-1,I$95-$H$97),1)</f>
        <v>4</v>
      </c>
      <c r="J96" s="490">
        <f t="shared" ref="J96:M96" si="34">ROUND(IF(J95-$H$97&gt;J$95-1,J$95-1,J$95-$H$97),1)</f>
        <v>4</v>
      </c>
      <c r="K96" s="490">
        <f t="shared" si="34"/>
        <v>4</v>
      </c>
      <c r="L96" s="490">
        <f t="shared" si="34"/>
        <v>4</v>
      </c>
      <c r="M96" s="490">
        <f t="shared" si="34"/>
        <v>4</v>
      </c>
      <c r="N96" s="420"/>
      <c r="O96" s="420"/>
      <c r="P96" s="420"/>
      <c r="Q96" s="420"/>
    </row>
    <row r="97" spans="1:17" s="418" customFormat="1" ht="25.15">
      <c r="A97" s="433" t="s">
        <v>769</v>
      </c>
      <c r="B97" s="433" t="s">
        <v>770</v>
      </c>
      <c r="C97" s="420"/>
      <c r="D97" s="440" t="s">
        <v>510</v>
      </c>
      <c r="E97" s="420"/>
      <c r="F97" s="442"/>
      <c r="G97" s="442"/>
      <c r="H97" s="421">
        <f>CfDSD</f>
        <v>0</v>
      </c>
      <c r="I97" s="434"/>
      <c r="J97" s="434"/>
      <c r="K97" s="434"/>
      <c r="L97" s="434"/>
      <c r="M97" s="434"/>
      <c r="N97" s="424" t="s">
        <v>770</v>
      </c>
      <c r="O97" s="420"/>
      <c r="P97" s="420"/>
      <c r="Q97" s="420"/>
    </row>
    <row r="98" spans="1:17" s="418" customFormat="1" ht="28.5">
      <c r="A98" s="439" t="s">
        <v>780</v>
      </c>
      <c r="B98" s="439" t="s">
        <v>781</v>
      </c>
      <c r="C98" s="420"/>
      <c r="D98" s="441" t="s">
        <v>782</v>
      </c>
      <c r="E98" s="420"/>
      <c r="F98" s="420"/>
      <c r="G98" s="420"/>
      <c r="H98" s="420"/>
      <c r="I98" s="420"/>
      <c r="J98" s="415"/>
      <c r="K98" s="544"/>
      <c r="L98" s="417">
        <f t="shared" ref="L98:M98" si="35">IF(J93&gt;=L95,0.3*(MIN(J93,L94)-L95)/(L94-L95),-0.3*(L95-MAX(J93,L96))/(L95-L96))</f>
        <v>-0.3</v>
      </c>
      <c r="M98" s="417">
        <f t="shared" si="35"/>
        <v>-0.3</v>
      </c>
      <c r="N98" s="420"/>
      <c r="O98" s="420"/>
      <c r="P98" s="420"/>
      <c r="Q98" s="420"/>
    </row>
    <row r="99" spans="1:17" s="418" customFormat="1"/>
    <row r="100" spans="1:17" s="137" customFormat="1" ht="25.5">
      <c r="A100" s="464" t="s">
        <v>771</v>
      </c>
      <c r="B100" s="464" t="s">
        <v>772</v>
      </c>
      <c r="D100" s="465" t="s">
        <v>510</v>
      </c>
      <c r="E100" s="466"/>
      <c r="F100" s="467"/>
      <c r="G100" s="467"/>
      <c r="H100" s="491">
        <f t="shared" ref="H100:M100" si="36">CMS</f>
        <v>0</v>
      </c>
      <c r="I100" s="491">
        <f t="shared" si="36"/>
        <v>0</v>
      </c>
      <c r="J100" s="491">
        <f t="shared" si="36"/>
        <v>0</v>
      </c>
      <c r="K100" s="491">
        <f t="shared" si="36"/>
        <v>0</v>
      </c>
      <c r="L100" s="491">
        <f t="shared" si="36"/>
        <v>0</v>
      </c>
      <c r="M100" s="491">
        <f t="shared" si="36"/>
        <v>0</v>
      </c>
      <c r="N100" s="468" t="s">
        <v>772</v>
      </c>
    </row>
    <row r="101" spans="1:17" s="418" customFormat="1" ht="25.15">
      <c r="A101" s="433" t="s">
        <v>783</v>
      </c>
      <c r="B101" s="433" t="s">
        <v>784</v>
      </c>
      <c r="D101" s="440" t="s">
        <v>510</v>
      </c>
      <c r="E101" s="420"/>
      <c r="F101" s="442"/>
      <c r="G101" s="442"/>
      <c r="H101" s="442"/>
      <c r="I101" s="490">
        <f>ROUND(IF(I102+$H$104&lt;I$102+1,I$102+1,I$102+$H$104),1)</f>
        <v>6</v>
      </c>
      <c r="J101" s="490">
        <f t="shared" ref="J101:M101" si="37">ROUND(IF(J102+$H$104&lt;J$102+1,J$102+1,J$102+$H$104),1)</f>
        <v>6</v>
      </c>
      <c r="K101" s="490">
        <f t="shared" si="37"/>
        <v>6</v>
      </c>
      <c r="L101" s="490">
        <f t="shared" si="37"/>
        <v>6</v>
      </c>
      <c r="M101" s="490">
        <f t="shared" si="37"/>
        <v>6</v>
      </c>
      <c r="P101" s="469"/>
    </row>
    <row r="102" spans="1:17" s="137" customFormat="1" ht="25.5">
      <c r="A102" s="464" t="s">
        <v>787</v>
      </c>
      <c r="B102" s="464" t="s">
        <v>786</v>
      </c>
      <c r="D102" s="465" t="s">
        <v>510</v>
      </c>
      <c r="E102" s="466"/>
      <c r="F102" s="467"/>
      <c r="G102" s="467"/>
      <c r="H102" s="467"/>
      <c r="I102" s="491">
        <f>MAX(ROUND($H100,1),5)</f>
        <v>5</v>
      </c>
      <c r="J102" s="491">
        <f t="shared" ref="J102:M102" si="38">MAX(ROUND($H100,1),5)</f>
        <v>5</v>
      </c>
      <c r="K102" s="491">
        <f t="shared" si="38"/>
        <v>5</v>
      </c>
      <c r="L102" s="491">
        <f t="shared" si="38"/>
        <v>5</v>
      </c>
      <c r="M102" s="491">
        <f t="shared" si="38"/>
        <v>5</v>
      </c>
      <c r="P102" s="470"/>
    </row>
    <row r="103" spans="1:17" s="418" customFormat="1" ht="25.15">
      <c r="A103" s="433" t="s">
        <v>785</v>
      </c>
      <c r="B103" s="433" t="s">
        <v>788</v>
      </c>
      <c r="D103" s="440" t="s">
        <v>510</v>
      </c>
      <c r="E103" s="420"/>
      <c r="F103" s="442"/>
      <c r="G103" s="442"/>
      <c r="H103" s="442"/>
      <c r="I103" s="490">
        <f>ROUND(IF(I102-$H$104&gt;I$102-1,I$102-1,I$102-$H$104),1)</f>
        <v>4</v>
      </c>
      <c r="J103" s="490">
        <f t="shared" ref="J103:M103" si="39">ROUND(IF(J102-$H$104&gt;J$102-1,J$102-1,J$102-$H$104),1)</f>
        <v>4</v>
      </c>
      <c r="K103" s="490">
        <f t="shared" si="39"/>
        <v>4</v>
      </c>
      <c r="L103" s="490">
        <f t="shared" si="39"/>
        <v>4</v>
      </c>
      <c r="M103" s="490">
        <f t="shared" si="39"/>
        <v>4</v>
      </c>
      <c r="P103" s="469"/>
    </row>
    <row r="104" spans="1:17" s="418" customFormat="1" ht="25.15">
      <c r="A104" s="433" t="s">
        <v>773</v>
      </c>
      <c r="B104" s="433" t="s">
        <v>774</v>
      </c>
      <c r="D104" s="440" t="s">
        <v>510</v>
      </c>
      <c r="E104" s="420"/>
      <c r="F104" s="442"/>
      <c r="G104" s="442"/>
      <c r="H104" s="463">
        <f>CMSD</f>
        <v>0</v>
      </c>
      <c r="I104" s="434"/>
      <c r="J104" s="434"/>
      <c r="K104" s="434"/>
      <c r="L104" s="434"/>
      <c r="M104" s="434"/>
      <c r="N104" s="424" t="s">
        <v>774</v>
      </c>
      <c r="P104" s="469"/>
    </row>
    <row r="105" spans="1:17" s="418" customFormat="1" ht="28.5">
      <c r="A105" s="439" t="s">
        <v>789</v>
      </c>
      <c r="B105" s="439" t="s">
        <v>736</v>
      </c>
      <c r="D105" s="441" t="s">
        <v>782</v>
      </c>
      <c r="E105" s="420"/>
      <c r="F105" s="420"/>
      <c r="G105" s="420"/>
      <c r="H105" s="420"/>
      <c r="I105" s="420"/>
      <c r="J105" s="417">
        <f>IF(H100&gt;=J102,0.3*(MIN(H100,J101)-J102)/(J101-J102),-0.3*(J102-MAX(H100,J103))/(J102-J103))</f>
        <v>-0.3</v>
      </c>
      <c r="K105" s="417">
        <f t="shared" ref="K105:M105" si="40">IF(I100&gt;=K102,0.3*(MIN(I100,K101)-K102)/(K101-K102),-0.3*(K102-MAX(I100,K103))/(K102-K103))</f>
        <v>-0.3</v>
      </c>
      <c r="L105" s="417">
        <f t="shared" si="40"/>
        <v>-0.3</v>
      </c>
      <c r="M105" s="417">
        <f t="shared" si="40"/>
        <v>-0.3</v>
      </c>
    </row>
    <row r="106" spans="1:17">
      <c r="K106" s="418"/>
      <c r="L106" s="418"/>
      <c r="M106" s="418"/>
    </row>
    <row r="107" spans="1:17">
      <c r="K107" s="418"/>
      <c r="L107" s="418"/>
      <c r="M107" s="418"/>
    </row>
  </sheetData>
  <pageMargins left="0.23622047244094491" right="0.15748031496062992" top="0.43307086614173229" bottom="0.59055118110236227" header="0.19685039370078741" footer="0.23622047244094491"/>
  <pageSetup paperSize="8" orientation="landscape" r:id="rId1"/>
  <headerFooter>
    <oddFooter>&amp;C&amp;D&amp;R&amp;F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CC"/>
    <pageSetUpPr fitToPage="1"/>
  </sheetPr>
  <dimension ref="A1:AP220"/>
  <sheetViews>
    <sheetView showGridLines="0" zoomScale="85" zoomScaleNormal="85" workbookViewId="0">
      <pane xSplit="5" ySplit="10" topLeftCell="P81" activePane="bottomRight" state="frozenSplit"/>
      <selection pane="topRight"/>
      <selection pane="bottomLeft"/>
      <selection pane="bottomRight" activeCell="AF92" sqref="AF92"/>
    </sheetView>
  </sheetViews>
  <sheetFormatPr defaultColWidth="9" defaultRowHeight="12.4"/>
  <cols>
    <col min="1" max="1" width="35.1171875" style="138" customWidth="1"/>
    <col min="2" max="2" width="9" style="138"/>
    <col min="3" max="3" width="6.703125" style="138" customWidth="1"/>
    <col min="4" max="4" width="10.3515625" style="138" customWidth="1"/>
    <col min="5" max="5" width="8.46875" style="138" customWidth="1"/>
    <col min="6" max="7" width="14.3515625" style="138" bestFit="1" customWidth="1"/>
    <col min="8" max="8" width="2.17578125" style="138" customWidth="1"/>
    <col min="9" max="10" width="14.3515625" style="138" bestFit="1" customWidth="1"/>
    <col min="11" max="11" width="1.87890625" style="320" customWidth="1"/>
    <col min="12" max="13" width="14.3515625" style="138" bestFit="1" customWidth="1"/>
    <col min="14" max="14" width="2.17578125" style="138" customWidth="1"/>
    <col min="15" max="15" width="14.64453125" style="138" bestFit="1" customWidth="1"/>
    <col min="16" max="16" width="14.3515625" style="138" bestFit="1" customWidth="1"/>
    <col min="17" max="17" width="2.1171875" style="138" customWidth="1"/>
    <col min="18" max="18" width="16.64453125" style="138" bestFit="1" customWidth="1"/>
    <col min="19" max="19" width="14.3515625" style="138" bestFit="1" customWidth="1"/>
    <col min="20" max="20" width="1.87890625" style="138" customWidth="1"/>
    <col min="21" max="22" width="14.3515625" style="138" customWidth="1"/>
    <col min="23" max="23" width="2.46875" style="138" customWidth="1"/>
    <col min="24" max="25" width="14.3515625" style="138" customWidth="1"/>
    <col min="26" max="26" width="2.1171875" style="138" customWidth="1"/>
    <col min="27" max="28" width="14.3515625" style="138" customWidth="1"/>
    <col min="29" max="29" width="2.46875" style="138" customWidth="1"/>
    <col min="30" max="31" width="14.3515625" style="138" customWidth="1"/>
    <col min="32" max="16384" width="9" style="138"/>
  </cols>
  <sheetData>
    <row r="1" spans="1:42" ht="14.65">
      <c r="A1" s="158" t="s">
        <v>396</v>
      </c>
      <c r="B1" s="149"/>
      <c r="C1" s="149"/>
    </row>
    <row r="2" spans="1:42" ht="14.65">
      <c r="A2" s="158" t="str">
        <f>CompName</f>
        <v>National Grid Electricity Transmission Plc</v>
      </c>
      <c r="B2" s="149"/>
      <c r="C2" s="149"/>
    </row>
    <row r="3" spans="1:42">
      <c r="A3" s="160" t="str">
        <f>RegYr</f>
        <v>Regulatory Year ending 31 March 2019</v>
      </c>
      <c r="B3" s="149"/>
      <c r="C3" s="149"/>
    </row>
    <row r="4" spans="1:42">
      <c r="A4" s="177"/>
      <c r="B4" s="177"/>
      <c r="C4" s="177"/>
    </row>
    <row r="5" spans="1:42" ht="17.649999999999999">
      <c r="A5" s="178" t="s">
        <v>397</v>
      </c>
      <c r="L5" s="166"/>
      <c r="M5" s="166"/>
      <c r="O5" s="166"/>
      <c r="P5" s="166"/>
      <c r="R5" s="166"/>
      <c r="S5" s="166"/>
      <c r="U5" s="166"/>
      <c r="V5" s="166"/>
      <c r="X5" s="166"/>
      <c r="Y5" s="166"/>
      <c r="AA5" s="166"/>
      <c r="AB5" s="166"/>
      <c r="AD5" s="166"/>
      <c r="AE5" s="166"/>
    </row>
    <row r="7" spans="1:42" ht="14.25">
      <c r="I7" s="139">
        <v>2014</v>
      </c>
      <c r="K7" s="138"/>
      <c r="L7" s="139">
        <v>2015</v>
      </c>
      <c r="O7" s="139">
        <v>2016</v>
      </c>
      <c r="R7" s="139">
        <v>2017</v>
      </c>
      <c r="U7" s="139">
        <v>2018</v>
      </c>
      <c r="X7" s="139">
        <v>2019</v>
      </c>
      <c r="AA7" s="139">
        <v>2020</v>
      </c>
      <c r="AD7" s="139">
        <v>2021</v>
      </c>
    </row>
    <row r="8" spans="1:42">
      <c r="A8" s="138" t="s">
        <v>590</v>
      </c>
      <c r="I8" s="321">
        <f>I14+G14-F14</f>
        <v>1.3337284</v>
      </c>
      <c r="L8" s="321">
        <f>L14+J14-I14</f>
        <v>1.381894</v>
      </c>
      <c r="O8" s="321">
        <f>O14+M14-L14</f>
        <v>1.4123896784255876</v>
      </c>
      <c r="R8" s="321">
        <f>R14+P14-O14</f>
        <v>1.3945849081619011</v>
      </c>
      <c r="U8" s="321">
        <f>U14+S14-R14</f>
        <v>2.8819531490267654</v>
      </c>
      <c r="X8" s="321">
        <f>X14+V14-U14</f>
        <v>1.5069866556206635</v>
      </c>
      <c r="AA8" s="321">
        <f>AA14+Y14-X14</f>
        <v>1.5652028691194837</v>
      </c>
      <c r="AD8" s="321">
        <f>AD14+AB14-AA14</f>
        <v>1.4973607763071726</v>
      </c>
    </row>
    <row r="12" spans="1:42" s="418" customFormat="1" ht="14.25">
      <c r="A12" s="322"/>
      <c r="B12" s="323"/>
      <c r="C12" s="323"/>
      <c r="D12" s="323"/>
      <c r="E12" s="323"/>
      <c r="F12" s="579" t="s">
        <v>801</v>
      </c>
      <c r="G12" s="579"/>
      <c r="H12" s="326"/>
      <c r="I12" s="577" t="s">
        <v>592</v>
      </c>
      <c r="J12" s="577"/>
      <c r="K12" s="325"/>
      <c r="L12" s="577" t="s">
        <v>593</v>
      </c>
      <c r="M12" s="577"/>
      <c r="O12" s="577" t="s">
        <v>594</v>
      </c>
      <c r="P12" s="577"/>
      <c r="R12" s="577" t="s">
        <v>595</v>
      </c>
      <c r="S12" s="577"/>
      <c r="U12" s="577" t="s">
        <v>596</v>
      </c>
      <c r="V12" s="577"/>
      <c r="X12" s="577" t="s">
        <v>597</v>
      </c>
      <c r="Y12" s="577"/>
      <c r="AA12" s="577" t="s">
        <v>598</v>
      </c>
      <c r="AB12" s="577"/>
      <c r="AD12" s="577" t="s">
        <v>599</v>
      </c>
      <c r="AE12" s="577"/>
    </row>
    <row r="13" spans="1:42" s="418" customFormat="1" ht="14.25">
      <c r="A13" s="323"/>
      <c r="B13" s="323"/>
      <c r="C13" s="323"/>
      <c r="D13" s="323"/>
      <c r="E13" s="323"/>
      <c r="F13" s="139" t="s">
        <v>600</v>
      </c>
      <c r="G13" s="139" t="s">
        <v>601</v>
      </c>
      <c r="I13" s="139" t="s">
        <v>601</v>
      </c>
      <c r="J13" s="139" t="s">
        <v>602</v>
      </c>
      <c r="K13" s="327"/>
      <c r="L13" s="139" t="s">
        <v>602</v>
      </c>
      <c r="M13" s="139" t="s">
        <v>603</v>
      </c>
      <c r="O13" s="139" t="s">
        <v>603</v>
      </c>
      <c r="P13" s="139" t="s">
        <v>604</v>
      </c>
      <c r="R13" s="139" t="s">
        <v>604</v>
      </c>
      <c r="S13" s="139" t="s">
        <v>605</v>
      </c>
      <c r="U13" s="139" t="s">
        <v>605</v>
      </c>
      <c r="V13" s="139" t="s">
        <v>606</v>
      </c>
      <c r="X13" s="139" t="s">
        <v>606</v>
      </c>
      <c r="Y13" s="139" t="s">
        <v>607</v>
      </c>
      <c r="AA13" s="139" t="s">
        <v>607</v>
      </c>
      <c r="AB13" s="139" t="s">
        <v>608</v>
      </c>
      <c r="AD13" s="139" t="s">
        <v>608</v>
      </c>
      <c r="AE13" s="139" t="s">
        <v>609</v>
      </c>
    </row>
    <row r="14" spans="1:42" s="514" customFormat="1">
      <c r="A14" s="508" t="s">
        <v>407</v>
      </c>
      <c r="B14" s="508"/>
      <c r="C14" s="508"/>
      <c r="D14" s="508" t="s">
        <v>408</v>
      </c>
      <c r="E14" s="514" t="s">
        <v>1</v>
      </c>
      <c r="F14" s="334">
        <f>F36</f>
        <v>1.3009299200000002</v>
      </c>
      <c r="G14" s="334">
        <f>G36</f>
        <v>1.3009299200000002</v>
      </c>
      <c r="I14" s="334">
        <f>I36</f>
        <v>1.3337284</v>
      </c>
      <c r="J14" s="334">
        <f>J36</f>
        <v>1.3337284</v>
      </c>
      <c r="L14" s="334">
        <f>L36</f>
        <v>1.3818940000000002</v>
      </c>
      <c r="M14" s="334">
        <f>M36</f>
        <v>1.3818940000000002</v>
      </c>
      <c r="O14" s="334">
        <f>O36</f>
        <v>1.4123896784255876</v>
      </c>
      <c r="P14" s="334">
        <f>P36</f>
        <v>1.4123896784255876</v>
      </c>
      <c r="R14" s="334">
        <f>R36</f>
        <v>1.3945849081619011</v>
      </c>
      <c r="S14" s="334">
        <f>S36</f>
        <v>1.3945849081619011</v>
      </c>
      <c r="U14" s="334">
        <f>U52</f>
        <v>2.8819531490267658</v>
      </c>
      <c r="V14" s="334">
        <f>V52</f>
        <v>2.8819531490267658</v>
      </c>
      <c r="X14" s="334">
        <f>X65</f>
        <v>1.5069866556206635</v>
      </c>
      <c r="Y14" s="334">
        <f>Y65</f>
        <v>1.5069866556206635</v>
      </c>
      <c r="AA14" s="334">
        <f t="shared" ref="AA14:AE14" si="0">AA65</f>
        <v>1.5652028691194839</v>
      </c>
      <c r="AB14" s="334">
        <f t="shared" si="0"/>
        <v>1.5652028691194839</v>
      </c>
      <c r="AD14" s="334">
        <f t="shared" si="0"/>
        <v>1.4973607763071726</v>
      </c>
      <c r="AE14" s="334">
        <f t="shared" si="0"/>
        <v>1.4973607763071726</v>
      </c>
    </row>
    <row r="15" spans="1:42" s="185" customFormat="1">
      <c r="A15" s="508"/>
      <c r="B15" s="333"/>
      <c r="C15" s="333"/>
      <c r="D15" s="333"/>
      <c r="F15" s="513"/>
      <c r="G15" s="513"/>
      <c r="H15" s="514"/>
      <c r="I15" s="513"/>
      <c r="J15" s="493"/>
      <c r="K15" s="493"/>
      <c r="L15" s="513"/>
      <c r="M15" s="513"/>
      <c r="N15" s="514"/>
      <c r="O15" s="513"/>
      <c r="P15" s="513"/>
      <c r="Q15" s="514"/>
      <c r="R15" s="513"/>
      <c r="S15" s="513"/>
      <c r="T15" s="514"/>
      <c r="U15" s="513"/>
      <c r="V15" s="513"/>
      <c r="W15" s="514"/>
      <c r="X15" s="513"/>
      <c r="Y15" s="513"/>
      <c r="Z15" s="514"/>
      <c r="AA15" s="513"/>
      <c r="AB15" s="513"/>
      <c r="AC15" s="514"/>
      <c r="AD15" s="513"/>
      <c r="AE15" s="513"/>
      <c r="AF15" s="514"/>
      <c r="AG15" s="514"/>
      <c r="AH15" s="514"/>
      <c r="AI15" s="514"/>
      <c r="AJ15" s="514"/>
      <c r="AK15" s="514"/>
      <c r="AL15" s="514"/>
      <c r="AM15" s="514"/>
      <c r="AN15" s="514"/>
      <c r="AO15" s="514"/>
      <c r="AP15" s="514"/>
    </row>
    <row r="16" spans="1:42" s="185" customFormat="1">
      <c r="A16" s="508"/>
      <c r="B16" s="333"/>
      <c r="C16" s="333"/>
      <c r="D16" s="333"/>
      <c r="F16" s="513"/>
      <c r="G16" s="513"/>
      <c r="H16" s="514"/>
      <c r="I16" s="513"/>
      <c r="J16" s="493"/>
      <c r="K16" s="493"/>
      <c r="L16" s="513"/>
      <c r="M16" s="513"/>
      <c r="N16" s="514"/>
      <c r="O16" s="513"/>
      <c r="P16" s="513"/>
      <c r="Q16" s="514"/>
      <c r="R16" s="513"/>
      <c r="S16" s="513"/>
      <c r="T16" s="514"/>
      <c r="U16" s="513"/>
      <c r="V16" s="513"/>
      <c r="W16" s="514"/>
      <c r="X16" s="513"/>
      <c r="Y16" s="513"/>
      <c r="Z16" s="514"/>
      <c r="AA16" s="513"/>
      <c r="AB16" s="513"/>
      <c r="AC16" s="514"/>
      <c r="AD16" s="513"/>
      <c r="AE16" s="513"/>
      <c r="AF16" s="514"/>
      <c r="AG16" s="514"/>
      <c r="AH16" s="514"/>
      <c r="AI16" s="514"/>
      <c r="AJ16" s="514"/>
      <c r="AK16" s="514"/>
      <c r="AL16" s="514"/>
      <c r="AM16" s="514"/>
      <c r="AN16" s="514"/>
      <c r="AO16" s="514"/>
      <c r="AP16" s="514"/>
    </row>
    <row r="17" spans="1:33" ht="13.9">
      <c r="A17" s="322" t="s">
        <v>591</v>
      </c>
      <c r="B17" s="323"/>
      <c r="C17" s="323"/>
      <c r="D17" s="323"/>
      <c r="E17" s="323"/>
      <c r="H17" s="323"/>
    </row>
    <row r="18" spans="1:33" ht="14.25">
      <c r="A18" s="324" t="s">
        <v>570</v>
      </c>
      <c r="B18" s="323"/>
      <c r="C18" s="323"/>
      <c r="D18" s="323"/>
      <c r="E18" s="323"/>
      <c r="F18" s="263"/>
      <c r="G18" s="263"/>
      <c r="H18" s="323"/>
      <c r="I18" s="263"/>
      <c r="J18" s="263"/>
      <c r="K18" s="325"/>
      <c r="L18" s="263"/>
      <c r="M18" s="263"/>
      <c r="O18" s="263"/>
      <c r="P18" s="473"/>
      <c r="R18" s="263"/>
      <c r="S18" s="263"/>
      <c r="U18" s="263"/>
      <c r="V18" s="263"/>
      <c r="X18" s="263"/>
      <c r="Y18" s="263"/>
      <c r="AA18" s="263"/>
      <c r="AB18" s="263"/>
      <c r="AD18" s="263"/>
      <c r="AE18" s="263"/>
    </row>
    <row r="19" spans="1:33" s="418" customFormat="1" ht="14.25">
      <c r="A19" s="324"/>
      <c r="B19" s="323"/>
      <c r="C19" s="323"/>
      <c r="D19" s="323"/>
      <c r="E19" s="323"/>
      <c r="F19" s="263"/>
      <c r="G19" s="263"/>
      <c r="H19" s="323"/>
      <c r="I19" s="263"/>
      <c r="J19" s="263"/>
      <c r="K19" s="325"/>
      <c r="L19" s="263"/>
      <c r="M19" s="263"/>
      <c r="O19" s="263"/>
      <c r="P19" s="473"/>
      <c r="R19" s="263"/>
      <c r="S19" s="263"/>
      <c r="U19" s="263"/>
      <c r="V19" s="263"/>
      <c r="X19" s="263"/>
      <c r="Y19" s="263"/>
      <c r="AA19" s="263"/>
      <c r="AB19" s="263"/>
      <c r="AD19" s="263"/>
      <c r="AE19" s="263"/>
    </row>
    <row r="20" spans="1:33" s="418" customFormat="1" ht="14.25">
      <c r="A20" s="522" t="s">
        <v>874</v>
      </c>
      <c r="B20" s="523"/>
      <c r="C20" s="523"/>
      <c r="D20" s="523"/>
      <c r="E20" s="523"/>
      <c r="F20" s="263"/>
      <c r="G20" s="263"/>
      <c r="H20" s="323"/>
      <c r="I20" s="263"/>
      <c r="J20" s="263"/>
      <c r="K20" s="325"/>
      <c r="L20" s="263"/>
      <c r="M20" s="263"/>
      <c r="O20" s="263"/>
      <c r="P20" s="473"/>
      <c r="R20" s="263"/>
      <c r="S20" s="263"/>
      <c r="U20" s="263"/>
      <c r="V20" s="263"/>
      <c r="X20" s="263"/>
      <c r="Y20" s="263"/>
      <c r="AA20" s="263"/>
      <c r="AB20" s="263"/>
      <c r="AD20" s="263"/>
      <c r="AE20" s="263"/>
    </row>
    <row r="21" spans="1:33" s="418" customFormat="1" ht="14.25">
      <c r="A21" s="499"/>
      <c r="B21" s="523"/>
      <c r="C21" s="523"/>
      <c r="D21" s="523"/>
      <c r="E21" s="523"/>
      <c r="F21" s="263"/>
      <c r="G21" s="263"/>
      <c r="H21" s="323"/>
      <c r="I21" s="263"/>
      <c r="J21" s="263"/>
      <c r="K21" s="325"/>
      <c r="L21" s="263"/>
      <c r="M21" s="263"/>
      <c r="O21" s="263"/>
      <c r="P21" s="473"/>
      <c r="R21" s="263"/>
      <c r="S21" s="263"/>
      <c r="U21" s="263"/>
      <c r="V21" s="263"/>
      <c r="X21" s="263"/>
      <c r="Y21" s="263"/>
      <c r="AA21" s="263"/>
      <c r="AB21" s="263"/>
      <c r="AD21" s="263"/>
      <c r="AE21" s="263"/>
    </row>
    <row r="22" spans="1:33" s="418" customFormat="1" ht="14.25">
      <c r="A22" s="499"/>
      <c r="B22" s="523"/>
      <c r="C22" s="523"/>
      <c r="D22" s="523"/>
      <c r="E22" s="523"/>
      <c r="F22" s="579" t="s">
        <v>801</v>
      </c>
      <c r="G22" s="579"/>
      <c r="H22" s="326"/>
      <c r="I22" s="577" t="s">
        <v>592</v>
      </c>
      <c r="J22" s="577"/>
      <c r="K22" s="325"/>
      <c r="L22" s="577" t="s">
        <v>593</v>
      </c>
      <c r="M22" s="577"/>
      <c r="O22" s="577" t="s">
        <v>594</v>
      </c>
      <c r="P22" s="577"/>
      <c r="R22" s="577" t="s">
        <v>595</v>
      </c>
      <c r="S22" s="577"/>
      <c r="U22" s="576"/>
      <c r="V22" s="576"/>
      <c r="W22" s="320"/>
      <c r="X22" s="576"/>
      <c r="Y22" s="576"/>
      <c r="Z22" s="320"/>
      <c r="AA22" s="576"/>
      <c r="AB22" s="576"/>
      <c r="AC22" s="320"/>
      <c r="AD22" s="576"/>
      <c r="AE22" s="576"/>
      <c r="AF22" s="320"/>
    </row>
    <row r="23" spans="1:33" s="418" customFormat="1" ht="14.25">
      <c r="A23" s="499"/>
      <c r="B23" s="523"/>
      <c r="C23" s="523"/>
      <c r="D23" s="523"/>
      <c r="E23" s="523"/>
      <c r="F23" s="139" t="s">
        <v>600</v>
      </c>
      <c r="G23" s="139" t="s">
        <v>601</v>
      </c>
      <c r="I23" s="139" t="s">
        <v>601</v>
      </c>
      <c r="J23" s="139" t="s">
        <v>602</v>
      </c>
      <c r="K23" s="327"/>
      <c r="L23" s="139" t="s">
        <v>602</v>
      </c>
      <c r="M23" s="139" t="s">
        <v>603</v>
      </c>
      <c r="O23" s="139" t="s">
        <v>603</v>
      </c>
      <c r="P23" s="139" t="s">
        <v>604</v>
      </c>
      <c r="R23" s="139" t="s">
        <v>604</v>
      </c>
      <c r="S23" s="139" t="s">
        <v>605</v>
      </c>
      <c r="U23" s="320"/>
    </row>
    <row r="24" spans="1:33" s="418" customFormat="1">
      <c r="A24" s="492" t="s">
        <v>610</v>
      </c>
      <c r="B24" s="492"/>
      <c r="C24" s="492"/>
      <c r="D24" s="492" t="s">
        <v>398</v>
      </c>
      <c r="E24" s="267" t="s">
        <v>1</v>
      </c>
      <c r="F24" s="427"/>
      <c r="G24" s="427"/>
      <c r="H24" s="419"/>
      <c r="I24" s="427"/>
      <c r="J24" s="427"/>
      <c r="K24" s="330"/>
      <c r="L24" s="427"/>
      <c r="M24" s="427"/>
      <c r="O24" s="427"/>
      <c r="P24" s="427"/>
      <c r="R24" s="427"/>
      <c r="S24" s="516"/>
      <c r="U24" s="320"/>
    </row>
    <row r="25" spans="1:33" s="418" customFormat="1">
      <c r="A25" s="492" t="s">
        <v>399</v>
      </c>
      <c r="B25" s="492"/>
      <c r="C25" s="492"/>
      <c r="D25" s="492" t="s">
        <v>400</v>
      </c>
      <c r="E25" s="267" t="s">
        <v>1</v>
      </c>
      <c r="F25" s="427"/>
      <c r="G25" s="427"/>
      <c r="H25" s="419"/>
      <c r="I25" s="427"/>
      <c r="J25" s="427"/>
      <c r="K25" s="330"/>
      <c r="L25" s="427"/>
      <c r="M25" s="427"/>
      <c r="O25" s="427"/>
      <c r="P25" s="427"/>
      <c r="R25" s="427"/>
      <c r="S25" s="427"/>
      <c r="U25" s="320"/>
    </row>
    <row r="26" spans="1:33" s="418" customFormat="1">
      <c r="A26" s="492" t="s">
        <v>611</v>
      </c>
      <c r="B26" s="492"/>
      <c r="C26" s="492"/>
      <c r="D26" s="492"/>
      <c r="E26" s="267" t="s">
        <v>1</v>
      </c>
      <c r="F26" s="427"/>
      <c r="G26" s="427"/>
      <c r="H26" s="419"/>
      <c r="I26" s="427"/>
      <c r="J26" s="427"/>
      <c r="K26" s="331"/>
      <c r="L26" s="427"/>
      <c r="M26" s="427"/>
      <c r="O26" s="427"/>
      <c r="P26" s="455"/>
      <c r="R26" s="456"/>
      <c r="S26" s="427"/>
      <c r="U26" s="320"/>
    </row>
    <row r="27" spans="1:33" s="418" customFormat="1">
      <c r="A27" s="492" t="s">
        <v>401</v>
      </c>
      <c r="B27" s="492"/>
      <c r="C27" s="492"/>
      <c r="D27" s="492" t="s">
        <v>742</v>
      </c>
      <c r="E27" s="267" t="s">
        <v>1</v>
      </c>
      <c r="F27" s="332">
        <f>SUM(F141:F151)</f>
        <v>0</v>
      </c>
      <c r="G27" s="332">
        <f>F27</f>
        <v>0</v>
      </c>
      <c r="H27" s="419"/>
      <c r="I27" s="332">
        <f>SUM(I141:I151)</f>
        <v>0</v>
      </c>
      <c r="J27" s="332">
        <f>I27</f>
        <v>0</v>
      </c>
      <c r="K27" s="331"/>
      <c r="L27" s="332">
        <f>SUM(L141:L151)</f>
        <v>0</v>
      </c>
      <c r="M27" s="332">
        <f>L27</f>
        <v>0</v>
      </c>
      <c r="O27" s="332">
        <f>SUM(O141:O151)</f>
        <v>0</v>
      </c>
      <c r="P27" s="332">
        <f>O27</f>
        <v>0</v>
      </c>
      <c r="R27" s="332">
        <f>SUM(R141:R151)</f>
        <v>0</v>
      </c>
      <c r="S27" s="332">
        <f>R27</f>
        <v>0</v>
      </c>
      <c r="U27" s="320"/>
    </row>
    <row r="28" spans="1:33" s="419" customFormat="1">
      <c r="A28" s="492" t="s">
        <v>403</v>
      </c>
      <c r="B28" s="492"/>
      <c r="C28" s="492"/>
      <c r="D28" s="492" t="s">
        <v>404</v>
      </c>
      <c r="E28" s="267" t="s">
        <v>1</v>
      </c>
      <c r="F28" s="332">
        <f>F105</f>
        <v>0</v>
      </c>
      <c r="G28" s="332">
        <f>G105</f>
        <v>0</v>
      </c>
      <c r="I28" s="332">
        <f>I105</f>
        <v>0</v>
      </c>
      <c r="J28" s="332">
        <f>J105</f>
        <v>0</v>
      </c>
      <c r="L28" s="332">
        <f>L105</f>
        <v>0</v>
      </c>
      <c r="M28" s="332">
        <f>M105</f>
        <v>0</v>
      </c>
      <c r="O28" s="332">
        <f>O105</f>
        <v>0</v>
      </c>
      <c r="P28" s="332">
        <f>P105</f>
        <v>0</v>
      </c>
      <c r="R28" s="332">
        <f>R105</f>
        <v>0</v>
      </c>
      <c r="S28" s="332">
        <f>S105</f>
        <v>0</v>
      </c>
      <c r="U28" s="336"/>
    </row>
    <row r="29" spans="1:33" s="419" customFormat="1">
      <c r="A29" s="492" t="s">
        <v>405</v>
      </c>
      <c r="B29" s="492"/>
      <c r="C29" s="492"/>
      <c r="D29" s="492" t="s">
        <v>406</v>
      </c>
      <c r="E29" s="267" t="s">
        <v>1</v>
      </c>
      <c r="F29" s="332">
        <f>F81</f>
        <v>0</v>
      </c>
      <c r="G29" s="332">
        <f>G81</f>
        <v>0</v>
      </c>
      <c r="I29" s="332">
        <f>I81</f>
        <v>0</v>
      </c>
      <c r="J29" s="332">
        <f>J81</f>
        <v>0</v>
      </c>
      <c r="L29" s="332">
        <f>L81</f>
        <v>0</v>
      </c>
      <c r="M29" s="332">
        <f>M81</f>
        <v>0</v>
      </c>
      <c r="O29" s="332">
        <f>O81</f>
        <v>0</v>
      </c>
      <c r="P29" s="332">
        <f>P81</f>
        <v>0</v>
      </c>
      <c r="R29" s="332">
        <f>R81</f>
        <v>0</v>
      </c>
      <c r="S29" s="332">
        <f>S81</f>
        <v>0</v>
      </c>
      <c r="U29" s="336"/>
    </row>
    <row r="30" spans="1:33" s="419" customFormat="1">
      <c r="A30" s="492" t="s">
        <v>867</v>
      </c>
      <c r="B30" s="492"/>
      <c r="C30" s="492"/>
      <c r="D30" s="492" t="s">
        <v>868</v>
      </c>
      <c r="E30" s="267" t="s">
        <v>1</v>
      </c>
      <c r="F30" s="427"/>
      <c r="G30" s="427"/>
      <c r="I30" s="427"/>
      <c r="J30" s="427"/>
      <c r="K30" s="330"/>
      <c r="L30" s="427"/>
      <c r="M30" s="427"/>
      <c r="O30" s="427"/>
      <c r="P30" s="427"/>
      <c r="R30" s="455"/>
      <c r="S30" s="427"/>
      <c r="U30" s="336"/>
      <c r="AG30" s="267"/>
    </row>
    <row r="31" spans="1:33" s="419" customFormat="1">
      <c r="A31" s="492" t="s">
        <v>869</v>
      </c>
      <c r="B31" s="492"/>
      <c r="C31" s="492"/>
      <c r="D31" s="492" t="s">
        <v>870</v>
      </c>
      <c r="E31" s="267" t="s">
        <v>1</v>
      </c>
      <c r="F31" s="188">
        <v>0</v>
      </c>
      <c r="G31" s="188">
        <v>0</v>
      </c>
      <c r="I31" s="188">
        <v>0</v>
      </c>
      <c r="J31" s="188">
        <v>0</v>
      </c>
      <c r="K31" s="330"/>
      <c r="L31" s="188">
        <v>0</v>
      </c>
      <c r="M31" s="188">
        <v>0</v>
      </c>
      <c r="O31" s="188">
        <v>0</v>
      </c>
      <c r="P31" s="188">
        <v>0</v>
      </c>
      <c r="R31" s="517">
        <v>0</v>
      </c>
      <c r="S31" s="188">
        <v>0</v>
      </c>
      <c r="U31" s="336"/>
      <c r="AG31" s="267"/>
    </row>
    <row r="32" spans="1:33" s="419" customFormat="1">
      <c r="A32" s="492" t="s">
        <v>871</v>
      </c>
      <c r="B32" s="492"/>
      <c r="C32" s="492"/>
      <c r="D32" s="492" t="s">
        <v>872</v>
      </c>
      <c r="E32" s="267" t="s">
        <v>1</v>
      </c>
      <c r="F32" s="332">
        <f>F107</f>
        <v>0</v>
      </c>
      <c r="G32" s="332">
        <f>G107</f>
        <v>0</v>
      </c>
      <c r="I32" s="332">
        <f>I107</f>
        <v>0</v>
      </c>
      <c r="J32" s="332">
        <f>J107</f>
        <v>0</v>
      </c>
      <c r="L32" s="332">
        <f>L107</f>
        <v>0</v>
      </c>
      <c r="M32" s="332">
        <f>M107</f>
        <v>0</v>
      </c>
      <c r="O32" s="332">
        <f>O107</f>
        <v>0</v>
      </c>
      <c r="P32" s="332">
        <f>P107</f>
        <v>0</v>
      </c>
      <c r="R32" s="332">
        <f>R107</f>
        <v>0</v>
      </c>
      <c r="S32" s="332">
        <f>S107</f>
        <v>0</v>
      </c>
      <c r="U32" s="336"/>
      <c r="AG32" s="267"/>
    </row>
    <row r="33" spans="1:33" s="419" customFormat="1">
      <c r="A33" s="492" t="s">
        <v>492</v>
      </c>
      <c r="B33" s="492"/>
      <c r="C33" s="267"/>
      <c r="D33" s="492" t="s">
        <v>389</v>
      </c>
      <c r="E33" s="267" t="s">
        <v>1</v>
      </c>
      <c r="F33" s="332">
        <f>F218</f>
        <v>1.3009299200000002</v>
      </c>
      <c r="G33" s="332">
        <f>F33</f>
        <v>1.3009299200000002</v>
      </c>
      <c r="I33" s="332">
        <f>I218</f>
        <v>1.3337284</v>
      </c>
      <c r="J33" s="332">
        <f>I33</f>
        <v>1.3337284</v>
      </c>
      <c r="K33" s="331"/>
      <c r="L33" s="332">
        <f>L218</f>
        <v>1.3818940000000002</v>
      </c>
      <c r="M33" s="332">
        <f>L33</f>
        <v>1.3818940000000002</v>
      </c>
      <c r="O33" s="332">
        <f>O218</f>
        <v>1.4123896784255876</v>
      </c>
      <c r="P33" s="332">
        <f>O33</f>
        <v>1.4123896784255876</v>
      </c>
      <c r="R33" s="332">
        <f>R218</f>
        <v>1.3945849081619011</v>
      </c>
      <c r="S33" s="332">
        <f>R33</f>
        <v>1.3945849081619011</v>
      </c>
      <c r="U33" s="340"/>
      <c r="V33" s="340"/>
      <c r="W33" s="336"/>
      <c r="X33" s="340"/>
      <c r="Y33" s="340"/>
      <c r="Z33" s="336"/>
      <c r="AA33" s="340"/>
      <c r="AB33" s="340"/>
      <c r="AC33" s="336"/>
      <c r="AD33" s="340"/>
      <c r="AE33" s="340"/>
      <c r="AF33" s="336"/>
      <c r="AG33" s="267"/>
    </row>
    <row r="34" spans="1:33" s="419" customFormat="1">
      <c r="A34" s="492" t="s">
        <v>873</v>
      </c>
      <c r="B34" s="492"/>
      <c r="C34" s="492"/>
      <c r="D34" s="492" t="s">
        <v>491</v>
      </c>
      <c r="E34" s="267" t="s">
        <v>1</v>
      </c>
      <c r="F34" s="518"/>
      <c r="G34" s="332">
        <f>G189</f>
        <v>0</v>
      </c>
      <c r="I34" s="332">
        <f t="shared" ref="I34:S34" si="1">I189</f>
        <v>0</v>
      </c>
      <c r="J34" s="332">
        <f t="shared" si="1"/>
        <v>0</v>
      </c>
      <c r="K34" s="330"/>
      <c r="L34" s="332">
        <f t="shared" si="1"/>
        <v>0</v>
      </c>
      <c r="M34" s="332">
        <f t="shared" si="1"/>
        <v>0</v>
      </c>
      <c r="N34" s="330"/>
      <c r="O34" s="332">
        <f t="shared" si="1"/>
        <v>0</v>
      </c>
      <c r="P34" s="332">
        <f t="shared" si="1"/>
        <v>0</v>
      </c>
      <c r="Q34" s="330"/>
      <c r="R34" s="332">
        <f t="shared" si="1"/>
        <v>0</v>
      </c>
      <c r="S34" s="332">
        <f t="shared" si="1"/>
        <v>0</v>
      </c>
      <c r="T34" s="527"/>
      <c r="U34" s="340"/>
      <c r="V34" s="340"/>
      <c r="W34" s="336"/>
      <c r="X34" s="340"/>
      <c r="Y34" s="340"/>
      <c r="Z34" s="336"/>
      <c r="AA34" s="340"/>
      <c r="AB34" s="340"/>
      <c r="AC34" s="336"/>
      <c r="AD34" s="340"/>
      <c r="AE34" s="340"/>
      <c r="AF34" s="336"/>
      <c r="AG34" s="267"/>
    </row>
    <row r="35" spans="1:33" s="419" customFormat="1">
      <c r="A35" s="492" t="s">
        <v>612</v>
      </c>
      <c r="B35" s="492"/>
      <c r="C35" s="492"/>
      <c r="D35" s="492" t="s">
        <v>613</v>
      </c>
      <c r="E35" s="267" t="s">
        <v>1</v>
      </c>
      <c r="F35" s="184"/>
      <c r="I35" s="528"/>
      <c r="J35" s="528"/>
      <c r="K35" s="331"/>
      <c r="L35" s="368">
        <f>'R17 SO Bal Services'!L10</f>
        <v>0</v>
      </c>
      <c r="M35" s="368">
        <f>'R17 SO Bal Services'!M10</f>
        <v>0</v>
      </c>
      <c r="O35" s="368">
        <f>'R17 SO Bal Services'!O10</f>
        <v>0</v>
      </c>
      <c r="P35" s="368">
        <f>'R17 SO Bal Services'!P10</f>
        <v>0</v>
      </c>
      <c r="R35" s="368">
        <f>'R17 SO Bal Services'!R10</f>
        <v>0</v>
      </c>
      <c r="S35" s="368">
        <f>'R17 SO Bal Services'!S10</f>
        <v>0</v>
      </c>
      <c r="U35" s="340"/>
      <c r="V35" s="340"/>
      <c r="W35" s="336"/>
      <c r="X35" s="340"/>
      <c r="Y35" s="340"/>
      <c r="Z35" s="336"/>
      <c r="AA35" s="340"/>
      <c r="AB35" s="340"/>
      <c r="AC35" s="336"/>
      <c r="AD35" s="340"/>
      <c r="AE35" s="340"/>
      <c r="AF35" s="336"/>
      <c r="AG35" s="267"/>
    </row>
    <row r="36" spans="1:33" s="185" customFormat="1">
      <c r="A36" s="508" t="s">
        <v>407</v>
      </c>
      <c r="B36" s="508"/>
      <c r="C36" s="508"/>
      <c r="D36" s="508" t="s">
        <v>408</v>
      </c>
      <c r="E36" s="514" t="s">
        <v>1</v>
      </c>
      <c r="F36" s="334">
        <f>SUM(F24:F35)</f>
        <v>1.3009299200000002</v>
      </c>
      <c r="G36" s="334">
        <f>SUM(G24:G35)</f>
        <v>1.3009299200000002</v>
      </c>
      <c r="I36" s="334">
        <f>SUM(I24:I35)</f>
        <v>1.3337284</v>
      </c>
      <c r="J36" s="417">
        <f>SUM(J24:J35)</f>
        <v>1.3337284</v>
      </c>
      <c r="K36" s="335"/>
      <c r="L36" s="334">
        <f>SUM(L24:L35)</f>
        <v>1.3818940000000002</v>
      </c>
      <c r="M36" s="334">
        <f>SUM(M24:M35)</f>
        <v>1.3818940000000002</v>
      </c>
      <c r="O36" s="334">
        <f>SUM(O24:O35)</f>
        <v>1.4123896784255876</v>
      </c>
      <c r="P36" s="334">
        <f>SUM(P24:P35)</f>
        <v>1.4123896784255876</v>
      </c>
      <c r="R36" s="334">
        <f>SUM(R24:R35)</f>
        <v>1.3945849081619011</v>
      </c>
      <c r="S36" s="334">
        <f>SUM(S24:S35)</f>
        <v>1.3945849081619011</v>
      </c>
      <c r="U36" s="513"/>
      <c r="V36" s="513"/>
      <c r="W36" s="495"/>
      <c r="X36" s="513"/>
      <c r="Y36" s="513"/>
      <c r="Z36" s="495"/>
      <c r="AA36" s="513"/>
      <c r="AB36" s="513"/>
      <c r="AC36" s="495"/>
      <c r="AD36" s="513"/>
      <c r="AE36" s="513"/>
      <c r="AF36" s="495"/>
      <c r="AG36" s="514"/>
    </row>
    <row r="37" spans="1:33" s="514" customFormat="1">
      <c r="A37" s="508"/>
      <c r="B37" s="508"/>
      <c r="C37" s="508"/>
      <c r="D37" s="508"/>
      <c r="F37" s="513"/>
      <c r="G37" s="513"/>
      <c r="I37" s="513"/>
      <c r="J37" s="493"/>
      <c r="K37" s="493"/>
      <c r="L37" s="513"/>
      <c r="M37" s="513"/>
      <c r="O37" s="513"/>
      <c r="P37" s="513"/>
      <c r="R37" s="513"/>
      <c r="S37" s="513"/>
      <c r="U37" s="513"/>
      <c r="V37" s="513"/>
      <c r="X37" s="513"/>
      <c r="Y37" s="513"/>
      <c r="AA37" s="513"/>
      <c r="AB37" s="513"/>
      <c r="AD37" s="513"/>
      <c r="AE37" s="513"/>
    </row>
    <row r="38" spans="1:33" s="418" customFormat="1" ht="14.25">
      <c r="B38" s="323"/>
      <c r="C38" s="323"/>
      <c r="D38" s="323"/>
      <c r="E38" s="323"/>
      <c r="F38" s="263"/>
      <c r="G38" s="263"/>
      <c r="H38" s="323"/>
      <c r="I38" s="263"/>
      <c r="J38" s="263"/>
      <c r="K38" s="325"/>
      <c r="L38" s="263"/>
      <c r="M38" s="263"/>
      <c r="O38" s="263"/>
      <c r="P38" s="473"/>
      <c r="R38" s="263"/>
      <c r="S38" s="263"/>
      <c r="U38" s="263"/>
      <c r="V38" s="263"/>
      <c r="X38" s="263"/>
      <c r="Y38" s="263"/>
      <c r="AA38" s="263"/>
      <c r="AB38" s="263"/>
      <c r="AD38" s="263"/>
      <c r="AE38" s="263"/>
      <c r="AG38" s="307"/>
    </row>
    <row r="39" spans="1:33" s="418" customFormat="1" ht="14.25">
      <c r="A39" s="515" t="s">
        <v>895</v>
      </c>
      <c r="B39" s="323"/>
      <c r="C39" s="323"/>
      <c r="D39" s="323"/>
      <c r="E39" s="323"/>
      <c r="F39" s="263"/>
      <c r="G39" s="263"/>
      <c r="H39" s="323"/>
      <c r="I39" s="263"/>
      <c r="J39" s="263"/>
      <c r="K39" s="325"/>
      <c r="L39" s="263"/>
      <c r="M39" s="263"/>
      <c r="O39" s="263"/>
      <c r="P39" s="473"/>
      <c r="R39" s="263"/>
      <c r="S39" s="263"/>
      <c r="U39" s="263"/>
      <c r="V39" s="263"/>
      <c r="X39" s="576"/>
      <c r="Y39" s="576"/>
      <c r="AA39" s="263"/>
      <c r="AB39" s="263"/>
      <c r="AD39" s="263"/>
      <c r="AE39" s="263"/>
      <c r="AG39" s="307"/>
    </row>
    <row r="40" spans="1:33" ht="14.25">
      <c r="A40" s="322"/>
      <c r="B40" s="323"/>
      <c r="C40" s="323"/>
      <c r="D40" s="323"/>
      <c r="E40" s="323"/>
      <c r="F40" s="578"/>
      <c r="G40" s="578"/>
      <c r="H40" s="338"/>
      <c r="I40" s="576"/>
      <c r="J40" s="576"/>
      <c r="K40" s="325"/>
      <c r="L40" s="576"/>
      <c r="M40" s="576"/>
      <c r="N40" s="320"/>
      <c r="O40" s="576"/>
      <c r="P40" s="576"/>
      <c r="Q40" s="320"/>
      <c r="R40" s="576"/>
      <c r="S40" s="576"/>
      <c r="U40" s="577" t="s">
        <v>596</v>
      </c>
      <c r="V40" s="577"/>
      <c r="X40" s="547"/>
      <c r="Y40" s="547"/>
      <c r="AA40" s="418"/>
      <c r="AB40" s="547"/>
      <c r="AC40" s="547"/>
      <c r="AD40" s="418"/>
      <c r="AE40" s="547"/>
      <c r="AF40" s="547"/>
      <c r="AG40" s="307"/>
    </row>
    <row r="41" spans="1:33" ht="14.25">
      <c r="A41" s="323"/>
      <c r="B41" s="323"/>
      <c r="C41" s="323"/>
      <c r="D41" s="323"/>
      <c r="E41" s="323"/>
      <c r="F41" s="325"/>
      <c r="G41" s="325"/>
      <c r="H41" s="320"/>
      <c r="I41" s="325"/>
      <c r="J41" s="325"/>
      <c r="K41" s="325"/>
      <c r="L41" s="325"/>
      <c r="M41" s="325"/>
      <c r="N41" s="320"/>
      <c r="O41" s="325"/>
      <c r="P41" s="325"/>
      <c r="Q41" s="320"/>
      <c r="R41" s="325"/>
      <c r="S41" s="325"/>
      <c r="U41" s="139" t="s">
        <v>605</v>
      </c>
      <c r="V41" s="139" t="s">
        <v>606</v>
      </c>
      <c r="X41" s="340"/>
      <c r="Y41" s="340"/>
      <c r="AA41" s="418"/>
      <c r="AB41" s="340"/>
      <c r="AC41" s="340"/>
      <c r="AD41" s="418"/>
      <c r="AE41" s="340"/>
      <c r="AF41" s="340"/>
      <c r="AG41" s="307"/>
    </row>
    <row r="42" spans="1:33">
      <c r="A42" s="492" t="s">
        <v>610</v>
      </c>
      <c r="B42" s="328"/>
      <c r="C42" s="328"/>
      <c r="D42" s="328" t="s">
        <v>398</v>
      </c>
      <c r="E42" s="140" t="s">
        <v>1</v>
      </c>
      <c r="F42" s="340"/>
      <c r="G42" s="340"/>
      <c r="H42" s="336"/>
      <c r="I42" s="340"/>
      <c r="J42" s="340"/>
      <c r="K42" s="340"/>
      <c r="L42" s="340"/>
      <c r="M42" s="340"/>
      <c r="N42" s="320"/>
      <c r="O42" s="340"/>
      <c r="P42" s="340"/>
      <c r="Q42" s="320"/>
      <c r="R42" s="340"/>
      <c r="S42" s="340"/>
      <c r="U42" s="329"/>
      <c r="V42" s="329"/>
      <c r="X42" s="340"/>
      <c r="Y42" s="340"/>
      <c r="AA42" s="418"/>
      <c r="AB42" s="340"/>
      <c r="AC42" s="340"/>
      <c r="AD42" s="418"/>
      <c r="AE42" s="340"/>
      <c r="AF42" s="340"/>
      <c r="AG42" s="307"/>
    </row>
    <row r="43" spans="1:33">
      <c r="A43" s="492" t="s">
        <v>399</v>
      </c>
      <c r="B43" s="328"/>
      <c r="C43" s="328"/>
      <c r="D43" s="328" t="s">
        <v>400</v>
      </c>
      <c r="E43" s="140" t="s">
        <v>1</v>
      </c>
      <c r="F43" s="340"/>
      <c r="G43" s="340"/>
      <c r="H43" s="336"/>
      <c r="I43" s="340"/>
      <c r="J43" s="340"/>
      <c r="K43" s="340"/>
      <c r="L43" s="340"/>
      <c r="M43" s="340"/>
      <c r="N43" s="320"/>
      <c r="O43" s="340"/>
      <c r="P43" s="340"/>
      <c r="Q43" s="320"/>
      <c r="R43" s="340"/>
      <c r="S43" s="340"/>
      <c r="U43" s="329"/>
      <c r="V43" s="329"/>
      <c r="X43" s="520"/>
      <c r="Y43" s="340"/>
      <c r="AA43" s="418"/>
      <c r="AB43" s="520"/>
      <c r="AC43" s="340"/>
      <c r="AD43" s="418"/>
      <c r="AE43" s="520"/>
      <c r="AF43" s="340"/>
      <c r="AG43" s="307"/>
    </row>
    <row r="44" spans="1:33">
      <c r="A44" s="492" t="s">
        <v>611</v>
      </c>
      <c r="B44" s="492"/>
      <c r="C44" s="492"/>
      <c r="D44" s="492"/>
      <c r="E44" s="267" t="s">
        <v>1</v>
      </c>
      <c r="F44" s="340"/>
      <c r="G44" s="340"/>
      <c r="H44" s="336"/>
      <c r="I44" s="340"/>
      <c r="J44" s="340"/>
      <c r="K44" s="340"/>
      <c r="L44" s="340"/>
      <c r="M44" s="340"/>
      <c r="N44" s="320"/>
      <c r="O44" s="340"/>
      <c r="P44" s="519"/>
      <c r="Q44" s="320"/>
      <c r="R44" s="520"/>
      <c r="S44" s="340"/>
      <c r="T44" s="307"/>
      <c r="U44" s="329"/>
      <c r="V44" s="329"/>
      <c r="X44" s="520"/>
      <c r="Y44" s="340"/>
      <c r="AA44" s="418"/>
      <c r="AB44" s="520"/>
      <c r="AC44" s="340"/>
      <c r="AD44" s="418"/>
      <c r="AE44" s="520"/>
      <c r="AF44" s="340"/>
      <c r="AG44" s="307"/>
    </row>
    <row r="45" spans="1:33">
      <c r="A45" s="492" t="s">
        <v>401</v>
      </c>
      <c r="B45" s="328"/>
      <c r="C45" s="328"/>
      <c r="D45" s="328" t="s">
        <v>742</v>
      </c>
      <c r="E45" s="140" t="s">
        <v>1</v>
      </c>
      <c r="F45" s="340"/>
      <c r="G45" s="340"/>
      <c r="H45" s="336"/>
      <c r="I45" s="340"/>
      <c r="J45" s="340"/>
      <c r="K45" s="340"/>
      <c r="L45" s="340"/>
      <c r="M45" s="340"/>
      <c r="N45" s="320"/>
      <c r="O45" s="340"/>
      <c r="P45" s="519"/>
      <c r="Q45" s="320"/>
      <c r="R45" s="332">
        <f>SUM(R141:R151)</f>
        <v>0</v>
      </c>
      <c r="S45" s="340"/>
      <c r="U45" s="332">
        <f>SUM(U141:U151)</f>
        <v>0</v>
      </c>
      <c r="V45" s="332">
        <f>U45</f>
        <v>0</v>
      </c>
      <c r="X45" s="520"/>
      <c r="Y45" s="340"/>
      <c r="AA45" s="418"/>
      <c r="AB45" s="520"/>
      <c r="AC45" s="340"/>
      <c r="AD45" s="418"/>
      <c r="AE45" s="520"/>
      <c r="AF45" s="340"/>
      <c r="AG45" s="307"/>
    </row>
    <row r="46" spans="1:33" s="140" customFormat="1">
      <c r="A46" s="492" t="s">
        <v>403</v>
      </c>
      <c r="B46" s="328"/>
      <c r="C46" s="328"/>
      <c r="D46" s="328" t="s">
        <v>404</v>
      </c>
      <c r="E46" s="140" t="s">
        <v>1</v>
      </c>
      <c r="F46" s="340"/>
      <c r="G46" s="340"/>
      <c r="H46" s="336"/>
      <c r="I46" s="340"/>
      <c r="J46" s="340"/>
      <c r="K46" s="340"/>
      <c r="L46" s="340"/>
      <c r="M46" s="340"/>
      <c r="N46" s="336"/>
      <c r="O46" s="340"/>
      <c r="P46" s="519"/>
      <c r="Q46" s="336"/>
      <c r="R46" s="332">
        <f>R119</f>
        <v>0</v>
      </c>
      <c r="S46" s="340"/>
      <c r="U46" s="332">
        <f>U119</f>
        <v>0</v>
      </c>
      <c r="V46" s="332">
        <f>V119</f>
        <v>0</v>
      </c>
      <c r="X46" s="340"/>
      <c r="Y46" s="340"/>
      <c r="AA46" s="419"/>
      <c r="AB46" s="340"/>
      <c r="AC46" s="340"/>
      <c r="AD46" s="419"/>
      <c r="AE46" s="340"/>
      <c r="AF46" s="340"/>
      <c r="AG46" s="267"/>
    </row>
    <row r="47" spans="1:33" s="140" customFormat="1">
      <c r="A47" s="492" t="s">
        <v>405</v>
      </c>
      <c r="B47" s="328"/>
      <c r="C47" s="328"/>
      <c r="D47" s="328" t="s">
        <v>406</v>
      </c>
      <c r="E47" s="140" t="s">
        <v>1</v>
      </c>
      <c r="F47" s="340"/>
      <c r="G47" s="340"/>
      <c r="H47" s="336"/>
      <c r="I47" s="340"/>
      <c r="J47" s="521"/>
      <c r="K47" s="340"/>
      <c r="L47" s="340"/>
      <c r="M47" s="340"/>
      <c r="N47" s="336"/>
      <c r="O47" s="340"/>
      <c r="P47" s="519"/>
      <c r="Q47" s="336"/>
      <c r="R47" s="332">
        <f>R89</f>
        <v>0</v>
      </c>
      <c r="S47" s="340"/>
      <c r="U47" s="332">
        <f>U89</f>
        <v>0</v>
      </c>
      <c r="V47" s="332">
        <f>V89</f>
        <v>0</v>
      </c>
      <c r="X47" s="340"/>
      <c r="Y47" s="340"/>
      <c r="AA47" s="419"/>
      <c r="AB47" s="340"/>
      <c r="AC47" s="340"/>
      <c r="AD47" s="419"/>
      <c r="AE47" s="340"/>
      <c r="AF47" s="340"/>
      <c r="AG47" s="267"/>
    </row>
    <row r="48" spans="1:33" s="267" customFormat="1">
      <c r="A48" s="492" t="s">
        <v>813</v>
      </c>
      <c r="B48" s="492"/>
      <c r="C48" s="492"/>
      <c r="D48" s="492" t="s">
        <v>814</v>
      </c>
      <c r="E48" s="267" t="s">
        <v>1</v>
      </c>
      <c r="F48" s="340"/>
      <c r="G48" s="340"/>
      <c r="H48" s="336"/>
      <c r="I48" s="340"/>
      <c r="J48" s="521"/>
      <c r="K48" s="340"/>
      <c r="L48" s="340"/>
      <c r="M48" s="340"/>
      <c r="N48" s="336"/>
      <c r="O48" s="340"/>
      <c r="P48" s="519"/>
      <c r="Q48" s="336"/>
      <c r="R48" s="332">
        <f>R158</f>
        <v>0</v>
      </c>
      <c r="S48" s="340"/>
      <c r="T48" s="419"/>
      <c r="U48" s="332">
        <f>U158</f>
        <v>0</v>
      </c>
      <c r="V48" s="332">
        <f>V158</f>
        <v>0</v>
      </c>
      <c r="W48" s="419"/>
      <c r="X48" s="340"/>
      <c r="Y48" s="340"/>
      <c r="Z48" s="419"/>
      <c r="AA48" s="419"/>
      <c r="AB48" s="340"/>
      <c r="AC48" s="340"/>
      <c r="AD48" s="419"/>
      <c r="AE48" s="340"/>
      <c r="AF48" s="340"/>
    </row>
    <row r="49" spans="1:33" s="140" customFormat="1">
      <c r="A49" s="492" t="s">
        <v>816</v>
      </c>
      <c r="B49" s="328"/>
      <c r="C49" s="328"/>
      <c r="D49" s="328" t="s">
        <v>815</v>
      </c>
      <c r="E49" s="140" t="s">
        <v>1</v>
      </c>
      <c r="F49" s="340"/>
      <c r="G49" s="340"/>
      <c r="H49" s="336"/>
      <c r="I49" s="340"/>
      <c r="J49" s="521"/>
      <c r="K49" s="340"/>
      <c r="L49" s="340"/>
      <c r="M49" s="340"/>
      <c r="N49" s="336"/>
      <c r="O49" s="340"/>
      <c r="P49" s="519"/>
      <c r="Q49" s="336"/>
      <c r="R49" s="332">
        <f>R174</f>
        <v>0</v>
      </c>
      <c r="S49" s="340"/>
      <c r="T49" s="419"/>
      <c r="U49" s="332">
        <f>U174</f>
        <v>0</v>
      </c>
      <c r="V49" s="332">
        <f>V174</f>
        <v>0</v>
      </c>
      <c r="W49" s="419"/>
      <c r="X49" s="495"/>
      <c r="Y49" s="513"/>
      <c r="Z49" s="419"/>
      <c r="AA49" s="419"/>
      <c r="AB49" s="495"/>
      <c r="AC49" s="513"/>
      <c r="AD49" s="419"/>
      <c r="AE49" s="495"/>
      <c r="AF49" s="513"/>
      <c r="AG49" s="267"/>
    </row>
    <row r="50" spans="1:33" s="419" customFormat="1">
      <c r="A50" s="492" t="s">
        <v>818</v>
      </c>
      <c r="B50" s="328"/>
      <c r="C50" s="328"/>
      <c r="D50" s="328" t="s">
        <v>817</v>
      </c>
      <c r="E50" s="419" t="s">
        <v>1</v>
      </c>
      <c r="F50" s="340"/>
      <c r="G50" s="340"/>
      <c r="H50" s="336"/>
      <c r="I50" s="340"/>
      <c r="J50" s="340"/>
      <c r="K50" s="340"/>
      <c r="L50" s="340"/>
      <c r="M50" s="340"/>
      <c r="N50" s="336"/>
      <c r="O50" s="340"/>
      <c r="P50" s="340"/>
      <c r="Q50" s="336"/>
      <c r="R50" s="332">
        <f>R190</f>
        <v>-1.9419491838099063E-2</v>
      </c>
      <c r="S50" s="340"/>
      <c r="U50" s="332">
        <f>U190</f>
        <v>2.8819531490267658</v>
      </c>
      <c r="V50" s="332">
        <f>V190</f>
        <v>2.8819531490267658</v>
      </c>
      <c r="X50" s="495"/>
      <c r="Y50" s="513"/>
      <c r="AB50" s="495"/>
      <c r="AC50" s="513"/>
      <c r="AE50" s="495"/>
      <c r="AF50" s="513"/>
      <c r="AG50" s="267"/>
    </row>
    <row r="51" spans="1:33" s="140" customFormat="1" ht="14.25">
      <c r="A51" s="492" t="s">
        <v>612</v>
      </c>
      <c r="B51" s="492"/>
      <c r="C51" s="492"/>
      <c r="D51" s="492" t="s">
        <v>613</v>
      </c>
      <c r="E51" s="267" t="s">
        <v>1</v>
      </c>
      <c r="F51" s="336"/>
      <c r="G51" s="336"/>
      <c r="H51" s="336"/>
      <c r="I51" s="340"/>
      <c r="J51" s="340"/>
      <c r="K51" s="340"/>
      <c r="L51" s="340"/>
      <c r="M51" s="340"/>
      <c r="N51" s="336"/>
      <c r="O51" s="340"/>
      <c r="P51" s="340"/>
      <c r="Q51" s="336"/>
      <c r="R51" s="368">
        <f>'R17 SO Bal Services'!R10</f>
        <v>0</v>
      </c>
      <c r="S51" s="340"/>
      <c r="U51" s="179">
        <f>'R17 SO Bal Services'!U10</f>
        <v>0</v>
      </c>
      <c r="V51" s="179">
        <f>'R17 SO Bal Services'!V10</f>
        <v>0</v>
      </c>
      <c r="X51" s="495"/>
      <c r="Y51" s="513"/>
      <c r="AA51" s="263"/>
      <c r="AB51" s="263"/>
      <c r="AC51" s="418"/>
      <c r="AD51" s="263"/>
      <c r="AE51" s="263"/>
      <c r="AF51" s="513"/>
      <c r="AG51" s="267"/>
    </row>
    <row r="52" spans="1:33" s="185" customFormat="1" ht="14.25">
      <c r="A52" s="508" t="s">
        <v>407</v>
      </c>
      <c r="B52" s="333"/>
      <c r="C52" s="333"/>
      <c r="D52" s="333" t="s">
        <v>408</v>
      </c>
      <c r="E52" s="185" t="s">
        <v>1</v>
      </c>
      <c r="F52" s="513"/>
      <c r="G52" s="513"/>
      <c r="H52" s="495"/>
      <c r="I52" s="513"/>
      <c r="J52" s="493"/>
      <c r="K52" s="493"/>
      <c r="L52" s="513"/>
      <c r="M52" s="513"/>
      <c r="N52" s="495"/>
      <c r="O52" s="513"/>
      <c r="P52" s="513"/>
      <c r="Q52" s="495"/>
      <c r="R52" s="334">
        <f>SUM(R42:R51)</f>
        <v>-1.9419491838099063E-2</v>
      </c>
      <c r="S52" s="513"/>
      <c r="U52" s="334">
        <f>SUM(U42:U51)</f>
        <v>2.8819531490267658</v>
      </c>
      <c r="V52" s="334">
        <f>SUM(V42:V51)</f>
        <v>2.8819531490267658</v>
      </c>
      <c r="X52" s="495"/>
      <c r="Y52" s="513"/>
      <c r="Z52" s="513"/>
      <c r="AA52" s="263"/>
      <c r="AB52" s="263"/>
      <c r="AC52" s="418"/>
      <c r="AD52" s="263"/>
      <c r="AE52" s="263"/>
      <c r="AF52" s="495"/>
      <c r="AG52" s="514"/>
    </row>
    <row r="53" spans="1:33" s="495" customFormat="1" ht="14.25">
      <c r="A53" s="494"/>
      <c r="B53" s="494"/>
      <c r="C53" s="494"/>
      <c r="D53" s="494"/>
      <c r="F53" s="513"/>
      <c r="G53" s="513"/>
      <c r="I53" s="513"/>
      <c r="J53" s="493"/>
      <c r="K53" s="493"/>
      <c r="L53" s="513"/>
      <c r="M53" s="513"/>
      <c r="O53" s="513"/>
      <c r="P53" s="513"/>
      <c r="R53" s="513"/>
      <c r="S53" s="513"/>
      <c r="U53" s="496"/>
      <c r="V53" s="496"/>
      <c r="X53" s="263"/>
      <c r="Y53" s="263"/>
      <c r="AA53" s="263"/>
      <c r="AB53" s="263"/>
      <c r="AC53" s="418"/>
      <c r="AD53" s="263"/>
      <c r="AE53" s="263"/>
    </row>
    <row r="54" spans="1:33" s="418" customFormat="1" ht="14.25">
      <c r="A54" s="515" t="s">
        <v>894</v>
      </c>
      <c r="B54" s="323"/>
      <c r="C54" s="323"/>
      <c r="D54" s="323"/>
      <c r="E54" s="323"/>
      <c r="F54" s="263"/>
      <c r="G54" s="263"/>
      <c r="H54" s="323"/>
      <c r="I54" s="263"/>
      <c r="J54" s="263"/>
      <c r="K54" s="547"/>
      <c r="L54" s="263"/>
      <c r="M54" s="263"/>
      <c r="O54" s="263"/>
      <c r="P54" s="473"/>
      <c r="R54" s="263"/>
      <c r="S54" s="263"/>
      <c r="U54" s="263"/>
      <c r="V54" s="263"/>
      <c r="X54" s="263"/>
      <c r="Y54" s="263"/>
      <c r="AA54" s="263"/>
      <c r="AB54" s="263"/>
      <c r="AD54" s="263"/>
      <c r="AE54" s="263"/>
      <c r="AG54" s="307"/>
    </row>
    <row r="55" spans="1:33" s="418" customFormat="1" ht="14.25">
      <c r="A55" s="322"/>
      <c r="B55" s="323"/>
      <c r="C55" s="323"/>
      <c r="D55" s="323"/>
      <c r="E55" s="323"/>
      <c r="F55" s="578"/>
      <c r="G55" s="578"/>
      <c r="H55" s="338"/>
      <c r="I55" s="576"/>
      <c r="J55" s="576"/>
      <c r="K55" s="547"/>
      <c r="L55" s="576"/>
      <c r="M55" s="576"/>
      <c r="N55" s="320"/>
      <c r="O55" s="576"/>
      <c r="P55" s="576"/>
      <c r="Q55" s="320"/>
      <c r="R55" s="576"/>
      <c r="S55" s="576"/>
      <c r="U55" s="576"/>
      <c r="V55" s="576"/>
      <c r="X55" s="577" t="s">
        <v>597</v>
      </c>
      <c r="Y55" s="577"/>
      <c r="AA55" s="577" t="s">
        <v>598</v>
      </c>
      <c r="AB55" s="577"/>
      <c r="AD55" s="577" t="s">
        <v>599</v>
      </c>
      <c r="AE55" s="577"/>
      <c r="AG55" s="307"/>
    </row>
    <row r="56" spans="1:33" s="418" customFormat="1" ht="14.25">
      <c r="A56" s="323"/>
      <c r="B56" s="323"/>
      <c r="C56" s="323"/>
      <c r="D56" s="323"/>
      <c r="E56" s="323"/>
      <c r="F56" s="547"/>
      <c r="G56" s="547"/>
      <c r="H56" s="320"/>
      <c r="I56" s="547"/>
      <c r="J56" s="547"/>
      <c r="K56" s="547"/>
      <c r="L56" s="547"/>
      <c r="M56" s="547"/>
      <c r="N56" s="320"/>
      <c r="O56" s="547"/>
      <c r="P56" s="547"/>
      <c r="Q56" s="320"/>
      <c r="R56" s="547"/>
      <c r="S56" s="547"/>
      <c r="U56" s="547"/>
      <c r="V56" s="547"/>
      <c r="X56" s="139" t="s">
        <v>606</v>
      </c>
      <c r="Y56" s="139" t="s">
        <v>607</v>
      </c>
      <c r="AA56" s="139" t="s">
        <v>607</v>
      </c>
      <c r="AB56" s="139" t="s">
        <v>608</v>
      </c>
      <c r="AD56" s="139" t="s">
        <v>608</v>
      </c>
      <c r="AE56" s="139" t="s">
        <v>609</v>
      </c>
      <c r="AG56" s="307"/>
    </row>
    <row r="57" spans="1:33" s="418" customFormat="1">
      <c r="A57" s="492" t="s">
        <v>610</v>
      </c>
      <c r="B57" s="328"/>
      <c r="C57" s="328"/>
      <c r="D57" s="328" t="s">
        <v>398</v>
      </c>
      <c r="E57" s="419" t="s">
        <v>1</v>
      </c>
      <c r="F57" s="340"/>
      <c r="G57" s="340"/>
      <c r="H57" s="336"/>
      <c r="I57" s="340"/>
      <c r="J57" s="340"/>
      <c r="K57" s="340"/>
      <c r="L57" s="340"/>
      <c r="M57" s="340"/>
      <c r="N57" s="320"/>
      <c r="O57" s="340"/>
      <c r="P57" s="340"/>
      <c r="Q57" s="320"/>
      <c r="R57" s="340"/>
      <c r="S57" s="340"/>
      <c r="U57" s="340"/>
      <c r="V57" s="340"/>
      <c r="X57" s="427"/>
      <c r="Y57" s="427"/>
      <c r="AA57" s="427"/>
      <c r="AB57" s="427"/>
      <c r="AD57" s="427"/>
      <c r="AE57" s="427"/>
      <c r="AG57" s="307"/>
    </row>
    <row r="58" spans="1:33" s="418" customFormat="1">
      <c r="A58" s="492" t="s">
        <v>399</v>
      </c>
      <c r="B58" s="328"/>
      <c r="C58" s="328"/>
      <c r="D58" s="328" t="s">
        <v>400</v>
      </c>
      <c r="E58" s="419" t="s">
        <v>1</v>
      </c>
      <c r="F58" s="340"/>
      <c r="G58" s="340"/>
      <c r="H58" s="336"/>
      <c r="I58" s="340"/>
      <c r="J58" s="340"/>
      <c r="K58" s="340"/>
      <c r="L58" s="340"/>
      <c r="M58" s="340"/>
      <c r="N58" s="320"/>
      <c r="O58" s="340"/>
      <c r="P58" s="340"/>
      <c r="Q58" s="320"/>
      <c r="R58" s="340"/>
      <c r="S58" s="340"/>
      <c r="U58" s="340"/>
      <c r="V58" s="340"/>
      <c r="X58" s="427"/>
      <c r="Y58" s="427"/>
      <c r="AA58" s="427"/>
      <c r="AB58" s="427"/>
      <c r="AD58" s="427"/>
      <c r="AE58" s="427"/>
      <c r="AG58" s="307"/>
    </row>
    <row r="59" spans="1:33" s="418" customFormat="1">
      <c r="A59" s="492" t="s">
        <v>611</v>
      </c>
      <c r="B59" s="492"/>
      <c r="C59" s="492"/>
      <c r="D59" s="492"/>
      <c r="E59" s="267" t="s">
        <v>1</v>
      </c>
      <c r="F59" s="340"/>
      <c r="G59" s="340"/>
      <c r="H59" s="336"/>
      <c r="I59" s="340"/>
      <c r="J59" s="340"/>
      <c r="K59" s="340"/>
      <c r="L59" s="340"/>
      <c r="M59" s="340"/>
      <c r="N59" s="320"/>
      <c r="O59" s="340"/>
      <c r="P59" s="519"/>
      <c r="Q59" s="320"/>
      <c r="R59" s="520"/>
      <c r="S59" s="340"/>
      <c r="T59" s="307"/>
      <c r="U59" s="520"/>
      <c r="V59" s="340"/>
      <c r="X59" s="427"/>
      <c r="Y59" s="427"/>
      <c r="AA59" s="427"/>
      <c r="AB59" s="427"/>
      <c r="AD59" s="427"/>
      <c r="AE59" s="427"/>
      <c r="AG59" s="307"/>
    </row>
    <row r="60" spans="1:33" s="418" customFormat="1">
      <c r="A60" s="492" t="s">
        <v>401</v>
      </c>
      <c r="B60" s="328"/>
      <c r="C60" s="328"/>
      <c r="D60" s="328" t="s">
        <v>742</v>
      </c>
      <c r="E60" s="419" t="s">
        <v>1</v>
      </c>
      <c r="F60" s="340"/>
      <c r="G60" s="340"/>
      <c r="H60" s="336"/>
      <c r="I60" s="340"/>
      <c r="J60" s="340"/>
      <c r="K60" s="340"/>
      <c r="L60" s="340"/>
      <c r="M60" s="340"/>
      <c r="N60" s="320"/>
      <c r="O60" s="340"/>
      <c r="P60" s="519"/>
      <c r="Q60" s="320"/>
      <c r="R60" s="520"/>
      <c r="S60" s="340"/>
      <c r="U60" s="520"/>
      <c r="V60" s="340"/>
      <c r="X60" s="332">
        <f>SUM(X141:X151)</f>
        <v>0</v>
      </c>
      <c r="Y60" s="332">
        <f>SUM(Y141:Y151)</f>
        <v>0</v>
      </c>
      <c r="AA60" s="332">
        <f>SUM(AA141:AA151)</f>
        <v>0</v>
      </c>
      <c r="AB60" s="332">
        <f>SUM(AB141:AB151)</f>
        <v>0</v>
      </c>
      <c r="AD60" s="332">
        <f>SUM(AD141:AD151)</f>
        <v>0</v>
      </c>
      <c r="AE60" s="332">
        <f>SUM(AE141:AE151)</f>
        <v>0</v>
      </c>
      <c r="AG60" s="307"/>
    </row>
    <row r="61" spans="1:33" s="419" customFormat="1">
      <c r="A61" s="492" t="s">
        <v>403</v>
      </c>
      <c r="B61" s="328"/>
      <c r="C61" s="328"/>
      <c r="D61" s="328" t="s">
        <v>404</v>
      </c>
      <c r="E61" s="419" t="s">
        <v>1</v>
      </c>
      <c r="F61" s="340"/>
      <c r="G61" s="340"/>
      <c r="H61" s="336"/>
      <c r="I61" s="340"/>
      <c r="J61" s="340"/>
      <c r="K61" s="340"/>
      <c r="L61" s="340"/>
      <c r="M61" s="340"/>
      <c r="N61" s="336"/>
      <c r="O61" s="340"/>
      <c r="P61" s="519"/>
      <c r="Q61" s="336"/>
      <c r="R61" s="520"/>
      <c r="S61" s="340"/>
      <c r="U61" s="520"/>
      <c r="V61" s="340"/>
      <c r="X61" s="332">
        <f>X119</f>
        <v>0</v>
      </c>
      <c r="Y61" s="332">
        <f>Y119</f>
        <v>0</v>
      </c>
      <c r="AA61" s="332">
        <f>AA119</f>
        <v>0</v>
      </c>
      <c r="AB61" s="332">
        <f>AB119</f>
        <v>0</v>
      </c>
      <c r="AD61" s="332">
        <f>AD119</f>
        <v>0</v>
      </c>
      <c r="AE61" s="332">
        <f>AE119</f>
        <v>0</v>
      </c>
      <c r="AG61" s="267"/>
    </row>
    <row r="62" spans="1:33" s="419" customFormat="1">
      <c r="A62" s="492" t="s">
        <v>405</v>
      </c>
      <c r="B62" s="328"/>
      <c r="C62" s="328"/>
      <c r="D62" s="328" t="s">
        <v>406</v>
      </c>
      <c r="E62" s="419" t="s">
        <v>1</v>
      </c>
      <c r="F62" s="340"/>
      <c r="G62" s="340"/>
      <c r="H62" s="336"/>
      <c r="I62" s="340"/>
      <c r="J62" s="521"/>
      <c r="K62" s="340"/>
      <c r="L62" s="340"/>
      <c r="M62" s="340"/>
      <c r="N62" s="336"/>
      <c r="O62" s="340"/>
      <c r="P62" s="519"/>
      <c r="Q62" s="336"/>
      <c r="R62" s="340"/>
      <c r="S62" s="340"/>
      <c r="U62" s="340"/>
      <c r="V62" s="340"/>
      <c r="X62" s="332">
        <f>X92</f>
        <v>0</v>
      </c>
      <c r="Y62" s="332">
        <f>Y92</f>
        <v>0</v>
      </c>
      <c r="AA62" s="332">
        <f>AA92</f>
        <v>0</v>
      </c>
      <c r="AB62" s="332">
        <f>AB92</f>
        <v>0</v>
      </c>
      <c r="AD62" s="332">
        <f>AD92</f>
        <v>0</v>
      </c>
      <c r="AE62" s="332">
        <f>AE92</f>
        <v>0</v>
      </c>
      <c r="AG62" s="267"/>
    </row>
    <row r="63" spans="1:33" s="267" customFormat="1">
      <c r="A63" s="492" t="s">
        <v>813</v>
      </c>
      <c r="B63" s="492"/>
      <c r="C63" s="492"/>
      <c r="D63" s="492" t="s">
        <v>814</v>
      </c>
      <c r="E63" s="267" t="s">
        <v>1</v>
      </c>
      <c r="F63" s="340"/>
      <c r="G63" s="340"/>
      <c r="H63" s="336"/>
      <c r="I63" s="340"/>
      <c r="J63" s="521"/>
      <c r="K63" s="340"/>
      <c r="L63" s="340"/>
      <c r="M63" s="340"/>
      <c r="N63" s="336"/>
      <c r="O63" s="340"/>
      <c r="P63" s="519"/>
      <c r="Q63" s="336"/>
      <c r="R63" s="340"/>
      <c r="S63" s="340"/>
      <c r="T63" s="419"/>
      <c r="U63" s="340"/>
      <c r="V63" s="340"/>
      <c r="W63" s="419"/>
      <c r="X63" s="332">
        <f>X158</f>
        <v>0</v>
      </c>
      <c r="Y63" s="332">
        <f>Y158</f>
        <v>0</v>
      </c>
      <c r="Z63" s="419"/>
      <c r="AA63" s="332">
        <f>AA158</f>
        <v>0</v>
      </c>
      <c r="AB63" s="332">
        <f>AB158</f>
        <v>0</v>
      </c>
      <c r="AC63" s="419"/>
      <c r="AD63" s="332">
        <f>AD158</f>
        <v>0</v>
      </c>
      <c r="AE63" s="332">
        <f>AE158</f>
        <v>0</v>
      </c>
    </row>
    <row r="64" spans="1:33" s="419" customFormat="1">
      <c r="A64" s="492" t="s">
        <v>818</v>
      </c>
      <c r="B64" s="328"/>
      <c r="C64" s="328"/>
      <c r="D64" s="328" t="s">
        <v>817</v>
      </c>
      <c r="E64" s="419" t="s">
        <v>1</v>
      </c>
      <c r="F64" s="340"/>
      <c r="G64" s="340"/>
      <c r="H64" s="336"/>
      <c r="I64" s="340"/>
      <c r="J64" s="340"/>
      <c r="K64" s="340"/>
      <c r="L64" s="340"/>
      <c r="M64" s="340"/>
      <c r="N64" s="336"/>
      <c r="O64" s="340"/>
      <c r="P64" s="340"/>
      <c r="Q64" s="336"/>
      <c r="R64" s="340"/>
      <c r="S64" s="340"/>
      <c r="U64" s="340"/>
      <c r="V64" s="340"/>
      <c r="X64" s="332">
        <f>X190</f>
        <v>1.5069866556206635</v>
      </c>
      <c r="Y64" s="332">
        <f>Y190</f>
        <v>1.5069866556206635</v>
      </c>
      <c r="AA64" s="332">
        <f>AA190</f>
        <v>1.5652028691194839</v>
      </c>
      <c r="AB64" s="332">
        <f>AB190</f>
        <v>1.5652028691194839</v>
      </c>
      <c r="AD64" s="332">
        <f>AD190</f>
        <v>1.4973607763071726</v>
      </c>
      <c r="AE64" s="332">
        <f>AE190</f>
        <v>1.4973607763071726</v>
      </c>
      <c r="AG64" s="267"/>
    </row>
    <row r="65" spans="1:33" s="185" customFormat="1">
      <c r="A65" s="508" t="s">
        <v>407</v>
      </c>
      <c r="B65" s="333"/>
      <c r="C65" s="333"/>
      <c r="D65" s="333" t="s">
        <v>408</v>
      </c>
      <c r="E65" s="185" t="s">
        <v>1</v>
      </c>
      <c r="F65" s="513"/>
      <c r="G65" s="513"/>
      <c r="H65" s="495"/>
      <c r="I65" s="513"/>
      <c r="J65" s="493"/>
      <c r="K65" s="493"/>
      <c r="L65" s="513"/>
      <c r="M65" s="513"/>
      <c r="N65" s="495"/>
      <c r="O65" s="513"/>
      <c r="P65" s="513"/>
      <c r="Q65" s="495"/>
      <c r="R65" s="513"/>
      <c r="S65" s="513"/>
      <c r="U65" s="495"/>
      <c r="V65" s="513"/>
      <c r="W65" s="513"/>
      <c r="X65" s="334">
        <f>SUM(X57:X64)</f>
        <v>1.5069866556206635</v>
      </c>
      <c r="Y65" s="334">
        <f>SUM(Y57:Y64)</f>
        <v>1.5069866556206635</v>
      </c>
      <c r="AA65" s="334">
        <f>SUM(AA57:AA64)</f>
        <v>1.5652028691194839</v>
      </c>
      <c r="AB65" s="334">
        <f>SUM(AB57:AB64)</f>
        <v>1.5652028691194839</v>
      </c>
      <c r="AD65" s="334">
        <f>SUM(AD57:AD64)</f>
        <v>1.4973607763071726</v>
      </c>
      <c r="AE65" s="334">
        <f>SUM(AE57:AE64)</f>
        <v>1.4973607763071726</v>
      </c>
      <c r="AG65" s="514"/>
    </row>
    <row r="66" spans="1:33" s="495" customFormat="1">
      <c r="A66" s="494"/>
      <c r="B66" s="494"/>
      <c r="C66" s="494"/>
      <c r="D66" s="494"/>
      <c r="F66" s="513"/>
      <c r="G66" s="513"/>
      <c r="I66" s="513"/>
      <c r="J66" s="493"/>
      <c r="K66" s="493"/>
      <c r="L66" s="513"/>
      <c r="M66" s="513"/>
      <c r="O66" s="513"/>
      <c r="P66" s="513"/>
      <c r="R66" s="513"/>
      <c r="S66" s="513"/>
      <c r="V66" s="513"/>
      <c r="W66" s="513"/>
      <c r="X66" s="496"/>
      <c r="Y66" s="496"/>
      <c r="AA66" s="496"/>
      <c r="AB66" s="496"/>
      <c r="AD66" s="496"/>
      <c r="AE66" s="496"/>
    </row>
    <row r="67" spans="1:33" s="267" customFormat="1">
      <c r="J67" s="501"/>
      <c r="K67" s="336"/>
      <c r="P67" s="502"/>
      <c r="R67" s="503"/>
      <c r="V67" s="503"/>
    </row>
    <row r="68" spans="1:33" s="140" customFormat="1" ht="13.9">
      <c r="A68" s="337" t="s">
        <v>409</v>
      </c>
      <c r="B68" s="326"/>
      <c r="C68" s="326"/>
      <c r="D68" s="326"/>
      <c r="E68" s="326"/>
      <c r="H68" s="326"/>
      <c r="K68" s="336"/>
      <c r="R68" s="457"/>
      <c r="AG68" s="267"/>
    </row>
    <row r="69" spans="1:33" s="140" customFormat="1" ht="12.75">
      <c r="A69" s="324" t="s">
        <v>819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38"/>
      <c r="N69" s="166"/>
      <c r="R69" s="457"/>
      <c r="AG69" s="267"/>
    </row>
    <row r="70" spans="1:33" s="419" customFormat="1" ht="12.75">
      <c r="A70" s="324"/>
      <c r="B70" s="326"/>
      <c r="C70" s="326"/>
      <c r="D70" s="326"/>
      <c r="E70" s="326"/>
      <c r="F70" s="326"/>
      <c r="G70" s="326"/>
      <c r="H70" s="326"/>
      <c r="I70" s="326"/>
      <c r="J70" s="326"/>
      <c r="K70" s="338"/>
      <c r="N70" s="422"/>
      <c r="R70" s="457"/>
      <c r="AG70" s="267"/>
    </row>
    <row r="71" spans="1:33" s="419" customFormat="1" ht="12.75">
      <c r="A71" s="328" t="s">
        <v>879</v>
      </c>
      <c r="B71" s="326"/>
      <c r="C71" s="326"/>
      <c r="D71" s="328" t="s">
        <v>410</v>
      </c>
      <c r="E71" s="326" t="s">
        <v>128</v>
      </c>
      <c r="F71" s="525">
        <v>0.25</v>
      </c>
      <c r="G71" s="525">
        <v>0.25</v>
      </c>
      <c r="H71" s="326"/>
      <c r="I71" s="525">
        <v>0.25</v>
      </c>
      <c r="J71" s="525">
        <v>0.25</v>
      </c>
      <c r="K71" s="326"/>
      <c r="L71" s="525">
        <v>0.25</v>
      </c>
      <c r="M71" s="525">
        <v>0.25</v>
      </c>
      <c r="N71" s="326"/>
      <c r="O71" s="525">
        <v>0.3</v>
      </c>
      <c r="P71" s="525">
        <v>0.3</v>
      </c>
      <c r="Q71" s="326"/>
      <c r="R71" s="525">
        <v>0.3</v>
      </c>
      <c r="S71" s="525">
        <v>0.3</v>
      </c>
      <c r="T71" s="326"/>
      <c r="U71" s="525">
        <v>0.1</v>
      </c>
      <c r="V71" s="525">
        <v>0.1</v>
      </c>
      <c r="W71" s="326"/>
      <c r="X71" s="525">
        <v>0.1</v>
      </c>
      <c r="Y71" s="525">
        <v>0.1</v>
      </c>
      <c r="Z71" s="326"/>
      <c r="AA71" s="525">
        <v>0.1</v>
      </c>
      <c r="AB71" s="525">
        <v>0.1</v>
      </c>
      <c r="AC71" s="326"/>
      <c r="AD71" s="525">
        <v>0.1</v>
      </c>
      <c r="AE71" s="525">
        <v>0.1</v>
      </c>
      <c r="AF71" s="326"/>
      <c r="AG71" s="267"/>
    </row>
    <row r="72" spans="1:33" s="419" customFormat="1" ht="12.75">
      <c r="A72" s="328" t="s">
        <v>880</v>
      </c>
      <c r="B72" s="326"/>
      <c r="C72" s="326"/>
      <c r="D72" s="328" t="s">
        <v>414</v>
      </c>
      <c r="E72" s="419" t="s">
        <v>1</v>
      </c>
      <c r="F72" s="526">
        <v>50</v>
      </c>
      <c r="G72" s="526">
        <v>50</v>
      </c>
      <c r="H72" s="326"/>
      <c r="I72" s="526">
        <v>25</v>
      </c>
      <c r="J72" s="526">
        <v>25</v>
      </c>
      <c r="K72" s="326"/>
      <c r="L72" s="526">
        <v>25</v>
      </c>
      <c r="M72" s="526">
        <v>25</v>
      </c>
      <c r="N72" s="326"/>
      <c r="O72" s="526">
        <v>30</v>
      </c>
      <c r="P72" s="526">
        <v>30</v>
      </c>
      <c r="Q72" s="326"/>
      <c r="R72" s="526">
        <v>30</v>
      </c>
      <c r="S72" s="526">
        <v>30</v>
      </c>
      <c r="T72" s="326"/>
      <c r="U72" s="526">
        <v>10</v>
      </c>
      <c r="V72" s="526">
        <v>10</v>
      </c>
      <c r="W72" s="326"/>
      <c r="X72" s="526">
        <v>10</v>
      </c>
      <c r="Y72" s="526">
        <v>10</v>
      </c>
      <c r="Z72" s="326"/>
      <c r="AA72" s="526">
        <v>10</v>
      </c>
      <c r="AB72" s="526">
        <v>10</v>
      </c>
      <c r="AC72" s="326"/>
      <c r="AD72" s="526">
        <v>10</v>
      </c>
      <c r="AE72" s="526">
        <v>10</v>
      </c>
      <c r="AF72" s="326"/>
      <c r="AG72" s="267"/>
    </row>
    <row r="73" spans="1:33" s="419" customFormat="1" ht="12.75">
      <c r="A73" s="328" t="s">
        <v>881</v>
      </c>
      <c r="B73" s="326"/>
      <c r="C73" s="326"/>
      <c r="D73" s="328" t="s">
        <v>414</v>
      </c>
      <c r="E73" s="419" t="s">
        <v>1</v>
      </c>
      <c r="F73" s="526">
        <v>-50</v>
      </c>
      <c r="G73" s="526">
        <v>-50</v>
      </c>
      <c r="H73" s="326"/>
      <c r="I73" s="526">
        <v>-25</v>
      </c>
      <c r="J73" s="526">
        <v>-25</v>
      </c>
      <c r="K73" s="326"/>
      <c r="L73" s="526">
        <v>-25</v>
      </c>
      <c r="M73" s="526">
        <v>-25</v>
      </c>
      <c r="N73" s="326"/>
      <c r="O73" s="526">
        <v>-30</v>
      </c>
      <c r="P73" s="526">
        <v>-30</v>
      </c>
      <c r="Q73" s="326"/>
      <c r="R73" s="526">
        <v>-30</v>
      </c>
      <c r="S73" s="526">
        <v>-30</v>
      </c>
      <c r="T73" s="326"/>
      <c r="U73" s="526">
        <v>-10</v>
      </c>
      <c r="V73" s="526">
        <v>-10</v>
      </c>
      <c r="W73" s="326"/>
      <c r="X73" s="526">
        <v>-10</v>
      </c>
      <c r="Y73" s="526">
        <v>-10</v>
      </c>
      <c r="Z73" s="326"/>
      <c r="AA73" s="526">
        <v>-10</v>
      </c>
      <c r="AB73" s="526">
        <v>-10</v>
      </c>
      <c r="AC73" s="326"/>
      <c r="AD73" s="526">
        <v>-10</v>
      </c>
      <c r="AE73" s="526">
        <v>-10</v>
      </c>
      <c r="AF73" s="326"/>
      <c r="AG73" s="267"/>
    </row>
    <row r="74" spans="1:33" s="419" customFormat="1" ht="12.75">
      <c r="A74" s="324"/>
      <c r="B74" s="326"/>
      <c r="C74" s="326"/>
      <c r="D74" s="326"/>
      <c r="E74" s="326"/>
      <c r="F74" s="326"/>
      <c r="G74" s="326"/>
      <c r="H74" s="326"/>
      <c r="I74" s="326"/>
      <c r="J74" s="326"/>
      <c r="K74" s="338"/>
      <c r="N74" s="422"/>
      <c r="R74" s="457"/>
      <c r="AG74" s="267"/>
    </row>
    <row r="75" spans="1:33" s="419" customFormat="1" ht="13.9">
      <c r="A75" s="522" t="s">
        <v>874</v>
      </c>
      <c r="B75" s="326"/>
      <c r="C75" s="326"/>
      <c r="D75" s="326"/>
      <c r="E75" s="326"/>
      <c r="F75" s="326"/>
      <c r="G75" s="326"/>
      <c r="H75" s="326"/>
      <c r="I75" s="326"/>
      <c r="J75" s="326"/>
      <c r="K75" s="338"/>
      <c r="N75" s="422"/>
      <c r="R75" s="457"/>
      <c r="AG75" s="267"/>
    </row>
    <row r="76" spans="1:33" s="140" customFormat="1">
      <c r="A76" s="492" t="s">
        <v>820</v>
      </c>
      <c r="B76" s="492"/>
      <c r="C76" s="492"/>
      <c r="D76" s="492" t="s">
        <v>410</v>
      </c>
      <c r="E76" s="267" t="s">
        <v>1</v>
      </c>
      <c r="F76" s="332">
        <f>IF(F109&lt;F138,0,IF(F109&lt;F130,F71,IF(F109=F130,0,IF(F109&lt;F137,F71,0))))</f>
        <v>0</v>
      </c>
      <c r="G76" s="332">
        <f>IF(G109&lt;G138,0,IF(G109&lt;G130,G71,IF(G109=G130,0,IF(G109&lt;G137,G71,0))))</f>
        <v>0</v>
      </c>
      <c r="I76" s="332">
        <f>IF(I109&lt;I138,0,IF(I109&lt;I130,I71,IF(I109=I130,0,IF(I109&lt;I137,I71,0))))</f>
        <v>0</v>
      </c>
      <c r="J76" s="332">
        <f>IF(J109&lt;J138,0,IF(J109&lt;J130,J71,IF(J109=J130,0,IF(J109&lt;J137,J71,0))))</f>
        <v>0</v>
      </c>
      <c r="K76" s="419"/>
      <c r="L76" s="332">
        <f>IF(L109&lt;L138,0,IF(L109&lt;L130,L71,IF(L109=L130,0,IF(L109&lt;L137,L71,0))))</f>
        <v>0</v>
      </c>
      <c r="M76" s="332">
        <f>IF(M109&lt;M138,0,IF(M109&lt;M130,M71,IF(M109=M130,0,IF(M109&lt;M137,M71,0))))</f>
        <v>0</v>
      </c>
      <c r="N76" s="419"/>
      <c r="O76" s="332">
        <f>IF(O109&lt;O138,0,IF(O109&lt;O130,O71,IF(O109=O130,0,IF(O109&lt;O137,O71,0))))</f>
        <v>0</v>
      </c>
      <c r="P76" s="332">
        <f>IF(P109&lt;P138,0,IF(P109&lt;P130,P71,IF(P109=P130,0,IF(P109&lt;P137,P71,0))))</f>
        <v>0</v>
      </c>
      <c r="Q76" s="419"/>
      <c r="R76" s="332">
        <f>IF(R109&lt;R138,0,IF(R109&lt;R130,R71,IF(R109=R130,0,IF(R109&lt;R137,R71,0))))</f>
        <v>0</v>
      </c>
      <c r="S76" s="332">
        <f>IF(S109&lt;S138,0,IF(S109&lt;S130,S71,IF(S109=S130,0,IF(S109&lt;S137,S71,0))))</f>
        <v>0</v>
      </c>
      <c r="T76" s="419"/>
      <c r="AF76" s="419"/>
      <c r="AG76" s="267"/>
    </row>
    <row r="77" spans="1:33" s="140" customFormat="1">
      <c r="A77" s="492" t="s">
        <v>821</v>
      </c>
      <c r="B77" s="492"/>
      <c r="C77" s="492"/>
      <c r="D77" s="492" t="s">
        <v>411</v>
      </c>
      <c r="E77" s="267" t="s">
        <v>1</v>
      </c>
      <c r="F77" s="332">
        <f>IF(F109&lt;F138,0,IF(F109&lt;F130,F130,IF(F109=F130,F109,IF(F109&lt;F137,F130,0))))</f>
        <v>0</v>
      </c>
      <c r="G77" s="332">
        <f>IF(G109&lt;G138,0,IF(G109&lt;G130,G130,IF(G109=G130,G109,IF(G109&lt;G137,G130,0))))</f>
        <v>0</v>
      </c>
      <c r="I77" s="332">
        <f>IF(I109&lt;I138,0,IF(I109&lt;I130,I130,IF(I109=I130,I109,IF(I109&lt;I137,I130,0))))</f>
        <v>0</v>
      </c>
      <c r="J77" s="332">
        <f>IF(J109&lt;J138,0,IF(J109&lt;J130,J130,IF(J109=J130,J109,IF(J109&lt;J137,J130,0))))</f>
        <v>0</v>
      </c>
      <c r="K77" s="419"/>
      <c r="L77" s="332">
        <f>IF(L109&lt;L138,0,IF(L109&lt;L130,L130,IF(L109=L130,L109,IF(L109&lt;L137,L130,0))))</f>
        <v>0</v>
      </c>
      <c r="M77" s="332">
        <f>IF(M109&lt;M138,0,IF(M109&lt;M130,M130,IF(M109=M130,M109,IF(M109&lt;M137,M130,0))))</f>
        <v>0</v>
      </c>
      <c r="N77" s="419"/>
      <c r="O77" s="332">
        <f>IF(O109&lt;O138,0,IF(O109&lt;O130,O130,IF(O109=O130,O109,IF(O109&lt;O137,O130,0))))</f>
        <v>0</v>
      </c>
      <c r="P77" s="332">
        <f>IF(P109&lt;P138,0,IF(P109&lt;P130,P130,IF(P109=P130,P109,IF(P109&lt;P137,P130,0))))</f>
        <v>0</v>
      </c>
      <c r="Q77" s="419"/>
      <c r="R77" s="332">
        <f>IF(R109&lt;R138,0,IF(R109&lt;R130,R130,IF(R109=R130,R109,IF(R109&lt;R137,R130,0))))</f>
        <v>0</v>
      </c>
      <c r="S77" s="332">
        <f>IF(S109&lt;S138,0,IF(S109&lt;S130,S130,IF(S109=S130,S109,IF(S109&lt;S137,S130,0))))</f>
        <v>0</v>
      </c>
      <c r="T77" s="419"/>
      <c r="AG77" s="267"/>
    </row>
    <row r="78" spans="1:33" s="140" customFormat="1">
      <c r="A78" s="492" t="s">
        <v>412</v>
      </c>
      <c r="B78" s="492"/>
      <c r="C78" s="492"/>
      <c r="D78" s="492" t="s">
        <v>413</v>
      </c>
      <c r="E78" s="140" t="s">
        <v>1</v>
      </c>
      <c r="F78" s="332">
        <f>F109</f>
        <v>0</v>
      </c>
      <c r="G78" s="332">
        <f>G109</f>
        <v>0</v>
      </c>
      <c r="I78" s="332">
        <f>I109</f>
        <v>0</v>
      </c>
      <c r="J78" s="332">
        <f>J109</f>
        <v>0</v>
      </c>
      <c r="K78" s="419"/>
      <c r="L78" s="332">
        <f>L109</f>
        <v>0</v>
      </c>
      <c r="M78" s="332">
        <f>M109</f>
        <v>0</v>
      </c>
      <c r="N78" s="419"/>
      <c r="O78" s="332">
        <f>O109</f>
        <v>0</v>
      </c>
      <c r="P78" s="332">
        <f>P109</f>
        <v>0</v>
      </c>
      <c r="Q78" s="419"/>
      <c r="R78" s="332">
        <f>R109</f>
        <v>0</v>
      </c>
      <c r="S78" s="332">
        <f>S109</f>
        <v>0</v>
      </c>
      <c r="T78" s="419"/>
      <c r="AG78" s="267"/>
    </row>
    <row r="79" spans="1:33" s="140" customFormat="1">
      <c r="A79" s="492" t="s">
        <v>823</v>
      </c>
      <c r="B79" s="492"/>
      <c r="C79" s="492"/>
      <c r="D79" s="492" t="s">
        <v>414</v>
      </c>
      <c r="E79" s="267" t="s">
        <v>1</v>
      </c>
      <c r="F79" s="332">
        <f>IF(F109&lt;F138,F72,IF(F109&lt;F130,0,IF(F109=F130,0,IF(F109&lt;F137,0,F73))))</f>
        <v>0</v>
      </c>
      <c r="G79" s="332">
        <f>IF(G109&lt;G138,G72,IF(G109&lt;G130,0,IF(G109=G130,0,IF(G109&lt;G137,0,G73))))</f>
        <v>0</v>
      </c>
      <c r="I79" s="332">
        <f>IF(I109&lt;I138,I72,IF(I109&lt;I130,0,IF(I109=I130,0,IF(I109&lt;I137,0,I73))))</f>
        <v>0</v>
      </c>
      <c r="J79" s="332">
        <f>IF(J109&lt;J138,J72,IF(J109&lt;J130,0,IF(J109=J130,0,IF(J109&lt;J137,0,J73))))</f>
        <v>0</v>
      </c>
      <c r="K79" s="419"/>
      <c r="L79" s="332">
        <f>IF(L109&lt;L138,L72,IF(L109&lt;L130,0,IF(L109=L130,0,IF(L109&lt;L137,0,L73))))</f>
        <v>0</v>
      </c>
      <c r="M79" s="332">
        <f>IF(M109&lt;M138,M72,IF(M109&lt;M130,0,IF(M109=M130,0,IF(M109&lt;M137,0,M73))))</f>
        <v>0</v>
      </c>
      <c r="N79" s="419"/>
      <c r="O79" s="332">
        <f>IF(O109&lt;O138,O72,IF(O109&lt;O130,0,IF(O109=O130,0,IF(O109&lt;O137,0,O73))))</f>
        <v>0</v>
      </c>
      <c r="P79" s="332">
        <f>IF(P109&lt;P138,P72,IF(P109&lt;P130,0,IF(P109=P130,0,IF(P109&lt;P137,0,P73))))</f>
        <v>0</v>
      </c>
      <c r="Q79" s="419"/>
      <c r="R79" s="332">
        <f>IF(R109&lt;R138,R72,IF(R109&lt;R130,0,IF(R109=R130,0,IF(R109&lt;R137,0,R73))))</f>
        <v>0</v>
      </c>
      <c r="S79" s="332">
        <f>IF(S109&lt;S138,S72,IF(S109&lt;S130,0,IF(S109=S130,0,IF(S109&lt;S137,0,S73))))</f>
        <v>0</v>
      </c>
      <c r="T79" s="419"/>
      <c r="AG79" s="267"/>
    </row>
    <row r="80" spans="1:33" s="140" customFormat="1" ht="13.5">
      <c r="A80" s="492"/>
      <c r="B80" s="492"/>
      <c r="C80" s="492"/>
      <c r="D80" s="492"/>
      <c r="E80" s="339"/>
      <c r="H80" s="339"/>
      <c r="K80" s="336"/>
      <c r="R80" s="374"/>
      <c r="AG80" s="267"/>
    </row>
    <row r="81" spans="1:33" s="140" customFormat="1">
      <c r="A81" s="492" t="s">
        <v>405</v>
      </c>
      <c r="B81" s="492"/>
      <c r="C81" s="492"/>
      <c r="D81" s="492" t="s">
        <v>406</v>
      </c>
      <c r="E81" s="140" t="s">
        <v>1</v>
      </c>
      <c r="F81" s="334">
        <f>IF((F77-F78)&lt;0,F76*(F77-F78+5)+F79,F76*(F77-F78-5)+F79)</f>
        <v>0</v>
      </c>
      <c r="G81" s="334">
        <f>IF((G77-G78)&lt;0,G76*(G77-G78+5)+G79,G76*(G77-G78-5)+G79)</f>
        <v>0</v>
      </c>
      <c r="I81" s="334">
        <f>I76*(I77-I78)+I79</f>
        <v>0</v>
      </c>
      <c r="J81" s="334">
        <f>J76*(J77-J78)+J79</f>
        <v>0</v>
      </c>
      <c r="K81" s="335"/>
      <c r="L81" s="334">
        <f t="shared" ref="L81:M81" si="2">L76*(L77-L78)+L79</f>
        <v>0</v>
      </c>
      <c r="M81" s="334">
        <f t="shared" si="2"/>
        <v>0</v>
      </c>
      <c r="O81" s="334">
        <f t="shared" ref="O81:P81" si="3">O76*(O77-O78)+O79</f>
        <v>0</v>
      </c>
      <c r="P81" s="334">
        <f t="shared" si="3"/>
        <v>0</v>
      </c>
      <c r="R81" s="334">
        <f t="shared" ref="R81:S81" si="4">R76*(R77-R78)+R79</f>
        <v>0</v>
      </c>
      <c r="S81" s="334">
        <f t="shared" si="4"/>
        <v>0</v>
      </c>
      <c r="AG81" s="267"/>
    </row>
    <row r="82" spans="1:33" s="419" customFormat="1" ht="12.75">
      <c r="A82" s="524"/>
      <c r="B82" s="524"/>
      <c r="C82" s="524"/>
      <c r="D82" s="524"/>
      <c r="E82" s="524"/>
      <c r="H82" s="326"/>
      <c r="K82" s="336"/>
      <c r="R82" s="457"/>
      <c r="AG82" s="267"/>
    </row>
    <row r="83" spans="1:33" s="419" customFormat="1" ht="13.9">
      <c r="A83" s="522" t="s">
        <v>895</v>
      </c>
      <c r="B83" s="524"/>
      <c r="C83" s="524"/>
      <c r="D83" s="524"/>
      <c r="E83" s="326"/>
      <c r="H83" s="326"/>
      <c r="K83" s="336"/>
      <c r="R83" s="457"/>
      <c r="Y83" s="457"/>
      <c r="AB83" s="457"/>
      <c r="AE83" s="457"/>
      <c r="AG83" s="267"/>
    </row>
    <row r="84" spans="1:33" s="419" customFormat="1" ht="12.75">
      <c r="A84" s="492" t="s">
        <v>820</v>
      </c>
      <c r="B84" s="492"/>
      <c r="C84" s="492"/>
      <c r="D84" s="492" t="s">
        <v>410</v>
      </c>
      <c r="E84" s="419" t="s">
        <v>1</v>
      </c>
      <c r="H84" s="326"/>
      <c r="K84" s="336"/>
      <c r="R84" s="457"/>
      <c r="U84" s="332">
        <f>IF(U121&lt;U138,0,IF(U121&lt;U134,U71,IF(U121=U134,0,IF(U121&lt;U137,U71,0))))</f>
        <v>0</v>
      </c>
      <c r="V84" s="332">
        <f>IF(V121&lt;V138,0,IF(V121&lt;V134,V71,IF(V121=V134,0,IF(V121&lt;V137,V71,0))))</f>
        <v>0</v>
      </c>
      <c r="Y84" s="457"/>
      <c r="AB84" s="457"/>
      <c r="AE84" s="457"/>
      <c r="AG84" s="267"/>
    </row>
    <row r="85" spans="1:33" s="419" customFormat="1" ht="12.75">
      <c r="A85" s="492" t="s">
        <v>821</v>
      </c>
      <c r="B85" s="492"/>
      <c r="C85" s="492"/>
      <c r="D85" s="492" t="s">
        <v>411</v>
      </c>
      <c r="E85" s="419" t="s">
        <v>1</v>
      </c>
      <c r="H85" s="326"/>
      <c r="K85" s="336"/>
      <c r="R85" s="457"/>
      <c r="U85" s="332">
        <f>IF(U121&lt;U138,0,IF(U121&lt;U134,U134,IF(U121=U134,U121,IF(U121&lt;U137,U134,0))))</f>
        <v>0</v>
      </c>
      <c r="V85" s="332">
        <f>IF(V121&lt;V138,0,IF(V121&lt;V134,V134,IF(V121=V134,V121,IF(V121&lt;V137,V134,0))))</f>
        <v>0</v>
      </c>
      <c r="W85" s="140"/>
      <c r="Y85" s="457"/>
      <c r="Z85" s="140"/>
      <c r="AB85" s="457"/>
      <c r="AC85" s="140"/>
      <c r="AE85" s="457"/>
      <c r="AG85" s="267"/>
    </row>
    <row r="86" spans="1:33" s="419" customFormat="1" ht="12.75">
      <c r="A86" s="492" t="s">
        <v>412</v>
      </c>
      <c r="B86" s="492"/>
      <c r="C86" s="492"/>
      <c r="D86" s="492" t="s">
        <v>413</v>
      </c>
      <c r="E86" s="267" t="s">
        <v>1</v>
      </c>
      <c r="H86" s="326"/>
      <c r="K86" s="336"/>
      <c r="R86" s="457"/>
      <c r="U86" s="332">
        <f>U121</f>
        <v>0</v>
      </c>
      <c r="V86" s="332">
        <f>V121</f>
        <v>0</v>
      </c>
      <c r="W86" s="140"/>
      <c r="Y86" s="457"/>
      <c r="Z86" s="140"/>
      <c r="AB86" s="457"/>
      <c r="AC86" s="140"/>
      <c r="AE86" s="457"/>
      <c r="AG86" s="267"/>
    </row>
    <row r="87" spans="1:33" s="419" customFormat="1" ht="12.75">
      <c r="A87" s="492" t="s">
        <v>823</v>
      </c>
      <c r="B87" s="492"/>
      <c r="C87" s="492"/>
      <c r="D87" s="492" t="s">
        <v>414</v>
      </c>
      <c r="E87" s="419" t="s">
        <v>1</v>
      </c>
      <c r="H87" s="326"/>
      <c r="K87" s="336"/>
      <c r="R87" s="457"/>
      <c r="U87" s="332">
        <f>IF(U121&lt;U138,10,IF(U121&lt;U134,0,IF(U121=U134,0,IF(U121&lt;U137,0,-10))))</f>
        <v>0</v>
      </c>
      <c r="V87" s="332">
        <f>IF(V121&lt;V138,10,IF(V121&lt;V134,0,IF(V121=V134,0,IF(V121&lt;V137,0,-10))))</f>
        <v>0</v>
      </c>
      <c r="W87" s="140"/>
      <c r="Y87" s="457"/>
      <c r="Z87" s="140"/>
      <c r="AB87" s="457"/>
      <c r="AC87" s="140"/>
      <c r="AE87" s="457"/>
      <c r="AG87" s="267"/>
    </row>
    <row r="88" spans="1:33" s="419" customFormat="1" ht="13.5">
      <c r="A88" s="492"/>
      <c r="B88" s="492"/>
      <c r="C88" s="492"/>
      <c r="D88" s="492"/>
      <c r="E88" s="339"/>
      <c r="H88" s="326"/>
      <c r="K88" s="336"/>
      <c r="R88" s="457"/>
      <c r="U88" s="140"/>
      <c r="V88" s="140"/>
      <c r="W88" s="140"/>
      <c r="Y88" s="457"/>
      <c r="Z88" s="140"/>
      <c r="AB88" s="457"/>
      <c r="AC88" s="140"/>
      <c r="AE88" s="457"/>
      <c r="AG88" s="267"/>
    </row>
    <row r="89" spans="1:33" s="419" customFormat="1" ht="12.75">
      <c r="A89" s="492" t="s">
        <v>405</v>
      </c>
      <c r="B89" s="492"/>
      <c r="C89" s="492"/>
      <c r="D89" s="492" t="s">
        <v>406</v>
      </c>
      <c r="E89" s="419" t="s">
        <v>1</v>
      </c>
      <c r="H89" s="326"/>
      <c r="K89" s="336"/>
      <c r="R89" s="457"/>
      <c r="U89" s="334">
        <f t="shared" ref="U89:V89" si="5">U84*(U85-U86)+U87</f>
        <v>0</v>
      </c>
      <c r="V89" s="334">
        <f t="shared" si="5"/>
        <v>0</v>
      </c>
      <c r="W89" s="140"/>
      <c r="Y89" s="457"/>
      <c r="Z89" s="140"/>
      <c r="AB89" s="457"/>
      <c r="AC89" s="140"/>
      <c r="AE89" s="457"/>
      <c r="AG89" s="267"/>
    </row>
    <row r="90" spans="1:33" s="267" customFormat="1" ht="12.75">
      <c r="A90" s="524"/>
      <c r="B90" s="524"/>
      <c r="C90" s="524"/>
      <c r="D90" s="524"/>
      <c r="E90" s="524"/>
      <c r="H90" s="524"/>
      <c r="K90" s="336"/>
      <c r="R90" s="503"/>
      <c r="U90" s="513"/>
      <c r="V90" s="513"/>
      <c r="X90" s="419"/>
      <c r="Y90" s="457"/>
      <c r="AA90" s="419"/>
      <c r="AB90" s="457"/>
      <c r="AD90" s="419"/>
      <c r="AE90" s="457"/>
    </row>
    <row r="91" spans="1:33" s="419" customFormat="1" ht="13.9">
      <c r="A91" s="522" t="s">
        <v>894</v>
      </c>
      <c r="B91" s="524"/>
      <c r="C91" s="524"/>
      <c r="D91" s="524"/>
      <c r="E91" s="326"/>
      <c r="H91" s="326"/>
      <c r="K91" s="336"/>
      <c r="R91" s="457"/>
      <c r="V91" s="457"/>
      <c r="Y91" s="457"/>
      <c r="AB91" s="457"/>
      <c r="AE91" s="457"/>
      <c r="AG91" s="267"/>
    </row>
    <row r="92" spans="1:33" s="419" customFormat="1" ht="12.75">
      <c r="A92" s="492" t="s">
        <v>405</v>
      </c>
      <c r="B92" s="492"/>
      <c r="C92" s="492"/>
      <c r="D92" s="492" t="s">
        <v>406</v>
      </c>
      <c r="E92" s="419" t="s">
        <v>1</v>
      </c>
      <c r="H92" s="326"/>
      <c r="K92" s="336"/>
      <c r="R92" s="457"/>
      <c r="V92" s="457"/>
      <c r="X92" s="427"/>
      <c r="Y92" s="427"/>
      <c r="AA92" s="427"/>
      <c r="AB92" s="427"/>
      <c r="AD92" s="427"/>
      <c r="AE92" s="427"/>
      <c r="AG92" s="267"/>
    </row>
    <row r="93" spans="1:33" s="419" customFormat="1" ht="12.75">
      <c r="A93" s="492"/>
      <c r="B93" s="492"/>
      <c r="C93" s="492"/>
      <c r="D93" s="492"/>
      <c r="H93" s="326"/>
      <c r="K93" s="336"/>
      <c r="R93" s="457"/>
      <c r="V93" s="457"/>
      <c r="AG93" s="267"/>
    </row>
    <row r="94" spans="1:33" s="140" customFormat="1" ht="13.9">
      <c r="A94" s="337" t="s">
        <v>443</v>
      </c>
      <c r="B94" s="326"/>
      <c r="C94" s="326"/>
      <c r="D94" s="326"/>
      <c r="E94" s="326"/>
      <c r="H94" s="326"/>
      <c r="K94" s="336"/>
      <c r="R94" s="457"/>
      <c r="U94" s="419"/>
      <c r="V94" s="457"/>
      <c r="W94" s="419"/>
      <c r="AG94" s="267"/>
    </row>
    <row r="95" spans="1:33" s="140" customFormat="1" ht="12.75">
      <c r="A95" s="324" t="s">
        <v>822</v>
      </c>
      <c r="B95" s="326"/>
      <c r="C95" s="326"/>
      <c r="D95" s="326"/>
      <c r="E95" s="326"/>
      <c r="H95" s="326"/>
      <c r="K95" s="336"/>
      <c r="R95" s="457"/>
      <c r="AG95" s="267"/>
    </row>
    <row r="96" spans="1:33" s="419" customFormat="1" ht="12.75">
      <c r="A96" s="324"/>
      <c r="B96" s="326"/>
      <c r="C96" s="326"/>
      <c r="D96" s="326"/>
      <c r="E96" s="326"/>
      <c r="H96" s="326"/>
      <c r="K96" s="336"/>
      <c r="R96" s="457"/>
      <c r="AG96" s="267"/>
    </row>
    <row r="97" spans="1:33" s="419" customFormat="1" ht="13.9">
      <c r="A97" s="522" t="s">
        <v>874</v>
      </c>
      <c r="B97" s="326"/>
      <c r="C97" s="326"/>
      <c r="D97" s="326"/>
      <c r="E97" s="326"/>
      <c r="H97" s="326"/>
      <c r="K97" s="336"/>
      <c r="R97" s="457"/>
      <c r="AG97" s="267"/>
    </row>
    <row r="98" spans="1:33" s="419" customFormat="1" ht="12.75">
      <c r="A98" s="324"/>
      <c r="B98" s="326"/>
      <c r="C98" s="326"/>
      <c r="D98" s="326"/>
      <c r="E98" s="326"/>
      <c r="H98" s="326"/>
      <c r="K98" s="336"/>
      <c r="R98" s="457"/>
      <c r="AG98" s="267"/>
    </row>
    <row r="99" spans="1:33" s="419" customFormat="1">
      <c r="A99" s="492" t="s">
        <v>415</v>
      </c>
      <c r="B99" s="492"/>
      <c r="C99" s="492"/>
      <c r="D99" s="492" t="s">
        <v>398</v>
      </c>
      <c r="E99" s="267" t="s">
        <v>1</v>
      </c>
      <c r="F99" s="332">
        <f>F24</f>
        <v>0</v>
      </c>
      <c r="G99" s="332">
        <f>G24</f>
        <v>0</v>
      </c>
      <c r="I99" s="332">
        <f>I24</f>
        <v>0</v>
      </c>
      <c r="J99" s="332">
        <f>J24</f>
        <v>0</v>
      </c>
      <c r="L99" s="332">
        <f>L24</f>
        <v>0</v>
      </c>
      <c r="M99" s="332">
        <f>M24</f>
        <v>0</v>
      </c>
      <c r="O99" s="332">
        <f>O24</f>
        <v>0</v>
      </c>
      <c r="P99" s="332">
        <f>P24</f>
        <v>0</v>
      </c>
      <c r="R99" s="332">
        <f>R24</f>
        <v>0</v>
      </c>
      <c r="S99" s="332">
        <f>S24</f>
        <v>0</v>
      </c>
      <c r="AG99" s="267"/>
    </row>
    <row r="100" spans="1:33" s="419" customFormat="1">
      <c r="A100" s="492" t="s">
        <v>416</v>
      </c>
      <c r="B100" s="492"/>
      <c r="C100" s="492"/>
      <c r="D100" s="492" t="s">
        <v>400</v>
      </c>
      <c r="E100" s="267" t="s">
        <v>1</v>
      </c>
      <c r="F100" s="332">
        <f>F25</f>
        <v>0</v>
      </c>
      <c r="G100" s="332">
        <f>G25</f>
        <v>0</v>
      </c>
      <c r="I100" s="332">
        <f>I25</f>
        <v>0</v>
      </c>
      <c r="J100" s="332">
        <f>J25</f>
        <v>0</v>
      </c>
      <c r="L100" s="332">
        <f>L25</f>
        <v>0</v>
      </c>
      <c r="M100" s="332">
        <f>M25</f>
        <v>0</v>
      </c>
      <c r="O100" s="332">
        <f>O25</f>
        <v>0</v>
      </c>
      <c r="P100" s="332">
        <f>P25</f>
        <v>0</v>
      </c>
      <c r="R100" s="332">
        <f>R25</f>
        <v>0</v>
      </c>
      <c r="S100" s="332">
        <f>S25</f>
        <v>0</v>
      </c>
      <c r="AG100" s="267"/>
    </row>
    <row r="101" spans="1:33" s="419" customFormat="1">
      <c r="A101" s="492" t="s">
        <v>878</v>
      </c>
      <c r="B101" s="492"/>
      <c r="C101" s="492"/>
      <c r="D101" s="492" t="s">
        <v>876</v>
      </c>
      <c r="E101" s="267" t="s">
        <v>1</v>
      </c>
      <c r="F101" s="427"/>
      <c r="G101" s="332">
        <f>F101</f>
        <v>0</v>
      </c>
      <c r="K101" s="340"/>
      <c r="R101" s="374"/>
      <c r="AG101" s="267"/>
    </row>
    <row r="102" spans="1:33" s="419" customFormat="1" ht="12.75">
      <c r="A102" s="492"/>
      <c r="B102" s="492"/>
      <c r="C102" s="492"/>
      <c r="D102" s="492"/>
      <c r="E102" s="524"/>
      <c r="H102" s="326"/>
      <c r="K102" s="336"/>
      <c r="R102" s="457"/>
      <c r="AG102" s="267"/>
    </row>
    <row r="103" spans="1:33" s="419" customFormat="1">
      <c r="A103" s="492" t="s">
        <v>417</v>
      </c>
      <c r="B103" s="492"/>
      <c r="C103" s="492"/>
      <c r="D103" s="492" t="s">
        <v>418</v>
      </c>
      <c r="E103" s="267" t="s">
        <v>1</v>
      </c>
      <c r="F103" s="427"/>
      <c r="G103" s="427"/>
      <c r="I103" s="427"/>
      <c r="J103" s="427"/>
      <c r="K103" s="330"/>
      <c r="L103" s="427"/>
      <c r="M103" s="427"/>
      <c r="O103" s="427"/>
      <c r="P103" s="427"/>
      <c r="R103" s="427"/>
      <c r="S103" s="427"/>
      <c r="AG103" s="267"/>
    </row>
    <row r="104" spans="1:33" s="419" customFormat="1" ht="12.75">
      <c r="A104" s="492"/>
      <c r="B104" s="492"/>
      <c r="C104" s="492"/>
      <c r="D104" s="492"/>
      <c r="E104" s="524"/>
      <c r="H104" s="326"/>
      <c r="K104" s="336"/>
      <c r="R104" s="457"/>
      <c r="AG104" s="267"/>
    </row>
    <row r="105" spans="1:33" s="419" customFormat="1">
      <c r="A105" s="492" t="s">
        <v>419</v>
      </c>
      <c r="B105" s="492"/>
      <c r="C105" s="492"/>
      <c r="D105" s="492" t="s">
        <v>404</v>
      </c>
      <c r="E105" s="267" t="s">
        <v>1</v>
      </c>
      <c r="F105" s="427"/>
      <c r="G105" s="427"/>
      <c r="I105" s="427"/>
      <c r="J105" s="427"/>
      <c r="K105" s="330"/>
      <c r="L105" s="427"/>
      <c r="M105" s="427"/>
      <c r="O105" s="427"/>
      <c r="P105" s="427"/>
      <c r="R105" s="456"/>
      <c r="S105" s="427"/>
      <c r="AG105" s="267"/>
    </row>
    <row r="106" spans="1:33" s="419" customFormat="1" ht="12.75">
      <c r="A106" s="492"/>
      <c r="B106" s="492"/>
      <c r="C106" s="492"/>
      <c r="D106" s="492"/>
      <c r="E106" s="524"/>
      <c r="H106" s="326"/>
      <c r="K106" s="336"/>
      <c r="R106" s="457"/>
      <c r="AG106" s="267"/>
    </row>
    <row r="107" spans="1:33" s="419" customFormat="1">
      <c r="A107" s="267" t="s">
        <v>877</v>
      </c>
      <c r="B107" s="267"/>
      <c r="C107" s="267"/>
      <c r="D107" s="267" t="s">
        <v>872</v>
      </c>
      <c r="E107" s="267" t="s">
        <v>1</v>
      </c>
      <c r="F107" s="427"/>
      <c r="G107" s="427"/>
      <c r="I107" s="427"/>
      <c r="J107" s="427"/>
      <c r="K107" s="330"/>
      <c r="L107" s="427"/>
      <c r="M107" s="427"/>
      <c r="O107" s="427"/>
      <c r="P107" s="427"/>
      <c r="R107" s="456"/>
      <c r="S107" s="427"/>
      <c r="AG107" s="267"/>
    </row>
    <row r="108" spans="1:33" s="419" customFormat="1">
      <c r="A108" s="267"/>
      <c r="B108" s="267"/>
      <c r="C108" s="267"/>
      <c r="D108" s="267"/>
      <c r="E108" s="267"/>
      <c r="K108" s="336"/>
      <c r="R108" s="457"/>
      <c r="AG108" s="267"/>
    </row>
    <row r="109" spans="1:33" s="419" customFormat="1">
      <c r="A109" s="492" t="s">
        <v>420</v>
      </c>
      <c r="B109" s="492"/>
      <c r="C109" s="492"/>
      <c r="D109" s="492" t="s">
        <v>413</v>
      </c>
      <c r="E109" s="267" t="s">
        <v>1</v>
      </c>
      <c r="F109" s="269">
        <f>F99+F100+F101-F103-F105-F107</f>
        <v>0</v>
      </c>
      <c r="G109" s="269">
        <f>G99+G100+G101-G103-G105-G107</f>
        <v>0</v>
      </c>
      <c r="I109" s="269">
        <f>I99+I100+I101-I103-I105-I107</f>
        <v>0</v>
      </c>
      <c r="J109" s="269">
        <f>J99+J100+J101-J103-J105-J107</f>
        <v>0</v>
      </c>
      <c r="K109" s="341"/>
      <c r="L109" s="269">
        <f>L99+L100+L101-L103-L105-L107</f>
        <v>0</v>
      </c>
      <c r="M109" s="269">
        <f>M99+M100+M101-M103-M105-M107</f>
        <v>0</v>
      </c>
      <c r="O109" s="269">
        <f>O99+O100+O101-O103-O105-O107</f>
        <v>0</v>
      </c>
      <c r="P109" s="269">
        <f>P99+P100+P101-P103-P105-P107</f>
        <v>0</v>
      </c>
      <c r="R109" s="269">
        <f>R99+R100+R101-R103-R105-R107</f>
        <v>0</v>
      </c>
      <c r="S109" s="269">
        <f>S99+S100+S101-S103-S105-S107</f>
        <v>0</v>
      </c>
      <c r="AG109" s="267"/>
    </row>
    <row r="110" spans="1:33" s="267" customFormat="1">
      <c r="A110" s="492"/>
      <c r="B110" s="492"/>
      <c r="C110" s="492"/>
      <c r="D110" s="492"/>
      <c r="F110" s="497"/>
      <c r="G110" s="497"/>
      <c r="I110" s="497"/>
      <c r="J110" s="497"/>
      <c r="K110" s="497"/>
      <c r="L110" s="497"/>
      <c r="M110" s="497"/>
      <c r="O110" s="497"/>
      <c r="P110" s="497"/>
      <c r="R110" s="497"/>
      <c r="S110" s="497"/>
      <c r="U110" s="497"/>
      <c r="V110" s="497"/>
      <c r="X110" s="497"/>
      <c r="Y110" s="497"/>
      <c r="AA110" s="497"/>
      <c r="AB110" s="497"/>
      <c r="AD110" s="497"/>
      <c r="AE110" s="497"/>
    </row>
    <row r="111" spans="1:33" s="267" customFormat="1">
      <c r="A111" s="492"/>
      <c r="B111" s="492"/>
      <c r="C111" s="492"/>
      <c r="D111" s="492"/>
      <c r="F111" s="497"/>
      <c r="G111" s="497"/>
      <c r="I111" s="497"/>
      <c r="J111" s="497"/>
      <c r="K111" s="497"/>
      <c r="L111" s="497"/>
      <c r="M111" s="497"/>
      <c r="O111" s="497"/>
      <c r="P111" s="497"/>
      <c r="R111" s="497"/>
      <c r="S111" s="497"/>
      <c r="U111" s="497"/>
      <c r="V111" s="497"/>
      <c r="X111" s="497"/>
      <c r="Y111" s="497"/>
      <c r="AA111" s="497"/>
      <c r="AB111" s="497"/>
      <c r="AD111" s="497"/>
      <c r="AE111" s="497"/>
    </row>
    <row r="112" spans="1:33" s="419" customFormat="1" ht="13.9">
      <c r="A112" s="515" t="s">
        <v>875</v>
      </c>
      <c r="B112" s="326"/>
      <c r="C112" s="326"/>
      <c r="D112" s="326"/>
      <c r="E112" s="326"/>
      <c r="H112" s="326"/>
      <c r="K112" s="336"/>
      <c r="R112" s="457"/>
      <c r="AG112" s="267"/>
    </row>
    <row r="113" spans="1:33" s="419" customFormat="1" ht="13.9">
      <c r="A113" s="515"/>
      <c r="B113" s="326"/>
      <c r="C113" s="326"/>
      <c r="D113" s="326"/>
      <c r="E113" s="326"/>
      <c r="H113" s="326"/>
      <c r="K113" s="336"/>
      <c r="R113" s="457"/>
      <c r="AG113" s="267"/>
    </row>
    <row r="114" spans="1:33" s="140" customFormat="1">
      <c r="A114" s="328" t="s">
        <v>415</v>
      </c>
      <c r="B114" s="328"/>
      <c r="C114" s="328"/>
      <c r="D114" s="328" t="s">
        <v>398</v>
      </c>
      <c r="E114" s="140" t="s">
        <v>1</v>
      </c>
      <c r="F114" s="340"/>
      <c r="G114" s="340"/>
      <c r="H114" s="336"/>
      <c r="I114" s="340"/>
      <c r="J114" s="340"/>
      <c r="K114" s="340"/>
      <c r="L114" s="340"/>
      <c r="M114" s="340"/>
      <c r="N114" s="227"/>
      <c r="O114" s="340"/>
      <c r="P114" s="340"/>
      <c r="Q114" s="336"/>
      <c r="R114" s="340"/>
      <c r="S114" s="340"/>
      <c r="U114" s="332">
        <f>U42</f>
        <v>0</v>
      </c>
      <c r="V114" s="332">
        <f>V42</f>
        <v>0</v>
      </c>
      <c r="X114" s="332">
        <f>X42</f>
        <v>0</v>
      </c>
      <c r="Y114" s="332">
        <f>Y42</f>
        <v>0</v>
      </c>
      <c r="AA114" s="332">
        <f>AA42</f>
        <v>0</v>
      </c>
      <c r="AB114" s="332">
        <f>AB42</f>
        <v>0</v>
      </c>
      <c r="AD114" s="332">
        <f>AD42</f>
        <v>0</v>
      </c>
      <c r="AE114" s="332">
        <f>AE42</f>
        <v>0</v>
      </c>
      <c r="AG114" s="267"/>
    </row>
    <row r="115" spans="1:33" s="140" customFormat="1">
      <c r="A115" s="328" t="s">
        <v>416</v>
      </c>
      <c r="B115" s="328"/>
      <c r="C115" s="328"/>
      <c r="D115" s="328" t="s">
        <v>400</v>
      </c>
      <c r="E115" s="140" t="s">
        <v>1</v>
      </c>
      <c r="F115" s="340"/>
      <c r="G115" s="340"/>
      <c r="H115" s="336"/>
      <c r="I115" s="340"/>
      <c r="J115" s="340"/>
      <c r="K115" s="340"/>
      <c r="L115" s="340"/>
      <c r="M115" s="340"/>
      <c r="N115" s="336"/>
      <c r="O115" s="340"/>
      <c r="P115" s="340"/>
      <c r="Q115" s="336"/>
      <c r="R115" s="340"/>
      <c r="S115" s="340"/>
      <c r="U115" s="332">
        <f>U43</f>
        <v>0</v>
      </c>
      <c r="V115" s="332">
        <f>V43</f>
        <v>0</v>
      </c>
      <c r="X115" s="332">
        <f>X43</f>
        <v>0</v>
      </c>
      <c r="Y115" s="332">
        <f>Y43</f>
        <v>0</v>
      </c>
      <c r="AA115" s="332">
        <f>AA43</f>
        <v>0</v>
      </c>
      <c r="AB115" s="332">
        <f>AB43</f>
        <v>0</v>
      </c>
      <c r="AD115" s="332">
        <f>AD43</f>
        <v>0</v>
      </c>
      <c r="AE115" s="332">
        <f>AE43</f>
        <v>0</v>
      </c>
      <c r="AG115" s="267"/>
    </row>
    <row r="116" spans="1:33" s="140" customFormat="1" ht="12.75">
      <c r="A116" s="328"/>
      <c r="B116" s="328"/>
      <c r="C116" s="328"/>
      <c r="D116" s="328"/>
      <c r="E116" s="326"/>
      <c r="F116" s="336"/>
      <c r="G116" s="336"/>
      <c r="H116" s="338"/>
      <c r="I116" s="336"/>
      <c r="J116" s="336"/>
      <c r="K116" s="336"/>
      <c r="L116" s="336"/>
      <c r="M116" s="336"/>
      <c r="N116" s="336"/>
      <c r="O116" s="336"/>
      <c r="P116" s="336"/>
      <c r="Q116" s="336"/>
      <c r="R116" s="520"/>
      <c r="S116" s="336"/>
      <c r="AG116" s="267"/>
    </row>
    <row r="117" spans="1:33" s="140" customFormat="1">
      <c r="A117" s="328" t="s">
        <v>417</v>
      </c>
      <c r="B117" s="328"/>
      <c r="C117" s="328"/>
      <c r="D117" s="328" t="s">
        <v>418</v>
      </c>
      <c r="E117" s="140" t="s">
        <v>1</v>
      </c>
      <c r="F117" s="340"/>
      <c r="G117" s="340"/>
      <c r="H117" s="336"/>
      <c r="I117" s="340"/>
      <c r="J117" s="340"/>
      <c r="K117" s="340"/>
      <c r="L117" s="340"/>
      <c r="M117" s="340"/>
      <c r="N117" s="336"/>
      <c r="O117" s="340"/>
      <c r="P117" s="340"/>
      <c r="Q117" s="336"/>
      <c r="R117" s="340"/>
      <c r="S117" s="340"/>
      <c r="U117" s="329"/>
      <c r="V117" s="329"/>
      <c r="X117" s="329"/>
      <c r="Y117" s="329"/>
      <c r="AA117" s="329"/>
      <c r="AB117" s="329"/>
      <c r="AD117" s="329"/>
      <c r="AE117" s="329"/>
      <c r="AG117" s="267"/>
    </row>
    <row r="118" spans="1:33" s="140" customFormat="1" ht="12.75">
      <c r="A118" s="328"/>
      <c r="B118" s="328"/>
      <c r="C118" s="328"/>
      <c r="D118" s="328"/>
      <c r="E118" s="326"/>
      <c r="F118" s="336"/>
      <c r="G118" s="336"/>
      <c r="H118" s="338"/>
      <c r="I118" s="336"/>
      <c r="J118" s="336"/>
      <c r="K118" s="336"/>
      <c r="L118" s="336"/>
      <c r="M118" s="336"/>
      <c r="N118" s="336"/>
      <c r="O118" s="336"/>
      <c r="P118" s="336"/>
      <c r="Q118" s="336"/>
      <c r="R118" s="520"/>
      <c r="S118" s="336"/>
      <c r="AG118" s="267"/>
    </row>
    <row r="119" spans="1:33" s="140" customFormat="1">
      <c r="A119" s="328" t="s">
        <v>419</v>
      </c>
      <c r="B119" s="328"/>
      <c r="C119" s="328"/>
      <c r="D119" s="328" t="s">
        <v>404</v>
      </c>
      <c r="E119" s="140" t="s">
        <v>1</v>
      </c>
      <c r="F119" s="340"/>
      <c r="G119" s="340"/>
      <c r="H119" s="336"/>
      <c r="I119" s="340"/>
      <c r="J119" s="340"/>
      <c r="K119" s="340"/>
      <c r="L119" s="340"/>
      <c r="M119" s="340"/>
      <c r="N119" s="336"/>
      <c r="O119" s="340"/>
      <c r="P119" s="340"/>
      <c r="Q119" s="336"/>
      <c r="R119" s="520"/>
      <c r="S119" s="340"/>
      <c r="U119" s="329"/>
      <c r="V119" s="329"/>
      <c r="X119" s="329"/>
      <c r="Y119" s="329"/>
      <c r="AA119" s="329"/>
      <c r="AB119" s="329"/>
      <c r="AD119" s="329"/>
      <c r="AE119" s="329"/>
      <c r="AG119" s="267"/>
    </row>
    <row r="120" spans="1:33" s="140" customFormat="1" ht="12.75">
      <c r="A120" s="328"/>
      <c r="B120" s="328"/>
      <c r="C120" s="328"/>
      <c r="D120" s="328"/>
      <c r="E120" s="326"/>
      <c r="F120" s="336"/>
      <c r="G120" s="336"/>
      <c r="H120" s="338"/>
      <c r="I120" s="336"/>
      <c r="J120" s="336"/>
      <c r="K120" s="336"/>
      <c r="L120" s="336"/>
      <c r="M120" s="336"/>
      <c r="N120" s="336"/>
      <c r="O120" s="336"/>
      <c r="P120" s="336"/>
      <c r="Q120" s="336"/>
      <c r="R120" s="520"/>
      <c r="S120" s="336"/>
      <c r="AG120" s="267"/>
    </row>
    <row r="121" spans="1:33" s="140" customFormat="1">
      <c r="A121" s="328" t="s">
        <v>420</v>
      </c>
      <c r="B121" s="328"/>
      <c r="C121" s="328"/>
      <c r="D121" s="328" t="s">
        <v>413</v>
      </c>
      <c r="E121" s="140" t="s">
        <v>1</v>
      </c>
      <c r="F121" s="497"/>
      <c r="G121" s="497"/>
      <c r="H121" s="336"/>
      <c r="I121" s="497"/>
      <c r="J121" s="497"/>
      <c r="K121" s="497"/>
      <c r="L121" s="497"/>
      <c r="M121" s="497"/>
      <c r="N121" s="336"/>
      <c r="O121" s="497"/>
      <c r="P121" s="497"/>
      <c r="Q121" s="336"/>
      <c r="R121" s="497"/>
      <c r="S121" s="497"/>
      <c r="U121" s="269">
        <f>U114+U115-U117-U119</f>
        <v>0</v>
      </c>
      <c r="V121" s="269">
        <f>V114+V115-V117-V119</f>
        <v>0</v>
      </c>
      <c r="X121" s="269">
        <f>X114+X115-X117-X119</f>
        <v>0</v>
      </c>
      <c r="Y121" s="269">
        <f>Y114+Y115-Y117-Y119</f>
        <v>0</v>
      </c>
      <c r="AA121" s="269">
        <f>AA114+AA115-AA117-AA119</f>
        <v>0</v>
      </c>
      <c r="AB121" s="269">
        <f>AB114+AB115-AB117-AB119</f>
        <v>0</v>
      </c>
      <c r="AD121" s="269">
        <f>AD114+AD115-AD117-AD119</f>
        <v>0</v>
      </c>
      <c r="AE121" s="269">
        <f>AE114+AE115-AE117-AE119</f>
        <v>0</v>
      </c>
      <c r="AG121" s="267"/>
    </row>
    <row r="122" spans="1:33" s="267" customFormat="1">
      <c r="A122" s="492"/>
      <c r="B122" s="492"/>
      <c r="C122" s="492"/>
      <c r="D122" s="492"/>
      <c r="F122" s="497"/>
      <c r="G122" s="497"/>
      <c r="I122" s="497"/>
      <c r="J122" s="497"/>
      <c r="K122" s="497"/>
      <c r="L122" s="497"/>
      <c r="M122" s="497"/>
      <c r="O122" s="497"/>
      <c r="P122" s="497"/>
      <c r="R122" s="497"/>
      <c r="S122" s="497"/>
      <c r="U122" s="497"/>
      <c r="V122" s="497"/>
      <c r="X122" s="497"/>
      <c r="Y122" s="497"/>
      <c r="AA122" s="497"/>
      <c r="AB122" s="497"/>
      <c r="AD122" s="497"/>
      <c r="AE122" s="497"/>
    </row>
    <row r="123" spans="1:33" s="140" customFormat="1">
      <c r="K123" s="336"/>
      <c r="R123" s="457"/>
      <c r="AG123" s="267"/>
    </row>
    <row r="124" spans="1:33" s="140" customFormat="1">
      <c r="A124" s="498" t="s">
        <v>444</v>
      </c>
      <c r="K124" s="336"/>
      <c r="R124" s="457"/>
      <c r="AG124" s="267"/>
    </row>
    <row r="125" spans="1:33" s="140" customFormat="1" ht="12.75">
      <c r="A125" s="499" t="s">
        <v>882</v>
      </c>
      <c r="K125" s="336"/>
      <c r="R125" s="457"/>
      <c r="AG125" s="267"/>
    </row>
    <row r="126" spans="1:33" s="419" customFormat="1" ht="12.75">
      <c r="A126" s="499"/>
      <c r="K126" s="336"/>
      <c r="R126" s="457"/>
      <c r="AG126" s="267"/>
    </row>
    <row r="127" spans="1:33" s="419" customFormat="1" ht="13.9">
      <c r="A127" s="522" t="s">
        <v>874</v>
      </c>
      <c r="K127" s="336"/>
      <c r="R127" s="457"/>
      <c r="AG127" s="267"/>
    </row>
    <row r="128" spans="1:33" s="140" customFormat="1">
      <c r="A128" s="267" t="s">
        <v>445</v>
      </c>
      <c r="D128" s="140" t="s">
        <v>446</v>
      </c>
      <c r="E128" s="140" t="s">
        <v>1</v>
      </c>
      <c r="F128" s="329"/>
      <c r="G128" s="329"/>
      <c r="I128" s="329"/>
      <c r="J128" s="329"/>
      <c r="K128" s="347"/>
      <c r="L128" s="329"/>
      <c r="M128" s="329"/>
      <c r="N128" s="166"/>
      <c r="O128" s="348"/>
      <c r="P128" s="329"/>
      <c r="R128" s="459"/>
      <c r="S128" s="329"/>
      <c r="U128" s="530"/>
      <c r="V128" s="340"/>
      <c r="W128" s="336"/>
      <c r="X128" s="530"/>
      <c r="Y128" s="340"/>
      <c r="Z128" s="336"/>
      <c r="AA128" s="530"/>
      <c r="AB128" s="340"/>
      <c r="AC128" s="336"/>
      <c r="AD128" s="530"/>
      <c r="AE128" s="340"/>
      <c r="AG128" s="267"/>
    </row>
    <row r="129" spans="1:33" s="140" customFormat="1">
      <c r="A129" s="267" t="s">
        <v>448</v>
      </c>
      <c r="D129" s="140" t="s">
        <v>447</v>
      </c>
      <c r="E129" s="140" t="s">
        <v>1</v>
      </c>
      <c r="F129" s="329"/>
      <c r="G129" s="329"/>
      <c r="I129" s="329"/>
      <c r="J129" s="329"/>
      <c r="K129" s="330"/>
      <c r="L129" s="329"/>
      <c r="M129" s="329"/>
      <c r="O129" s="329"/>
      <c r="P129" s="329"/>
      <c r="R129" s="427"/>
      <c r="S129" s="329"/>
      <c r="U129" s="340"/>
      <c r="V129" s="340"/>
      <c r="W129" s="336"/>
      <c r="X129" s="340"/>
      <c r="Y129" s="340"/>
      <c r="Z129" s="336"/>
      <c r="AA129" s="340"/>
      <c r="AB129" s="340"/>
      <c r="AC129" s="336"/>
      <c r="AD129" s="340"/>
      <c r="AE129" s="340"/>
      <c r="AG129" s="267"/>
    </row>
    <row r="130" spans="1:33" s="140" customFormat="1">
      <c r="A130" s="267" t="s">
        <v>444</v>
      </c>
      <c r="D130" s="140" t="s">
        <v>157</v>
      </c>
      <c r="E130" s="140" t="s">
        <v>1</v>
      </c>
      <c r="F130" s="269">
        <f>F128+F129</f>
        <v>0</v>
      </c>
      <c r="G130" s="269">
        <f>G128+G129</f>
        <v>0</v>
      </c>
      <c r="I130" s="269">
        <f>I128+I129</f>
        <v>0</v>
      </c>
      <c r="J130" s="269">
        <f>J128+J129</f>
        <v>0</v>
      </c>
      <c r="K130" s="341"/>
      <c r="L130" s="269">
        <f>L128+L129</f>
        <v>0</v>
      </c>
      <c r="M130" s="269">
        <f>M128+M129</f>
        <v>0</v>
      </c>
      <c r="O130" s="269">
        <f>O128+O129</f>
        <v>0</v>
      </c>
      <c r="P130" s="269">
        <f>P128+P129</f>
        <v>0</v>
      </c>
      <c r="R130" s="269">
        <f>R128+R129</f>
        <v>0</v>
      </c>
      <c r="S130" s="269">
        <f>S128+S129</f>
        <v>0</v>
      </c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G130" s="267"/>
    </row>
    <row r="131" spans="1:33" s="267" customFormat="1">
      <c r="F131" s="497"/>
      <c r="G131" s="497"/>
      <c r="I131" s="497"/>
      <c r="J131" s="497"/>
      <c r="K131" s="497"/>
      <c r="L131" s="497"/>
      <c r="M131" s="497"/>
      <c r="O131" s="497"/>
      <c r="P131" s="497"/>
      <c r="R131" s="497"/>
      <c r="S131" s="497"/>
      <c r="U131" s="340"/>
      <c r="V131" s="340"/>
      <c r="W131" s="336"/>
      <c r="X131" s="340"/>
      <c r="Y131" s="340"/>
      <c r="Z131" s="336"/>
      <c r="AA131" s="340"/>
      <c r="AB131" s="340"/>
      <c r="AC131" s="336"/>
      <c r="AD131" s="340"/>
      <c r="AE131" s="340"/>
    </row>
    <row r="132" spans="1:33" s="267" customFormat="1">
      <c r="F132" s="497"/>
      <c r="G132" s="497"/>
      <c r="I132" s="497"/>
      <c r="J132" s="497"/>
      <c r="K132" s="497"/>
      <c r="L132" s="497"/>
      <c r="M132" s="497"/>
      <c r="O132" s="497"/>
      <c r="P132" s="497"/>
      <c r="R132" s="497"/>
      <c r="S132" s="497"/>
      <c r="U132" s="340"/>
      <c r="V132" s="340"/>
      <c r="X132" s="340"/>
      <c r="Y132" s="340"/>
      <c r="AA132" s="340"/>
      <c r="AB132" s="340"/>
      <c r="AD132" s="340"/>
      <c r="AE132" s="340"/>
    </row>
    <row r="133" spans="1:33" s="267" customFormat="1" ht="13.9">
      <c r="A133" s="515" t="s">
        <v>875</v>
      </c>
      <c r="F133" s="497"/>
      <c r="G133" s="497"/>
      <c r="I133" s="497"/>
      <c r="J133" s="497"/>
      <c r="K133" s="497"/>
      <c r="L133" s="497"/>
      <c r="M133" s="497"/>
      <c r="O133" s="497"/>
      <c r="P133" s="497"/>
      <c r="R133" s="497"/>
      <c r="S133" s="497"/>
      <c r="U133" s="340"/>
      <c r="V133" s="340"/>
      <c r="X133" s="340"/>
      <c r="Y133" s="340"/>
      <c r="AA133" s="340"/>
      <c r="AB133" s="340"/>
      <c r="AD133" s="340"/>
      <c r="AE133" s="340"/>
    </row>
    <row r="134" spans="1:33" s="267" customFormat="1">
      <c r="A134" s="267" t="s">
        <v>444</v>
      </c>
      <c r="B134" s="419"/>
      <c r="C134" s="419"/>
      <c r="D134" s="419" t="s">
        <v>157</v>
      </c>
      <c r="E134" s="419" t="s">
        <v>1</v>
      </c>
      <c r="F134" s="497"/>
      <c r="G134" s="497"/>
      <c r="I134" s="497"/>
      <c r="J134" s="497"/>
      <c r="K134" s="497"/>
      <c r="L134" s="497"/>
      <c r="M134" s="497"/>
      <c r="O134" s="497"/>
      <c r="P134" s="497"/>
      <c r="R134" s="497"/>
      <c r="S134" s="497"/>
      <c r="U134" s="427"/>
      <c r="V134" s="427"/>
      <c r="W134" s="419"/>
      <c r="X134" s="427"/>
      <c r="Y134" s="427"/>
      <c r="Z134" s="419"/>
      <c r="AA134" s="427"/>
      <c r="AB134" s="427"/>
      <c r="AC134" s="419"/>
      <c r="AD134" s="427"/>
      <c r="AE134" s="427"/>
    </row>
    <row r="135" spans="1:33" s="267" customFormat="1">
      <c r="F135" s="497"/>
      <c r="G135" s="497"/>
      <c r="I135" s="497"/>
      <c r="J135" s="497"/>
      <c r="K135" s="497"/>
      <c r="L135" s="497"/>
      <c r="M135" s="497"/>
      <c r="O135" s="497"/>
      <c r="P135" s="497"/>
      <c r="R135" s="497"/>
      <c r="S135" s="497"/>
      <c r="U135" s="340"/>
      <c r="V135" s="340"/>
      <c r="X135" s="340"/>
      <c r="Y135" s="340"/>
      <c r="AA135" s="340"/>
      <c r="AB135" s="340"/>
      <c r="AD135" s="340"/>
      <c r="AE135" s="340"/>
    </row>
    <row r="136" spans="1:33" s="140" customFormat="1">
      <c r="K136" s="336"/>
      <c r="R136" s="374"/>
      <c r="AG136" s="267"/>
    </row>
    <row r="137" spans="1:33" s="140" customFormat="1">
      <c r="A137" s="140" t="s">
        <v>449</v>
      </c>
      <c r="E137" s="140" t="s">
        <v>1</v>
      </c>
      <c r="F137" s="269">
        <f>F130+100</f>
        <v>100</v>
      </c>
      <c r="G137" s="269">
        <f>G130+100</f>
        <v>100</v>
      </c>
      <c r="I137" s="269">
        <f>I130+100</f>
        <v>100</v>
      </c>
      <c r="J137" s="269">
        <f>J130+100</f>
        <v>100</v>
      </c>
      <c r="K137" s="341"/>
      <c r="L137" s="269">
        <f>L130+100</f>
        <v>100</v>
      </c>
      <c r="M137" s="269">
        <f>M130+100</f>
        <v>100</v>
      </c>
      <c r="O137" s="269">
        <f>O130+100</f>
        <v>100</v>
      </c>
      <c r="P137" s="269">
        <f>P130+100</f>
        <v>100</v>
      </c>
      <c r="R137" s="269">
        <f>R130+100</f>
        <v>100</v>
      </c>
      <c r="S137" s="269">
        <f>S130+100</f>
        <v>100</v>
      </c>
      <c r="U137" s="269">
        <f>U134+100</f>
        <v>100</v>
      </c>
      <c r="V137" s="269">
        <f>V134+100</f>
        <v>100</v>
      </c>
      <c r="X137" s="269">
        <f>X134+100</f>
        <v>100</v>
      </c>
      <c r="Y137" s="269">
        <f>Y134+100</f>
        <v>100</v>
      </c>
      <c r="AA137" s="269">
        <f>AA134+100</f>
        <v>100</v>
      </c>
      <c r="AB137" s="269">
        <f>AB134+100</f>
        <v>100</v>
      </c>
      <c r="AD137" s="269">
        <f>AD134+100</f>
        <v>100</v>
      </c>
      <c r="AE137" s="269">
        <f>AE134+100</f>
        <v>100</v>
      </c>
      <c r="AG137" s="267"/>
    </row>
    <row r="138" spans="1:33" s="140" customFormat="1">
      <c r="A138" s="140" t="s">
        <v>450</v>
      </c>
      <c r="E138" s="140" t="s">
        <v>1</v>
      </c>
      <c r="F138" s="269">
        <f>F130-100</f>
        <v>-100</v>
      </c>
      <c r="G138" s="269">
        <f>G130-100</f>
        <v>-100</v>
      </c>
      <c r="I138" s="269">
        <f>I130-100</f>
        <v>-100</v>
      </c>
      <c r="J138" s="269">
        <f>J130-100</f>
        <v>-100</v>
      </c>
      <c r="K138" s="341"/>
      <c r="L138" s="269">
        <f>L130-100</f>
        <v>-100</v>
      </c>
      <c r="M138" s="269">
        <f>M130-100</f>
        <v>-100</v>
      </c>
      <c r="O138" s="269">
        <f>O130-100</f>
        <v>-100</v>
      </c>
      <c r="P138" s="269">
        <f>P130-100</f>
        <v>-100</v>
      </c>
      <c r="R138" s="269">
        <f>R130-100</f>
        <v>-100</v>
      </c>
      <c r="S138" s="269">
        <f>S130-100</f>
        <v>-100</v>
      </c>
      <c r="U138" s="269">
        <f>U134-100</f>
        <v>-100</v>
      </c>
      <c r="V138" s="269">
        <f>V134-100</f>
        <v>-100</v>
      </c>
      <c r="X138" s="269">
        <f>X134-100</f>
        <v>-100</v>
      </c>
      <c r="Y138" s="269">
        <f>Y134-100</f>
        <v>-100</v>
      </c>
      <c r="AA138" s="269">
        <f>AA134-100</f>
        <v>-100</v>
      </c>
      <c r="AB138" s="269">
        <f>AB134-100</f>
        <v>-100</v>
      </c>
      <c r="AD138" s="269">
        <f>AD134-100</f>
        <v>-100</v>
      </c>
      <c r="AE138" s="269">
        <f>AE134-100</f>
        <v>-100</v>
      </c>
      <c r="AG138" s="267"/>
    </row>
    <row r="139" spans="1:33" s="140" customFormat="1">
      <c r="K139" s="336"/>
      <c r="AG139" s="267"/>
    </row>
    <row r="140" spans="1:33" s="140" customFormat="1">
      <c r="A140" s="545" t="s">
        <v>401</v>
      </c>
      <c r="D140" s="140" t="s">
        <v>402</v>
      </c>
      <c r="E140" s="140" t="s">
        <v>1</v>
      </c>
      <c r="K140" s="336"/>
      <c r="AG140" s="267"/>
    </row>
    <row r="141" spans="1:33" s="140" customFormat="1">
      <c r="A141" s="492" t="s">
        <v>616</v>
      </c>
      <c r="F141" s="329"/>
      <c r="I141" s="329"/>
      <c r="K141" s="336"/>
      <c r="L141" s="329"/>
      <c r="O141" s="329"/>
      <c r="R141" s="329"/>
      <c r="U141" s="329"/>
      <c r="X141" s="329"/>
      <c r="AA141" s="329"/>
      <c r="AD141" s="329"/>
      <c r="AG141" s="267"/>
    </row>
    <row r="142" spans="1:33" s="140" customFormat="1">
      <c r="A142" s="267" t="s">
        <v>617</v>
      </c>
      <c r="I142" s="329"/>
      <c r="K142" s="336"/>
      <c r="L142" s="329"/>
      <c r="O142" s="329"/>
      <c r="R142" s="329"/>
      <c r="U142" s="329"/>
      <c r="X142" s="329"/>
      <c r="AA142" s="329"/>
      <c r="AD142" s="329"/>
      <c r="AG142" s="267"/>
    </row>
    <row r="143" spans="1:33" s="140" customFormat="1">
      <c r="A143" s="267" t="s">
        <v>618</v>
      </c>
      <c r="K143" s="336"/>
      <c r="L143" s="329"/>
      <c r="O143" s="329"/>
      <c r="R143" s="329"/>
      <c r="U143" s="329"/>
      <c r="X143" s="329"/>
      <c r="AA143" s="329"/>
      <c r="AD143" s="329"/>
      <c r="AG143" s="267"/>
    </row>
    <row r="144" spans="1:33">
      <c r="A144" s="267" t="s">
        <v>619</v>
      </c>
      <c r="F144" s="140"/>
      <c r="G144" s="140"/>
      <c r="H144" s="140"/>
      <c r="I144" s="140"/>
      <c r="K144" s="138"/>
      <c r="O144" s="329"/>
      <c r="R144" s="329"/>
      <c r="U144" s="329"/>
      <c r="X144" s="329"/>
      <c r="AA144" s="329"/>
      <c r="AD144" s="329"/>
      <c r="AG144" s="307"/>
    </row>
    <row r="145" spans="1:35">
      <c r="A145" s="307" t="s">
        <v>620</v>
      </c>
      <c r="F145" s="140"/>
      <c r="G145" s="140"/>
      <c r="H145" s="140"/>
      <c r="I145" s="140"/>
      <c r="K145" s="138"/>
      <c r="R145" s="329"/>
      <c r="U145" s="329"/>
      <c r="X145" s="329"/>
      <c r="AA145" s="329"/>
      <c r="AD145" s="329"/>
      <c r="AG145" s="307"/>
    </row>
    <row r="146" spans="1:35">
      <c r="A146" s="307" t="s">
        <v>621</v>
      </c>
      <c r="U146" s="329"/>
      <c r="X146" s="329"/>
      <c r="AA146" s="329"/>
      <c r="AD146" s="329"/>
      <c r="AG146" s="307"/>
    </row>
    <row r="147" spans="1:35">
      <c r="A147" s="307" t="s">
        <v>622</v>
      </c>
      <c r="X147" s="329"/>
      <c r="AA147" s="329"/>
      <c r="AD147" s="329"/>
      <c r="AG147" s="307"/>
    </row>
    <row r="148" spans="1:35">
      <c r="A148" s="307" t="s">
        <v>623</v>
      </c>
      <c r="AA148" s="329"/>
      <c r="AD148" s="329"/>
      <c r="AG148" s="307"/>
    </row>
    <row r="149" spans="1:35">
      <c r="A149" s="307" t="s">
        <v>624</v>
      </c>
      <c r="AD149" s="329"/>
      <c r="AG149" s="307"/>
    </row>
    <row r="150" spans="1:35">
      <c r="A150" s="307"/>
      <c r="AG150" s="307"/>
    </row>
    <row r="151" spans="1:35">
      <c r="A151" s="138" t="s">
        <v>744</v>
      </c>
      <c r="D151" s="138" t="s">
        <v>743</v>
      </c>
      <c r="E151" s="140" t="s">
        <v>1</v>
      </c>
      <c r="F151" s="329"/>
      <c r="I151" s="329"/>
      <c r="L151" s="329"/>
      <c r="O151" s="329"/>
      <c r="R151" s="329"/>
      <c r="U151" s="329"/>
      <c r="X151" s="329"/>
      <c r="AA151" s="329"/>
      <c r="AD151" s="329"/>
      <c r="AG151" s="307"/>
    </row>
    <row r="152" spans="1:35" s="418" customFormat="1">
      <c r="E152" s="419"/>
      <c r="F152" s="340"/>
      <c r="G152" s="307"/>
      <c r="H152" s="307"/>
      <c r="I152" s="340"/>
      <c r="J152" s="307"/>
      <c r="K152" s="320"/>
      <c r="L152" s="340"/>
      <c r="M152" s="307"/>
      <c r="N152" s="307"/>
      <c r="O152" s="340"/>
      <c r="P152" s="307"/>
      <c r="Q152" s="307"/>
      <c r="R152" s="340"/>
      <c r="S152" s="307"/>
      <c r="T152" s="307"/>
      <c r="U152" s="340"/>
      <c r="V152" s="307"/>
      <c r="W152" s="307"/>
      <c r="X152" s="340"/>
      <c r="Y152" s="307"/>
      <c r="Z152" s="307"/>
      <c r="AA152" s="340"/>
      <c r="AB152" s="307"/>
      <c r="AC152" s="307"/>
      <c r="AD152" s="340"/>
      <c r="AE152" s="307"/>
      <c r="AF152" s="307"/>
      <c r="AG152" s="307"/>
      <c r="AH152" s="307"/>
      <c r="AI152" s="307"/>
    </row>
    <row r="153" spans="1:35" s="419" customFormat="1">
      <c r="K153" s="336"/>
      <c r="R153" s="457"/>
      <c r="AG153" s="267"/>
    </row>
    <row r="154" spans="1:35" s="419" customFormat="1">
      <c r="A154" s="498" t="s">
        <v>824</v>
      </c>
      <c r="B154" s="267"/>
      <c r="C154" s="267"/>
      <c r="D154" s="267"/>
      <c r="K154" s="336"/>
      <c r="R154" s="457"/>
      <c r="AG154" s="267"/>
    </row>
    <row r="155" spans="1:35" s="419" customFormat="1" ht="12.75">
      <c r="A155" s="499" t="s">
        <v>825</v>
      </c>
      <c r="K155" s="336"/>
      <c r="R155" s="457"/>
      <c r="AG155" s="267"/>
    </row>
    <row r="156" spans="1:35" s="419" customFormat="1">
      <c r="A156" s="267" t="s">
        <v>826</v>
      </c>
      <c r="D156" s="419" t="s">
        <v>447</v>
      </c>
      <c r="E156" s="419" t="s">
        <v>1</v>
      </c>
      <c r="F156" s="340"/>
      <c r="G156" s="340"/>
      <c r="H156" s="336"/>
      <c r="I156" s="340"/>
      <c r="J156" s="340"/>
      <c r="K156" s="529"/>
      <c r="L156" s="340"/>
      <c r="M156" s="340"/>
      <c r="N156" s="227"/>
      <c r="O156" s="530"/>
      <c r="P156" s="340"/>
      <c r="Q156" s="336"/>
      <c r="R156" s="531"/>
      <c r="S156" s="340"/>
      <c r="U156" s="348"/>
      <c r="V156" s="427"/>
      <c r="X156" s="348"/>
      <c r="Y156" s="427"/>
      <c r="AA156" s="348"/>
      <c r="AB156" s="427"/>
      <c r="AD156" s="348"/>
      <c r="AE156" s="427"/>
      <c r="AG156" s="267"/>
    </row>
    <row r="157" spans="1:35" s="419" customFormat="1">
      <c r="A157" s="267" t="s">
        <v>828</v>
      </c>
      <c r="D157" s="419" t="s">
        <v>827</v>
      </c>
      <c r="E157" s="419" t="s">
        <v>1</v>
      </c>
      <c r="F157" s="340"/>
      <c r="G157" s="340"/>
      <c r="H157" s="336"/>
      <c r="I157" s="340"/>
      <c r="J157" s="340"/>
      <c r="K157" s="340"/>
      <c r="L157" s="340"/>
      <c r="M157" s="340"/>
      <c r="N157" s="336"/>
      <c r="O157" s="340"/>
      <c r="P157" s="340"/>
      <c r="Q157" s="336"/>
      <c r="R157" s="340"/>
      <c r="S157" s="340"/>
      <c r="U157" s="427"/>
      <c r="V157" s="427"/>
      <c r="X157" s="427"/>
      <c r="Y157" s="427"/>
      <c r="AA157" s="427"/>
      <c r="AB157" s="427"/>
      <c r="AD157" s="427"/>
      <c r="AE157" s="427"/>
      <c r="AG157" s="267"/>
    </row>
    <row r="158" spans="1:35" s="419" customFormat="1">
      <c r="A158" s="267" t="s">
        <v>813</v>
      </c>
      <c r="D158" s="419" t="s">
        <v>814</v>
      </c>
      <c r="E158" s="419" t="s">
        <v>1</v>
      </c>
      <c r="F158" s="497"/>
      <c r="G158" s="497"/>
      <c r="H158" s="336"/>
      <c r="I158" s="497"/>
      <c r="J158" s="497"/>
      <c r="K158" s="497"/>
      <c r="L158" s="497"/>
      <c r="M158" s="497"/>
      <c r="N158" s="336"/>
      <c r="O158" s="497"/>
      <c r="P158" s="497"/>
      <c r="Q158" s="336"/>
      <c r="R158" s="497"/>
      <c r="S158" s="497"/>
      <c r="U158" s="269">
        <f>U156-U157</f>
        <v>0</v>
      </c>
      <c r="V158" s="269">
        <f>V156-V157</f>
        <v>0</v>
      </c>
      <c r="X158" s="269">
        <f>X156-X157</f>
        <v>0</v>
      </c>
      <c r="Y158" s="269">
        <f>Y156-Y157</f>
        <v>0</v>
      </c>
      <c r="AA158" s="269">
        <f>AA156-AA157</f>
        <v>0</v>
      </c>
      <c r="AB158" s="269">
        <f>AB156-AB157</f>
        <v>0</v>
      </c>
      <c r="AD158" s="269">
        <f>AD156-AD157</f>
        <v>0</v>
      </c>
      <c r="AE158" s="269">
        <f>AE156-AE157</f>
        <v>0</v>
      </c>
      <c r="AG158" s="267"/>
    </row>
    <row r="159" spans="1:35" s="267" customFormat="1">
      <c r="F159" s="497"/>
      <c r="G159" s="497"/>
      <c r="I159" s="497"/>
      <c r="J159" s="497"/>
      <c r="K159" s="497"/>
      <c r="L159" s="497"/>
      <c r="M159" s="497"/>
      <c r="O159" s="497"/>
      <c r="P159" s="497"/>
      <c r="R159" s="497"/>
      <c r="S159" s="497"/>
      <c r="U159" s="497"/>
      <c r="V159" s="497"/>
      <c r="X159" s="497"/>
      <c r="Y159" s="497"/>
      <c r="AA159" s="497"/>
      <c r="AB159" s="497"/>
      <c r="AD159" s="497"/>
      <c r="AE159" s="497"/>
    </row>
    <row r="160" spans="1:35">
      <c r="AG160" s="307"/>
    </row>
    <row r="161" spans="1:33" s="419" customFormat="1">
      <c r="A161" s="498" t="s">
        <v>900</v>
      </c>
      <c r="B161" s="267"/>
      <c r="C161" s="267"/>
      <c r="D161" s="267"/>
      <c r="K161" s="336"/>
      <c r="R161" s="457"/>
      <c r="AG161" s="267"/>
    </row>
    <row r="162" spans="1:33" s="419" customFormat="1" ht="12.75">
      <c r="A162" s="499" t="s">
        <v>825</v>
      </c>
      <c r="K162" s="336"/>
      <c r="R162" s="457"/>
      <c r="AG162" s="267"/>
    </row>
    <row r="163" spans="1:33" s="419" customFormat="1" ht="12.75">
      <c r="A163" s="499"/>
      <c r="K163" s="336"/>
      <c r="R163" s="457"/>
      <c r="AG163" s="267"/>
    </row>
    <row r="164" spans="1:33" s="419" customFormat="1" ht="12.75">
      <c r="A164" s="499"/>
      <c r="K164" s="336"/>
      <c r="R164" s="457"/>
      <c r="AG164" s="267"/>
    </row>
    <row r="165" spans="1:33" s="419" customFormat="1" ht="12.75">
      <c r="A165" s="499"/>
      <c r="K165" s="336"/>
      <c r="R165" s="457"/>
      <c r="AG165" s="267"/>
    </row>
    <row r="166" spans="1:33" s="419" customFormat="1">
      <c r="A166" s="267" t="s">
        <v>837</v>
      </c>
      <c r="B166" s="267"/>
      <c r="C166" s="267"/>
      <c r="D166" s="267" t="s">
        <v>829</v>
      </c>
      <c r="E166" s="267" t="s">
        <v>1</v>
      </c>
      <c r="F166" s="340"/>
      <c r="G166" s="340"/>
      <c r="H166" s="336"/>
      <c r="I166" s="340"/>
      <c r="J166" s="340"/>
      <c r="K166" s="529"/>
      <c r="L166" s="340"/>
      <c r="M166" s="340"/>
      <c r="N166" s="227"/>
      <c r="O166" s="530"/>
      <c r="P166" s="340"/>
      <c r="Q166" s="336"/>
      <c r="R166" s="531"/>
      <c r="S166" s="340"/>
      <c r="U166" s="348"/>
      <c r="V166" s="427"/>
      <c r="AG166" s="267"/>
    </row>
    <row r="167" spans="1:33" s="419" customFormat="1">
      <c r="A167" s="267" t="s">
        <v>838</v>
      </c>
      <c r="B167" s="267"/>
      <c r="C167" s="267"/>
      <c r="D167" s="267" t="s">
        <v>830</v>
      </c>
      <c r="E167" s="267" t="s">
        <v>1</v>
      </c>
      <c r="F167" s="340"/>
      <c r="G167" s="340"/>
      <c r="H167" s="336"/>
      <c r="I167" s="340"/>
      <c r="J167" s="340"/>
      <c r="K167" s="529"/>
      <c r="L167" s="340"/>
      <c r="M167" s="340"/>
      <c r="N167" s="227"/>
      <c r="O167" s="530"/>
      <c r="P167" s="340"/>
      <c r="Q167" s="336"/>
      <c r="R167" s="531"/>
      <c r="S167" s="340"/>
      <c r="U167" s="348"/>
      <c r="V167" s="427"/>
      <c r="AG167" s="267"/>
    </row>
    <row r="168" spans="1:33" s="419" customFormat="1">
      <c r="A168" s="267" t="s">
        <v>839</v>
      </c>
      <c r="B168" s="267"/>
      <c r="C168" s="267"/>
      <c r="D168" s="267" t="s">
        <v>831</v>
      </c>
      <c r="E168" s="267" t="s">
        <v>1</v>
      </c>
      <c r="F168" s="340"/>
      <c r="G168" s="340"/>
      <c r="H168" s="336"/>
      <c r="I168" s="340"/>
      <c r="J168" s="340"/>
      <c r="K168" s="529"/>
      <c r="L168" s="340"/>
      <c r="M168" s="340"/>
      <c r="N168" s="227"/>
      <c r="O168" s="530"/>
      <c r="P168" s="340"/>
      <c r="Q168" s="336"/>
      <c r="R168" s="531"/>
      <c r="S168" s="340"/>
      <c r="U168" s="348"/>
      <c r="V168" s="427"/>
      <c r="AG168" s="267"/>
    </row>
    <row r="169" spans="1:33" s="419" customFormat="1">
      <c r="A169" s="267" t="s">
        <v>840</v>
      </c>
      <c r="B169" s="267"/>
      <c r="C169" s="267"/>
      <c r="D169" s="267" t="s">
        <v>832</v>
      </c>
      <c r="E169" s="267" t="s">
        <v>1</v>
      </c>
      <c r="F169" s="340"/>
      <c r="G169" s="340"/>
      <c r="H169" s="336"/>
      <c r="I169" s="340"/>
      <c r="J169" s="340"/>
      <c r="K169" s="529"/>
      <c r="L169" s="340"/>
      <c r="M169" s="340"/>
      <c r="N169" s="227"/>
      <c r="O169" s="530"/>
      <c r="P169" s="340"/>
      <c r="Q169" s="336"/>
      <c r="R169" s="531"/>
      <c r="S169" s="340"/>
      <c r="U169" s="348"/>
      <c r="V169" s="427"/>
      <c r="AG169" s="267"/>
    </row>
    <row r="170" spans="1:33" s="419" customFormat="1">
      <c r="A170" s="267" t="s">
        <v>841</v>
      </c>
      <c r="B170" s="267"/>
      <c r="C170" s="267"/>
      <c r="D170" s="267" t="s">
        <v>833</v>
      </c>
      <c r="E170" s="267" t="s">
        <v>1</v>
      </c>
      <c r="F170" s="340"/>
      <c r="G170" s="340"/>
      <c r="H170" s="336"/>
      <c r="I170" s="340"/>
      <c r="J170" s="340"/>
      <c r="K170" s="529"/>
      <c r="L170" s="340"/>
      <c r="M170" s="340"/>
      <c r="N170" s="227"/>
      <c r="O170" s="530"/>
      <c r="P170" s="340"/>
      <c r="Q170" s="336"/>
      <c r="R170" s="531"/>
      <c r="S170" s="340"/>
      <c r="U170" s="348"/>
      <c r="V170" s="427"/>
      <c r="AG170" s="267"/>
    </row>
    <row r="171" spans="1:33" s="419" customFormat="1">
      <c r="A171" s="267" t="s">
        <v>842</v>
      </c>
      <c r="B171" s="267"/>
      <c r="C171" s="267"/>
      <c r="D171" s="267" t="s">
        <v>834</v>
      </c>
      <c r="E171" s="267" t="s">
        <v>1</v>
      </c>
      <c r="F171" s="340"/>
      <c r="G171" s="340"/>
      <c r="H171" s="336"/>
      <c r="I171" s="340"/>
      <c r="J171" s="340"/>
      <c r="K171" s="529"/>
      <c r="L171" s="340"/>
      <c r="M171" s="340"/>
      <c r="N171" s="227"/>
      <c r="O171" s="530"/>
      <c r="P171" s="340"/>
      <c r="Q171" s="336"/>
      <c r="R171" s="531"/>
      <c r="S171" s="340"/>
      <c r="U171" s="348"/>
      <c r="V171" s="427"/>
      <c r="AG171" s="267"/>
    </row>
    <row r="172" spans="1:33" s="419" customFormat="1">
      <c r="A172" s="267" t="s">
        <v>843</v>
      </c>
      <c r="B172" s="267"/>
      <c r="C172" s="267"/>
      <c r="D172" s="267" t="s">
        <v>835</v>
      </c>
      <c r="E172" s="267" t="s">
        <v>1</v>
      </c>
      <c r="F172" s="340"/>
      <c r="G172" s="340"/>
      <c r="H172" s="336"/>
      <c r="I172" s="340"/>
      <c r="J172" s="340"/>
      <c r="K172" s="529"/>
      <c r="L172" s="340"/>
      <c r="M172" s="340"/>
      <c r="N172" s="227"/>
      <c r="O172" s="530"/>
      <c r="P172" s="340"/>
      <c r="Q172" s="336"/>
      <c r="R172" s="531"/>
      <c r="S172" s="340"/>
      <c r="U172" s="348"/>
      <c r="V172" s="427"/>
      <c r="AG172" s="267"/>
    </row>
    <row r="173" spans="1:33" s="419" customFormat="1">
      <c r="A173" s="267" t="s">
        <v>844</v>
      </c>
      <c r="B173" s="267"/>
      <c r="C173" s="267"/>
      <c r="D173" s="267" t="s">
        <v>836</v>
      </c>
      <c r="E173" s="267" t="s">
        <v>1</v>
      </c>
      <c r="F173" s="340"/>
      <c r="G173" s="340"/>
      <c r="H173" s="336"/>
      <c r="I173" s="340"/>
      <c r="J173" s="340"/>
      <c r="K173" s="340"/>
      <c r="L173" s="340"/>
      <c r="M173" s="340"/>
      <c r="N173" s="336"/>
      <c r="O173" s="340"/>
      <c r="P173" s="340"/>
      <c r="Q173" s="336"/>
      <c r="R173" s="340"/>
      <c r="S173" s="340"/>
      <c r="U173" s="427"/>
      <c r="V173" s="427"/>
      <c r="AG173" s="267"/>
    </row>
    <row r="174" spans="1:33" s="419" customFormat="1">
      <c r="A174" s="492" t="s">
        <v>816</v>
      </c>
      <c r="B174" s="492"/>
      <c r="C174" s="492"/>
      <c r="D174" s="492" t="s">
        <v>815</v>
      </c>
      <c r="E174" s="267" t="s">
        <v>1</v>
      </c>
      <c r="F174" s="497"/>
      <c r="G174" s="497"/>
      <c r="H174" s="336"/>
      <c r="I174" s="497"/>
      <c r="J174" s="497"/>
      <c r="K174" s="497"/>
      <c r="L174" s="497"/>
      <c r="M174" s="497"/>
      <c r="N174" s="336"/>
      <c r="O174" s="497"/>
      <c r="P174" s="497"/>
      <c r="Q174" s="336"/>
      <c r="R174" s="497"/>
      <c r="S174" s="497"/>
      <c r="U174" s="269">
        <f>SUM(U166:U173)</f>
        <v>0</v>
      </c>
      <c r="V174" s="269">
        <f>SUM(V166:V173)</f>
        <v>0</v>
      </c>
      <c r="AG174" s="267"/>
    </row>
    <row r="175" spans="1:33">
      <c r="AG175" s="307"/>
    </row>
    <row r="176" spans="1:33">
      <c r="AG176" s="307"/>
    </row>
    <row r="177" spans="1:33" s="419" customFormat="1">
      <c r="A177" s="498" t="s">
        <v>845</v>
      </c>
      <c r="B177" s="267"/>
      <c r="C177" s="267"/>
      <c r="D177" s="267"/>
      <c r="K177" s="336"/>
      <c r="R177" s="457"/>
      <c r="AG177" s="267"/>
    </row>
    <row r="178" spans="1:33" s="419" customFormat="1" ht="12.75">
      <c r="A178" s="499" t="s">
        <v>846</v>
      </c>
      <c r="K178" s="336"/>
      <c r="R178" s="457"/>
      <c r="AG178" s="267"/>
    </row>
    <row r="179" spans="1:33" s="419" customFormat="1" ht="12.75">
      <c r="A179" s="499"/>
      <c r="K179" s="336"/>
      <c r="R179" s="457"/>
      <c r="AG179" s="267"/>
    </row>
    <row r="180" spans="1:33" s="419" customFormat="1" ht="12.75">
      <c r="A180" s="499"/>
      <c r="K180" s="336"/>
      <c r="R180" s="457"/>
      <c r="AG180" s="267"/>
    </row>
    <row r="181" spans="1:33" s="419" customFormat="1" ht="12.75">
      <c r="A181" s="499"/>
      <c r="K181" s="336"/>
      <c r="R181" s="457"/>
      <c r="AG181" s="267"/>
    </row>
    <row r="182" spans="1:33" s="419" customFormat="1">
      <c r="A182" s="267" t="s">
        <v>853</v>
      </c>
      <c r="B182" s="267"/>
      <c r="C182" s="267"/>
      <c r="D182" s="267" t="s">
        <v>847</v>
      </c>
      <c r="E182" s="267" t="s">
        <v>673</v>
      </c>
      <c r="F182" s="340"/>
      <c r="G182" s="340"/>
      <c r="H182" s="336"/>
      <c r="I182" s="340"/>
      <c r="J182" s="340"/>
      <c r="K182" s="529"/>
      <c r="L182" s="340"/>
      <c r="M182" s="340"/>
      <c r="N182" s="227"/>
      <c r="O182" s="340"/>
      <c r="P182" s="340"/>
      <c r="Q182" s="336"/>
      <c r="R182" s="340"/>
      <c r="S182" s="340"/>
      <c r="U182" s="188">
        <f>1146800/1000000</f>
        <v>1.1468</v>
      </c>
      <c r="V182" s="188">
        <f>1146800/1000000</f>
        <v>1.1468</v>
      </c>
      <c r="X182" s="188">
        <f>1146800/1000000</f>
        <v>1.1468</v>
      </c>
      <c r="Y182" s="188">
        <f>1146800/1000000</f>
        <v>1.1468</v>
      </c>
      <c r="AA182" s="188">
        <f>1146800/1000000</f>
        <v>1.1468</v>
      </c>
      <c r="AB182" s="188">
        <f>1146800/1000000</f>
        <v>1.1468</v>
      </c>
      <c r="AD182" s="188">
        <f>1146800/1000000</f>
        <v>1.1468</v>
      </c>
      <c r="AE182" s="188">
        <f>1146800/1000000</f>
        <v>1.1468</v>
      </c>
      <c r="AG182" s="267"/>
    </row>
    <row r="183" spans="1:33" s="419" customFormat="1">
      <c r="A183" s="267" t="s">
        <v>852</v>
      </c>
      <c r="B183" s="267"/>
      <c r="C183" s="267"/>
      <c r="D183" s="267" t="s">
        <v>848</v>
      </c>
      <c r="E183" s="267" t="s">
        <v>673</v>
      </c>
      <c r="F183" s="340"/>
      <c r="G183" s="340"/>
      <c r="H183" s="336"/>
      <c r="I183" s="340"/>
      <c r="J183" s="340"/>
      <c r="K183" s="529"/>
      <c r="L183" s="340"/>
      <c r="M183" s="340"/>
      <c r="N183" s="227"/>
      <c r="O183" s="340"/>
      <c r="P183" s="340"/>
      <c r="Q183" s="336"/>
      <c r="R183" s="340"/>
      <c r="S183" s="340"/>
      <c r="U183" s="188">
        <f>1146800/1000000</f>
        <v>1.1468</v>
      </c>
      <c r="V183" s="188">
        <f>1146800/1000000</f>
        <v>1.1468</v>
      </c>
      <c r="X183" s="188">
        <v>0</v>
      </c>
      <c r="Y183" s="188">
        <v>0</v>
      </c>
      <c r="AA183" s="188">
        <v>0</v>
      </c>
      <c r="AB183" s="188">
        <v>0</v>
      </c>
      <c r="AD183" s="188">
        <v>0</v>
      </c>
      <c r="AE183" s="188">
        <v>0</v>
      </c>
      <c r="AG183" s="267"/>
    </row>
    <row r="184" spans="1:33" s="419" customFormat="1">
      <c r="A184" s="492" t="s">
        <v>854</v>
      </c>
      <c r="B184" s="267"/>
      <c r="C184" s="267"/>
      <c r="D184" s="267" t="s">
        <v>849</v>
      </c>
      <c r="E184" s="267" t="s">
        <v>673</v>
      </c>
      <c r="F184" s="497"/>
      <c r="G184" s="497"/>
      <c r="H184" s="336"/>
      <c r="I184" s="497"/>
      <c r="J184" s="497"/>
      <c r="K184" s="497"/>
      <c r="L184" s="497"/>
      <c r="M184" s="497"/>
      <c r="O184" s="269">
        <f>O200</f>
        <v>0</v>
      </c>
      <c r="P184" s="269">
        <f>O184</f>
        <v>0</v>
      </c>
      <c r="Q184" s="184"/>
      <c r="R184" s="269">
        <f>R200</f>
        <v>0</v>
      </c>
      <c r="S184" s="269">
        <f>R184</f>
        <v>0</v>
      </c>
      <c r="U184" s="269">
        <f>U200</f>
        <v>-9.7067068221820592E-5</v>
      </c>
      <c r="V184" s="269">
        <f>U184</f>
        <v>-9.7067068221820592E-5</v>
      </c>
      <c r="X184" s="269">
        <f>X200</f>
        <v>6.9600928967617292E-5</v>
      </c>
      <c r="Y184" s="269">
        <f>X184</f>
        <v>6.9600928967617292E-5</v>
      </c>
      <c r="AA184" s="269">
        <f>AA200</f>
        <v>5.7794323412986865E-3</v>
      </c>
      <c r="AB184" s="269">
        <f>AA184</f>
        <v>5.7794323412986865E-3</v>
      </c>
      <c r="AD184" s="269">
        <f>AD200</f>
        <v>-3.7765066357463481E-3</v>
      </c>
      <c r="AE184" s="269">
        <f>AD184</f>
        <v>-3.7765066357463481E-3</v>
      </c>
      <c r="AG184" s="267"/>
    </row>
    <row r="185" spans="1:33" s="419" customFormat="1">
      <c r="A185" s="267" t="s">
        <v>855</v>
      </c>
      <c r="B185" s="267"/>
      <c r="C185" s="267"/>
      <c r="D185" s="267" t="s">
        <v>494</v>
      </c>
      <c r="E185" s="267" t="s">
        <v>673</v>
      </c>
      <c r="F185" s="504"/>
      <c r="G185" s="504"/>
      <c r="H185" s="336"/>
      <c r="I185" s="504"/>
      <c r="J185" s="504"/>
      <c r="K185" s="497"/>
      <c r="L185" s="504"/>
      <c r="M185" s="504"/>
      <c r="O185" s="269">
        <f>O210</f>
        <v>4.2918324576915884E-3</v>
      </c>
      <c r="P185" s="269">
        <f>O185</f>
        <v>4.2918324576915884E-3</v>
      </c>
      <c r="R185" s="269">
        <f>R210</f>
        <v>-1.5749790622951388E-2</v>
      </c>
      <c r="S185" s="269">
        <f>R185</f>
        <v>-1.5749790622951388E-2</v>
      </c>
      <c r="U185" s="269">
        <f>U210</f>
        <v>-2.6033893571616298E-2</v>
      </c>
      <c r="V185" s="269">
        <f>U185</f>
        <v>-2.6033893571616298E-2</v>
      </c>
      <c r="X185" s="269">
        <f>X210</f>
        <v>0</v>
      </c>
      <c r="Y185" s="269">
        <f>X185</f>
        <v>0</v>
      </c>
      <c r="AA185" s="269">
        <f>AA210</f>
        <v>0</v>
      </c>
      <c r="AB185" s="269">
        <f>AA185</f>
        <v>0</v>
      </c>
      <c r="AD185" s="269">
        <f>AD210</f>
        <v>0</v>
      </c>
      <c r="AE185" s="269">
        <f>AD185</f>
        <v>0</v>
      </c>
      <c r="AG185" s="267"/>
    </row>
    <row r="186" spans="1:33" s="419" customFormat="1">
      <c r="A186" s="267" t="s">
        <v>78</v>
      </c>
      <c r="B186" s="267"/>
      <c r="C186" s="267"/>
      <c r="D186" s="267" t="s">
        <v>139</v>
      </c>
      <c r="E186" s="267" t="s">
        <v>140</v>
      </c>
      <c r="F186" s="270">
        <f>'R6 Base revenue'!E28</f>
        <v>1.1344000000000001</v>
      </c>
      <c r="G186" s="270">
        <f>F186</f>
        <v>1.1344000000000001</v>
      </c>
      <c r="I186" s="270">
        <f>'R6 Base revenue'!F28</f>
        <v>1.163</v>
      </c>
      <c r="J186" s="270">
        <f>I186</f>
        <v>1.163</v>
      </c>
      <c r="K186" s="343"/>
      <c r="L186" s="270">
        <f>'R6 Base revenue'!G28</f>
        <v>1.2050000000000001</v>
      </c>
      <c r="M186" s="270">
        <f>L186</f>
        <v>1.2050000000000001</v>
      </c>
      <c r="O186" s="270">
        <f>'R6 Base revenue'!H28</f>
        <v>1.2270000000000001</v>
      </c>
      <c r="P186" s="270">
        <f>O186</f>
        <v>1.2270000000000001</v>
      </c>
      <c r="R186" s="270">
        <f>'R6 Base revenue'!I28</f>
        <v>1.2330000000000001</v>
      </c>
      <c r="S186" s="270">
        <f>R186</f>
        <v>1.2330000000000001</v>
      </c>
      <c r="U186" s="270">
        <f>'R6 Base revenue'!J28</f>
        <v>1.2709999999999999</v>
      </c>
      <c r="V186" s="270">
        <f>U186</f>
        <v>1.2709999999999999</v>
      </c>
      <c r="X186" s="270">
        <f>'R6 Base revenue'!K28</f>
        <v>1.3140000000000001</v>
      </c>
      <c r="Y186" s="270">
        <f>X186</f>
        <v>1.3140000000000001</v>
      </c>
      <c r="AA186" s="270">
        <f>'R6 Base revenue'!L28</f>
        <v>1.3580000000000001</v>
      </c>
      <c r="AB186" s="270">
        <f>AA186</f>
        <v>1.3580000000000001</v>
      </c>
      <c r="AD186" s="270">
        <f>'R6 Base revenue'!M28</f>
        <v>1.31</v>
      </c>
      <c r="AE186" s="270">
        <f>AD186</f>
        <v>1.31</v>
      </c>
      <c r="AG186" s="267"/>
    </row>
    <row r="187" spans="1:33" s="419" customFormat="1">
      <c r="A187" s="267" t="s">
        <v>857</v>
      </c>
      <c r="B187" s="267"/>
      <c r="C187" s="267"/>
      <c r="D187" s="267" t="s">
        <v>850</v>
      </c>
      <c r="E187" s="267" t="s">
        <v>1</v>
      </c>
      <c r="F187" s="188">
        <v>0</v>
      </c>
      <c r="G187" s="188">
        <v>0</v>
      </c>
      <c r="I187" s="188">
        <v>0</v>
      </c>
      <c r="J187" s="188">
        <v>0</v>
      </c>
      <c r="K187" s="347"/>
      <c r="L187" s="188">
        <v>0</v>
      </c>
      <c r="M187" s="188">
        <v>0</v>
      </c>
      <c r="N187" s="422"/>
      <c r="O187" s="188">
        <v>0</v>
      </c>
      <c r="P187" s="188">
        <v>0</v>
      </c>
      <c r="R187" s="188">
        <v>0</v>
      </c>
      <c r="S187" s="188">
        <v>0</v>
      </c>
      <c r="U187" s="188">
        <v>0</v>
      </c>
      <c r="V187" s="188">
        <v>0</v>
      </c>
      <c r="X187" s="188">
        <v>0</v>
      </c>
      <c r="Y187" s="188">
        <v>0</v>
      </c>
      <c r="AA187" s="188">
        <v>0</v>
      </c>
      <c r="AB187" s="188">
        <v>0</v>
      </c>
      <c r="AD187" s="188">
        <v>0</v>
      </c>
      <c r="AE187" s="188">
        <v>0</v>
      </c>
      <c r="AG187" s="267"/>
    </row>
    <row r="188" spans="1:33" s="419" customFormat="1">
      <c r="A188" s="267" t="s">
        <v>896</v>
      </c>
      <c r="B188" s="267"/>
      <c r="C188" s="267"/>
      <c r="D188" s="267" t="s">
        <v>851</v>
      </c>
      <c r="E188" s="267" t="s">
        <v>1</v>
      </c>
      <c r="F188" s="427"/>
      <c r="G188" s="427"/>
      <c r="I188" s="427"/>
      <c r="J188" s="427"/>
      <c r="K188" s="347"/>
      <c r="L188" s="427"/>
      <c r="M188" s="427"/>
      <c r="N188" s="422"/>
      <c r="O188" s="427"/>
      <c r="P188" s="427"/>
      <c r="R188" s="459"/>
      <c r="S188" s="427"/>
      <c r="U188" s="459"/>
      <c r="V188" s="427"/>
      <c r="X188" s="418"/>
      <c r="Y188" s="418"/>
      <c r="Z188" s="418"/>
      <c r="AA188" s="418"/>
      <c r="AB188" s="418"/>
      <c r="AC188" s="418"/>
      <c r="AD188" s="418"/>
      <c r="AE188" s="418"/>
      <c r="AG188" s="267"/>
    </row>
    <row r="189" spans="1:33" s="419" customFormat="1">
      <c r="A189" s="267" t="s">
        <v>858</v>
      </c>
      <c r="B189" s="267"/>
      <c r="C189" s="267"/>
      <c r="D189" s="267" t="s">
        <v>491</v>
      </c>
      <c r="E189" s="267" t="s">
        <v>1</v>
      </c>
      <c r="F189" s="427"/>
      <c r="G189" s="427"/>
      <c r="I189" s="427"/>
      <c r="J189" s="427"/>
      <c r="K189" s="336"/>
      <c r="L189" s="427"/>
      <c r="M189" s="427"/>
      <c r="O189" s="427"/>
      <c r="P189" s="427"/>
      <c r="R189" s="459"/>
      <c r="S189" s="427"/>
      <c r="U189" s="459"/>
      <c r="V189" s="427"/>
      <c r="X189" s="459"/>
      <c r="Y189" s="427"/>
      <c r="AA189" s="348"/>
      <c r="AB189" s="427"/>
      <c r="AD189" s="348"/>
      <c r="AE189" s="427"/>
      <c r="AG189" s="267"/>
    </row>
    <row r="190" spans="1:33" s="419" customFormat="1">
      <c r="A190" s="492" t="s">
        <v>818</v>
      </c>
      <c r="B190" s="492"/>
      <c r="C190" s="492"/>
      <c r="D190" s="492" t="s">
        <v>817</v>
      </c>
      <c r="E190" s="267" t="s">
        <v>1</v>
      </c>
      <c r="F190" s="269">
        <f>SUM(F182:F185)*F186+SUM(F187:F189)</f>
        <v>0</v>
      </c>
      <c r="G190" s="269">
        <f>SUM(G182:G185)*G186+SUM(G187:G189)</f>
        <v>0</v>
      </c>
      <c r="I190" s="269">
        <f>SUM(I182:I185)*I186+SUM(I187:I189)</f>
        <v>0</v>
      </c>
      <c r="J190" s="269">
        <f>SUM(J182:J185)*J186+SUM(J187:J189)</f>
        <v>0</v>
      </c>
      <c r="L190" s="269">
        <f>SUM(L182:L185)*L186+SUM(L187:L189)</f>
        <v>0</v>
      </c>
      <c r="M190" s="269">
        <f>SUM(M182:M185)*M186+SUM(M187:M189)</f>
        <v>0</v>
      </c>
      <c r="O190" s="269">
        <f>SUM(O182:O185)*O186+SUM(O187:O189)</f>
        <v>5.2660784255875795E-3</v>
      </c>
      <c r="P190" s="269">
        <f>SUM(P182:P185)*P186+SUM(P187:P189)</f>
        <v>5.2660784255875795E-3</v>
      </c>
      <c r="R190" s="269">
        <f>SUM(R182:R185)*R186+SUM(R187:R189)</f>
        <v>-1.9419491838099063E-2</v>
      </c>
      <c r="S190" s="269">
        <f>SUM(S182:S185)*S186+SUM(S187:S189)</f>
        <v>-1.9419491838099063E-2</v>
      </c>
      <c r="U190" s="269">
        <f>SUM(U182:U185)*U186+SUM(U187:U189)</f>
        <v>2.8819531490267658</v>
      </c>
      <c r="V190" s="269">
        <f>SUM(V182:V185)*V186+SUM(V187:V189)</f>
        <v>2.8819531490267658</v>
      </c>
      <c r="X190" s="269">
        <f>SUM(X182:X185)*X186+SUM(X187,X189)</f>
        <v>1.5069866556206635</v>
      </c>
      <c r="Y190" s="269">
        <f>SUM(Y182:Y185)*Y186+SUM(Y187,Y189)</f>
        <v>1.5069866556206635</v>
      </c>
      <c r="AA190" s="269">
        <f t="shared" ref="AA190:AB190" si="6">SUM(AA182:AA185)*AA186+SUM(AA187,AA189)</f>
        <v>1.5652028691194839</v>
      </c>
      <c r="AB190" s="269">
        <f t="shared" si="6"/>
        <v>1.5652028691194839</v>
      </c>
      <c r="AD190" s="269">
        <f t="shared" ref="AD190" si="7">SUM(AD182:AD185)*AD186+SUM(AD187,AD189)</f>
        <v>1.4973607763071726</v>
      </c>
      <c r="AE190" s="269">
        <f t="shared" ref="AE190" si="8">SUM(AE182:AE185)*AE186+SUM(AE187,AE189)</f>
        <v>1.4973607763071726</v>
      </c>
      <c r="AG190" s="267"/>
    </row>
    <row r="191" spans="1:33">
      <c r="A191" s="307"/>
      <c r="AG191" s="307"/>
    </row>
    <row r="192" spans="1:33" s="419" customFormat="1">
      <c r="A192" s="267"/>
      <c r="K192" s="336"/>
      <c r="R192" s="457"/>
      <c r="AG192" s="267"/>
    </row>
    <row r="193" spans="1:33" s="419" customFormat="1" ht="13.9">
      <c r="A193" s="532" t="s">
        <v>860</v>
      </c>
      <c r="K193" s="336"/>
      <c r="R193" s="457"/>
      <c r="AG193" s="267"/>
    </row>
    <row r="194" spans="1:33" s="419" customFormat="1" ht="12.75">
      <c r="A194" s="499" t="s">
        <v>859</v>
      </c>
      <c r="K194" s="336"/>
      <c r="R194" s="457"/>
      <c r="AG194" s="267"/>
    </row>
    <row r="195" spans="1:33" s="419" customFormat="1">
      <c r="A195" s="267"/>
      <c r="K195" s="336"/>
      <c r="R195" s="457"/>
      <c r="AG195" s="267"/>
    </row>
    <row r="196" spans="1:33" s="419" customFormat="1">
      <c r="A196" s="267" t="s">
        <v>150</v>
      </c>
      <c r="D196" s="419" t="s">
        <v>149</v>
      </c>
      <c r="E196" s="267" t="s">
        <v>140</v>
      </c>
      <c r="F196" s="267"/>
      <c r="I196" s="346">
        <f>'R6 Base revenue'!F19</f>
        <v>1.167</v>
      </c>
      <c r="K196" s="336"/>
      <c r="L196" s="346">
        <f>'R6 Base revenue'!G19</f>
        <v>1.19</v>
      </c>
      <c r="O196" s="346">
        <f>'R6 Base revenue'!H19</f>
        <v>1.202</v>
      </c>
      <c r="R196" s="346">
        <f>'R6 Base revenue'!I19</f>
        <v>1.228</v>
      </c>
      <c r="U196" s="346">
        <f>'R6 Base revenue'!J19</f>
        <v>1.274</v>
      </c>
      <c r="X196" s="346">
        <f>'R6 Base revenue'!K19</f>
        <v>1.31</v>
      </c>
      <c r="AA196" s="346">
        <f>'R6 Base revenue'!L19</f>
        <v>1.3460000000000001</v>
      </c>
      <c r="AD196" s="346">
        <f>'R6 Base revenue'!M19</f>
        <v>1.3839999999999999</v>
      </c>
      <c r="AG196" s="267"/>
    </row>
    <row r="197" spans="1:33" s="419" customFormat="1">
      <c r="A197" s="267" t="s">
        <v>78</v>
      </c>
      <c r="D197" s="419" t="s">
        <v>139</v>
      </c>
      <c r="E197" s="267" t="s">
        <v>140</v>
      </c>
      <c r="F197" s="267"/>
      <c r="I197" s="346">
        <f>'R6 Base revenue'!F28</f>
        <v>1.163</v>
      </c>
      <c r="K197" s="336"/>
      <c r="L197" s="346">
        <f>'R6 Base revenue'!G28</f>
        <v>1.2050000000000001</v>
      </c>
      <c r="O197" s="346">
        <f>'R6 Base revenue'!H28</f>
        <v>1.2270000000000001</v>
      </c>
      <c r="R197" s="346">
        <f>'R6 Base revenue'!I28</f>
        <v>1.2330000000000001</v>
      </c>
      <c r="U197" s="346">
        <f>'R6 Base revenue'!J28</f>
        <v>1.2709999999999999</v>
      </c>
      <c r="X197" s="346">
        <f>'R6 Base revenue'!K28</f>
        <v>1.3140000000000001</v>
      </c>
      <c r="AA197" s="346">
        <f>'R6 Base revenue'!L28</f>
        <v>1.3580000000000001</v>
      </c>
      <c r="AD197" s="346">
        <f>'R6 Base revenue'!M28</f>
        <v>1.31</v>
      </c>
      <c r="AG197" s="267"/>
    </row>
    <row r="198" spans="1:33" s="419" customFormat="1">
      <c r="A198" s="267" t="s">
        <v>818</v>
      </c>
      <c r="D198" s="419" t="s">
        <v>817</v>
      </c>
      <c r="E198" s="419" t="s">
        <v>1</v>
      </c>
      <c r="F198" s="267"/>
      <c r="I198" s="500">
        <f>I190</f>
        <v>0</v>
      </c>
      <c r="K198" s="336"/>
      <c r="L198" s="500">
        <f>L190</f>
        <v>0</v>
      </c>
      <c r="O198" s="500">
        <f>O190</f>
        <v>5.2660784255875795E-3</v>
      </c>
      <c r="R198" s="500">
        <f>R190</f>
        <v>-1.9419491838099063E-2</v>
      </c>
      <c r="U198" s="500">
        <f>U190</f>
        <v>2.8819531490267658</v>
      </c>
      <c r="X198" s="500">
        <f>X190</f>
        <v>1.5069866556206635</v>
      </c>
      <c r="AA198" s="500">
        <f>AA190</f>
        <v>1.5652028691194839</v>
      </c>
      <c r="AD198" s="500">
        <f>AD190</f>
        <v>1.4973607763071726</v>
      </c>
      <c r="AG198" s="267"/>
    </row>
    <row r="199" spans="1:33" s="419" customFormat="1">
      <c r="A199" s="267" t="s">
        <v>221</v>
      </c>
      <c r="D199" s="419" t="s">
        <v>153</v>
      </c>
      <c r="E199" s="267" t="s">
        <v>140</v>
      </c>
      <c r="F199" s="267"/>
      <c r="I199" s="346">
        <f>'R6 Base revenue'!F37</f>
        <v>1.04552</v>
      </c>
      <c r="K199" s="336"/>
      <c r="L199" s="346">
        <f>'R6 Base revenue'!G37</f>
        <v>1.0443199999999999</v>
      </c>
      <c r="O199" s="346">
        <f>'R6 Base revenue'!H37</f>
        <v>1.0432999999999999</v>
      </c>
      <c r="R199" s="346">
        <f>'R6 Base revenue'!I37</f>
        <v>1.0422800000000001</v>
      </c>
      <c r="U199" s="346">
        <f>'R6 Base revenue'!J37</f>
        <v>1.04132</v>
      </c>
      <c r="X199" s="346">
        <f>'R6 Base revenue'!K37</f>
        <v>1.0394600000000001</v>
      </c>
      <c r="AA199" s="346">
        <f>'R6 Base revenue'!L37</f>
        <v>1.03748</v>
      </c>
      <c r="AD199" s="346">
        <f>'R6 Base revenue'!M37</f>
        <v>1.03748</v>
      </c>
      <c r="AG199" s="267"/>
    </row>
    <row r="200" spans="1:33" s="419" customFormat="1">
      <c r="A200" s="492" t="s">
        <v>854</v>
      </c>
      <c r="D200" s="419" t="s">
        <v>849</v>
      </c>
      <c r="E200" s="267" t="s">
        <v>673</v>
      </c>
      <c r="K200" s="336"/>
      <c r="O200" s="500">
        <f>(I196-I197)/I196*(I198/I197)*I199*L199</f>
        <v>0</v>
      </c>
      <c r="R200" s="500">
        <f>(L196-L197)/L196*(L198/L197)*L199*O199</f>
        <v>0</v>
      </c>
      <c r="U200" s="500">
        <f>(O196-O197)/O196*(O198/O197)*O199*R199</f>
        <v>-9.7067068221820592E-5</v>
      </c>
      <c r="X200" s="500">
        <f>(R196-R197)/R196*(R198/R197)*R199*U199</f>
        <v>6.9600928967617292E-5</v>
      </c>
      <c r="AA200" s="500">
        <f>(U196-U197)/U196*(U198/U197)*U199*X199</f>
        <v>5.7794323412986865E-3</v>
      </c>
      <c r="AD200" s="500">
        <f>(X196-X197)/X196*(X198/X197)*X199*AA199</f>
        <v>-3.7765066357463481E-3</v>
      </c>
      <c r="AG200" s="267"/>
    </row>
    <row r="201" spans="1:33" s="140" customFormat="1">
      <c r="A201" s="267"/>
      <c r="K201" s="336"/>
      <c r="R201" s="457"/>
      <c r="AG201" s="267"/>
    </row>
    <row r="202" spans="1:33" s="140" customFormat="1">
      <c r="A202" s="267"/>
      <c r="K202" s="336"/>
      <c r="R202" s="457"/>
      <c r="AG202" s="267"/>
    </row>
    <row r="203" spans="1:33" s="140" customFormat="1" ht="13.9">
      <c r="A203" s="536" t="s">
        <v>614</v>
      </c>
      <c r="K203" s="336"/>
      <c r="R203" s="457"/>
      <c r="AG203" s="267"/>
    </row>
    <row r="204" spans="1:33" s="140" customFormat="1" ht="12.75">
      <c r="A204" s="499" t="s">
        <v>861</v>
      </c>
      <c r="K204" s="336"/>
      <c r="R204" s="457"/>
      <c r="AG204" s="267"/>
    </row>
    <row r="205" spans="1:33" s="419" customFormat="1">
      <c r="A205" s="267"/>
      <c r="F205" s="267"/>
      <c r="K205" s="336"/>
      <c r="R205" s="457"/>
      <c r="W205" s="267"/>
      <c r="X205" s="267"/>
      <c r="Y205" s="267"/>
      <c r="Z205" s="267"/>
      <c r="AA205" s="267"/>
      <c r="AB205" s="267"/>
      <c r="AC205" s="267"/>
      <c r="AD205" s="267"/>
      <c r="AG205" s="267"/>
    </row>
    <row r="206" spans="1:33" s="140" customFormat="1">
      <c r="A206" s="267" t="s">
        <v>151</v>
      </c>
      <c r="D206" s="140" t="s">
        <v>149</v>
      </c>
      <c r="E206" s="267" t="s">
        <v>140</v>
      </c>
      <c r="F206" s="530"/>
      <c r="I206" s="346">
        <f>'R6 Base revenue'!F19</f>
        <v>1.167</v>
      </c>
      <c r="K206" s="336"/>
      <c r="L206" s="346">
        <f>'R6 Base revenue'!G19</f>
        <v>1.19</v>
      </c>
      <c r="O206" s="346">
        <f>'R6 Base revenue'!H19</f>
        <v>1.202</v>
      </c>
      <c r="R206" s="458">
        <f>'R6 Base revenue'!I19</f>
        <v>1.228</v>
      </c>
      <c r="U206" s="346">
        <f>'R6 Base revenue'!J19</f>
        <v>1.274</v>
      </c>
      <c r="W206" s="267"/>
      <c r="X206" s="530"/>
      <c r="Y206" s="336"/>
      <c r="Z206" s="336"/>
      <c r="AA206" s="530"/>
      <c r="AB206" s="336"/>
      <c r="AC206" s="336"/>
      <c r="AD206" s="530"/>
      <c r="AG206" s="267"/>
    </row>
    <row r="207" spans="1:33" s="140" customFormat="1">
      <c r="A207" s="267" t="s">
        <v>615</v>
      </c>
      <c r="D207" s="140" t="s">
        <v>139</v>
      </c>
      <c r="E207" s="267" t="s">
        <v>140</v>
      </c>
      <c r="F207" s="530"/>
      <c r="I207" s="346">
        <f>'R6 Base revenue'!F28</f>
        <v>1.163</v>
      </c>
      <c r="K207" s="336"/>
      <c r="L207" s="346">
        <f>'R6 Base revenue'!G28</f>
        <v>1.2050000000000001</v>
      </c>
      <c r="O207" s="346">
        <f>'R6 Base revenue'!H28</f>
        <v>1.2270000000000001</v>
      </c>
      <c r="R207" s="458">
        <f>'R6 Base revenue'!I28</f>
        <v>1.2330000000000001</v>
      </c>
      <c r="U207" s="346">
        <f>'R6 Base revenue'!J28</f>
        <v>1.2709999999999999</v>
      </c>
      <c r="W207" s="267"/>
      <c r="X207" s="530"/>
      <c r="Y207" s="336"/>
      <c r="Z207" s="336"/>
      <c r="AA207" s="530"/>
      <c r="AB207" s="336"/>
      <c r="AC207" s="336"/>
      <c r="AD207" s="530"/>
      <c r="AG207" s="267"/>
    </row>
    <row r="208" spans="1:33" s="140" customFormat="1">
      <c r="A208" s="267" t="s">
        <v>492</v>
      </c>
      <c r="D208" s="140" t="s">
        <v>389</v>
      </c>
      <c r="E208" s="140" t="s">
        <v>1</v>
      </c>
      <c r="F208" s="534"/>
      <c r="I208" s="500">
        <f>I218</f>
        <v>1.3337284</v>
      </c>
      <c r="K208" s="336"/>
      <c r="L208" s="500">
        <f>L218</f>
        <v>1.3818940000000002</v>
      </c>
      <c r="O208" s="500">
        <f>O218</f>
        <v>1.4123896784255876</v>
      </c>
      <c r="R208" s="500">
        <f>R218</f>
        <v>1.3945849081619011</v>
      </c>
      <c r="U208" s="500">
        <f>U218</f>
        <v>1.4244937212704758</v>
      </c>
      <c r="W208" s="267"/>
      <c r="X208" s="534"/>
      <c r="Y208" s="336"/>
      <c r="Z208" s="336"/>
      <c r="AA208" s="534"/>
      <c r="AB208" s="336"/>
      <c r="AC208" s="336"/>
      <c r="AD208" s="534"/>
      <c r="AG208" s="267"/>
    </row>
    <row r="209" spans="1:33" s="140" customFormat="1">
      <c r="A209" s="267" t="s">
        <v>221</v>
      </c>
      <c r="D209" s="140" t="s">
        <v>153</v>
      </c>
      <c r="E209" s="140" t="s">
        <v>140</v>
      </c>
      <c r="F209" s="530"/>
      <c r="I209" s="346">
        <f>'R6 Base revenue'!F37</f>
        <v>1.04552</v>
      </c>
      <c r="K209" s="336"/>
      <c r="L209" s="346">
        <f>'R6 Base revenue'!G37</f>
        <v>1.0443199999999999</v>
      </c>
      <c r="O209" s="346">
        <f>'R6 Base revenue'!H37</f>
        <v>1.0432999999999999</v>
      </c>
      <c r="R209" s="458">
        <f>'R6 Base revenue'!I37</f>
        <v>1.0422800000000001</v>
      </c>
      <c r="U209" s="346">
        <f>'R6 Base revenue'!J37</f>
        <v>1.04132</v>
      </c>
      <c r="W209" s="267"/>
      <c r="X209" s="535"/>
      <c r="Y209" s="336"/>
      <c r="Z209" s="336"/>
      <c r="AA209" s="535"/>
      <c r="AB209" s="336"/>
      <c r="AC209" s="336"/>
      <c r="AD209" s="535"/>
      <c r="AG209" s="267"/>
    </row>
    <row r="210" spans="1:33" s="140" customFormat="1">
      <c r="A210" s="267" t="s">
        <v>855</v>
      </c>
      <c r="D210" s="140" t="s">
        <v>494</v>
      </c>
      <c r="E210" s="267" t="s">
        <v>673</v>
      </c>
      <c r="K210" s="336"/>
      <c r="L210" s="537"/>
      <c r="O210" s="500">
        <f>(I206-I207)/I206*(I208/I207)*I209*L209</f>
        <v>4.2918324576915884E-3</v>
      </c>
      <c r="P210" s="506"/>
      <c r="Q210" s="506"/>
      <c r="R210" s="500">
        <f>(L206-L207)/L206*(L208/L207)*L209*O209</f>
        <v>-1.5749790622951388E-2</v>
      </c>
      <c r="S210" s="506"/>
      <c r="T210" s="506"/>
      <c r="U210" s="500">
        <f>(O206-O207)/O206*(O208/O207)*O209*R209</f>
        <v>-2.6033893571616298E-2</v>
      </c>
      <c r="X210" s="533">
        <v>0</v>
      </c>
      <c r="AA210" s="533">
        <v>0</v>
      </c>
      <c r="AD210" s="533">
        <v>0</v>
      </c>
      <c r="AG210" s="267"/>
    </row>
    <row r="211" spans="1:33">
      <c r="A211" s="307"/>
      <c r="AG211" s="307"/>
    </row>
    <row r="212" spans="1:33" s="419" customFormat="1" ht="13.9">
      <c r="A212" s="532" t="s">
        <v>862</v>
      </c>
      <c r="K212" s="336"/>
      <c r="R212" s="457"/>
      <c r="AG212" s="267"/>
    </row>
    <row r="213" spans="1:33" s="419" customFormat="1" ht="12.75">
      <c r="A213" s="499" t="s">
        <v>861</v>
      </c>
      <c r="K213" s="336"/>
      <c r="R213" s="457"/>
      <c r="AG213" s="267"/>
    </row>
    <row r="214" spans="1:33" s="419" customFormat="1">
      <c r="A214" s="267"/>
      <c r="F214" s="267"/>
      <c r="G214" s="267"/>
      <c r="H214" s="267"/>
      <c r="K214" s="336"/>
      <c r="R214" s="45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</row>
    <row r="215" spans="1:33" s="419" customFormat="1">
      <c r="A215" s="267" t="s">
        <v>495</v>
      </c>
      <c r="D215" s="419" t="s">
        <v>493</v>
      </c>
      <c r="E215" s="267" t="s">
        <v>673</v>
      </c>
      <c r="F215" s="272">
        <v>1.1468</v>
      </c>
      <c r="I215" s="272">
        <v>1.1468</v>
      </c>
      <c r="J215" s="342"/>
      <c r="K215" s="343"/>
      <c r="L215" s="272">
        <v>1.1468</v>
      </c>
      <c r="M215" s="342"/>
      <c r="O215" s="272">
        <v>1.1468</v>
      </c>
      <c r="P215" s="342"/>
      <c r="R215" s="505">
        <v>1.1468</v>
      </c>
      <c r="S215" s="342"/>
      <c r="U215" s="272">
        <v>1.1468</v>
      </c>
      <c r="V215" s="342"/>
      <c r="X215" s="272">
        <v>1.1468</v>
      </c>
      <c r="Y215" s="342"/>
      <c r="AA215" s="272">
        <v>1.1468</v>
      </c>
      <c r="AB215" s="342"/>
      <c r="AD215" s="272">
        <v>1.1468</v>
      </c>
      <c r="AE215" s="342"/>
      <c r="AG215" s="267"/>
    </row>
    <row r="216" spans="1:33" s="419" customFormat="1">
      <c r="A216" s="267" t="s">
        <v>469</v>
      </c>
      <c r="D216" s="419" t="s">
        <v>494</v>
      </c>
      <c r="E216" s="267" t="s">
        <v>673</v>
      </c>
      <c r="F216" s="272">
        <v>0</v>
      </c>
      <c r="I216" s="272">
        <v>0</v>
      </c>
      <c r="J216" s="342"/>
      <c r="K216" s="343"/>
      <c r="L216" s="272">
        <v>0</v>
      </c>
      <c r="M216" s="342"/>
      <c r="N216" s="422"/>
      <c r="O216" s="271">
        <f>O210</f>
        <v>4.2918324576915884E-3</v>
      </c>
      <c r="P216" s="342"/>
      <c r="R216" s="271">
        <f>R210</f>
        <v>-1.5749790622951388E-2</v>
      </c>
      <c r="S216" s="342"/>
      <c r="U216" s="271">
        <f>U210</f>
        <v>-2.6033893571616298E-2</v>
      </c>
      <c r="V216" s="342"/>
      <c r="X216" s="271">
        <f>X210</f>
        <v>0</v>
      </c>
      <c r="Y216" s="342"/>
      <c r="AA216" s="271">
        <f>AA210</f>
        <v>0</v>
      </c>
      <c r="AB216" s="342"/>
      <c r="AD216" s="271">
        <f>AD210</f>
        <v>0</v>
      </c>
      <c r="AE216" s="342"/>
      <c r="AG216" s="267"/>
    </row>
    <row r="217" spans="1:33" s="419" customFormat="1">
      <c r="A217" s="267" t="s">
        <v>78</v>
      </c>
      <c r="D217" s="419" t="s">
        <v>139</v>
      </c>
      <c r="E217" s="419" t="s">
        <v>140</v>
      </c>
      <c r="F217" s="270">
        <f>'R6 Base revenue'!E28</f>
        <v>1.1344000000000001</v>
      </c>
      <c r="I217" s="270">
        <f>'R6 Base revenue'!F28</f>
        <v>1.163</v>
      </c>
      <c r="J217" s="342"/>
      <c r="K217" s="343"/>
      <c r="L217" s="270">
        <f>'R6 Base revenue'!G28</f>
        <v>1.2050000000000001</v>
      </c>
      <c r="M217" s="342"/>
      <c r="O217" s="270">
        <f>'R6 Base revenue'!H28</f>
        <v>1.2270000000000001</v>
      </c>
      <c r="P217" s="342"/>
      <c r="R217" s="270">
        <f>'R6 Base revenue'!I28</f>
        <v>1.2330000000000001</v>
      </c>
      <c r="S217" s="342"/>
      <c r="U217" s="270">
        <f>'R6 Base revenue'!J28</f>
        <v>1.2709999999999999</v>
      </c>
      <c r="V217" s="342"/>
      <c r="X217" s="270">
        <f>'R6 Base revenue'!K28</f>
        <v>1.3140000000000001</v>
      </c>
      <c r="Y217" s="342"/>
      <c r="AA217" s="270">
        <f>'R6 Base revenue'!L28</f>
        <v>1.3580000000000001</v>
      </c>
      <c r="AB217" s="342"/>
      <c r="AD217" s="270">
        <f>'R6 Base revenue'!M28</f>
        <v>1.31</v>
      </c>
      <c r="AE217" s="342"/>
      <c r="AG217" s="267"/>
    </row>
    <row r="218" spans="1:33" s="419" customFormat="1">
      <c r="A218" s="267" t="s">
        <v>492</v>
      </c>
      <c r="D218" s="419" t="s">
        <v>389</v>
      </c>
      <c r="E218" s="419" t="s">
        <v>1</v>
      </c>
      <c r="F218" s="271">
        <f>(F215+F216)*F217</f>
        <v>1.3009299200000002</v>
      </c>
      <c r="I218" s="271">
        <f>(I215+I216)*I217</f>
        <v>1.3337284</v>
      </c>
      <c r="J218" s="344"/>
      <c r="K218" s="345"/>
      <c r="L218" s="271">
        <f>(L215+L216)*L217</f>
        <v>1.3818940000000002</v>
      </c>
      <c r="M218" s="344"/>
      <c r="O218" s="271">
        <f>(O215+O216)*O217</f>
        <v>1.4123896784255876</v>
      </c>
      <c r="P218" s="344"/>
      <c r="R218" s="269">
        <f>(R215+R216)*R217</f>
        <v>1.3945849081619011</v>
      </c>
      <c r="S218" s="344"/>
      <c r="U218" s="271">
        <f>(U215+U216)*U217</f>
        <v>1.4244937212704758</v>
      </c>
      <c r="V218" s="344"/>
      <c r="X218" s="271">
        <f>(X215+X216)*X217</f>
        <v>1.5068952000000002</v>
      </c>
      <c r="Y218" s="344"/>
      <c r="AA218" s="271">
        <f>(AA215+AA216)*AA217</f>
        <v>1.5573544000000001</v>
      </c>
      <c r="AB218" s="344"/>
      <c r="AD218" s="271">
        <f>(AD215+AD216)*AD217</f>
        <v>1.5023080000000002</v>
      </c>
      <c r="AE218" s="344"/>
      <c r="AG218" s="267"/>
    </row>
    <row r="219" spans="1:33">
      <c r="A219" s="307" t="s">
        <v>863</v>
      </c>
      <c r="F219" s="418"/>
      <c r="G219" s="418"/>
      <c r="H219" s="418"/>
      <c r="I219" s="418"/>
      <c r="J219" s="418"/>
      <c r="K219" s="418"/>
      <c r="L219" s="418"/>
      <c r="M219" s="418"/>
      <c r="N219" s="418"/>
      <c r="O219" s="507" t="str">
        <f>IF(O210=O216,"OK","ERROR")</f>
        <v>OK</v>
      </c>
      <c r="P219" s="284"/>
      <c r="Q219" s="284"/>
      <c r="R219" s="507" t="str">
        <f>IF(R210=R216,"OK","ERROR")</f>
        <v>OK</v>
      </c>
      <c r="S219" s="284"/>
      <c r="T219" s="284"/>
      <c r="U219" s="507" t="str">
        <f>IF(U210=U216,"OK","ERROR")</f>
        <v>OK</v>
      </c>
      <c r="V219" s="284"/>
      <c r="W219" s="284"/>
      <c r="X219" s="507" t="str">
        <f>IF(X210=X216,"OK","ERROR")</f>
        <v>OK</v>
      </c>
      <c r="Y219" s="284"/>
      <c r="Z219" s="284"/>
      <c r="AA219" s="507" t="str">
        <f>IF(AA210=AA216,"OK","ERROR")</f>
        <v>OK</v>
      </c>
      <c r="AB219" s="284"/>
      <c r="AC219" s="284"/>
      <c r="AD219" s="507" t="str">
        <f>IF(AD210=AD216,"OK","ERROR")</f>
        <v>OK</v>
      </c>
      <c r="AG219" s="307"/>
    </row>
    <row r="220" spans="1:33">
      <c r="A220" s="307"/>
    </row>
  </sheetData>
  <sortState ref="O143:O146">
    <sortCondition ref="O146"/>
  </sortState>
  <mergeCells count="34">
    <mergeCell ref="O22:P22"/>
    <mergeCell ref="R22:S22"/>
    <mergeCell ref="O12:P12"/>
    <mergeCell ref="R12:S12"/>
    <mergeCell ref="F12:G12"/>
    <mergeCell ref="I12:J12"/>
    <mergeCell ref="L12:M12"/>
    <mergeCell ref="F22:G22"/>
    <mergeCell ref="I22:J22"/>
    <mergeCell ref="L22:M22"/>
    <mergeCell ref="U12:V12"/>
    <mergeCell ref="X12:Y12"/>
    <mergeCell ref="AA12:AB12"/>
    <mergeCell ref="AD12:AE12"/>
    <mergeCell ref="U22:V22"/>
    <mergeCell ref="X22:Y22"/>
    <mergeCell ref="AA22:AB22"/>
    <mergeCell ref="AD22:AE22"/>
    <mergeCell ref="F40:G40"/>
    <mergeCell ref="I40:J40"/>
    <mergeCell ref="L40:M40"/>
    <mergeCell ref="O40:P40"/>
    <mergeCell ref="R40:S40"/>
    <mergeCell ref="F55:G55"/>
    <mergeCell ref="I55:J55"/>
    <mergeCell ref="L55:M55"/>
    <mergeCell ref="O55:P55"/>
    <mergeCell ref="R55:S55"/>
    <mergeCell ref="U55:V55"/>
    <mergeCell ref="X55:Y55"/>
    <mergeCell ref="AA55:AB55"/>
    <mergeCell ref="AD55:AE55"/>
    <mergeCell ref="X39:Y39"/>
    <mergeCell ref="U40:V40"/>
  </mergeCells>
  <pageMargins left="0.7" right="0.7" top="0.75" bottom="0.75" header="0.3" footer="0.3"/>
  <pageSetup paperSize="8" scale="41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23578" r:id="rId4">
          <objectPr defaultSize="0" autoPict="0" r:id="rId5">
            <anchor moveWithCells="1" sizeWithCells="1">
              <from>
                <xdr:col>0</xdr:col>
                <xdr:colOff>0</xdr:colOff>
                <xdr:row>39</xdr:row>
                <xdr:rowOff>61913</xdr:rowOff>
              </from>
              <to>
                <xdr:col>4</xdr:col>
                <xdr:colOff>647700</xdr:colOff>
                <xdr:row>40</xdr:row>
                <xdr:rowOff>104775</xdr:rowOff>
              </to>
            </anchor>
          </objectPr>
        </oleObject>
      </mc:Choice>
      <mc:Fallback>
        <oleObject progId="Equation.3" shapeId="23578" r:id="rId4"/>
      </mc:Fallback>
    </mc:AlternateContent>
    <mc:AlternateContent xmlns:mc="http://schemas.openxmlformats.org/markup-compatibility/2006">
      <mc:Choice Requires="x14">
        <oleObject progId="Equation.3" shapeId="23581" r:id="rId6">
          <objectPr defaultSize="0" autoPict="0" r:id="rId7">
            <anchor moveWithCells="1" sizeWithCells="1">
              <from>
                <xdr:col>0</xdr:col>
                <xdr:colOff>2733675</xdr:colOff>
                <xdr:row>67</xdr:row>
                <xdr:rowOff>9525</xdr:rowOff>
              </from>
              <to>
                <xdr:col>4</xdr:col>
                <xdr:colOff>328613</xdr:colOff>
                <xdr:row>68</xdr:row>
                <xdr:rowOff>66675</xdr:rowOff>
              </to>
            </anchor>
          </objectPr>
        </oleObject>
      </mc:Choice>
      <mc:Fallback>
        <oleObject progId="Equation.3" shapeId="23581" r:id="rId6"/>
      </mc:Fallback>
    </mc:AlternateContent>
    <mc:AlternateContent xmlns:mc="http://schemas.openxmlformats.org/markup-compatibility/2006">
      <mc:Choice Requires="x14">
        <oleObject progId="Equation.3" shapeId="23584" r:id="rId8">
          <objectPr defaultSize="0" autoPict="0" r:id="rId9">
            <anchor moveWithCells="1" sizeWithCells="1">
              <from>
                <xdr:col>0</xdr:col>
                <xdr:colOff>1181100</xdr:colOff>
                <xdr:row>110</xdr:row>
                <xdr:rowOff>142875</xdr:rowOff>
              </from>
              <to>
                <xdr:col>1</xdr:col>
                <xdr:colOff>619125</xdr:colOff>
                <xdr:row>112</xdr:row>
                <xdr:rowOff>47625</xdr:rowOff>
              </to>
            </anchor>
          </objectPr>
        </oleObject>
      </mc:Choice>
      <mc:Fallback>
        <oleObject progId="Equation.3" shapeId="23584" r:id="rId8"/>
      </mc:Fallback>
    </mc:AlternateContent>
    <mc:AlternateContent xmlns:mc="http://schemas.openxmlformats.org/markup-compatibility/2006">
      <mc:Choice Requires="x14">
        <oleObject progId="Equation.3" shapeId="23592" r:id="rId10">
          <objectPr defaultSize="0" autoPict="0" r:id="rId11">
            <anchor moveWithCells="1" sizeWithCells="1">
              <from>
                <xdr:col>0</xdr:col>
                <xdr:colOff>2271713</xdr:colOff>
                <xdr:row>153</xdr:row>
                <xdr:rowOff>0</xdr:rowOff>
              </from>
              <to>
                <xdr:col>2</xdr:col>
                <xdr:colOff>161925</xdr:colOff>
                <xdr:row>154</xdr:row>
                <xdr:rowOff>66675</xdr:rowOff>
              </to>
            </anchor>
          </objectPr>
        </oleObject>
      </mc:Choice>
      <mc:Fallback>
        <oleObject progId="Equation.3" shapeId="23592" r:id="rId10"/>
      </mc:Fallback>
    </mc:AlternateContent>
    <mc:AlternateContent xmlns:mc="http://schemas.openxmlformats.org/markup-compatibility/2006">
      <mc:Choice Requires="x14">
        <oleObject progId="Equation.3" shapeId="23594" r:id="rId12">
          <objectPr defaultSize="0" autoPict="0" r:id="rId13">
            <anchor moveWithCells="1" sizeWithCells="1">
              <from>
                <xdr:col>0</xdr:col>
                <xdr:colOff>38100</xdr:colOff>
                <xdr:row>162</xdr:row>
                <xdr:rowOff>9525</xdr:rowOff>
              </from>
              <to>
                <xdr:col>1</xdr:col>
                <xdr:colOff>523875</xdr:colOff>
                <xdr:row>164</xdr:row>
                <xdr:rowOff>104775</xdr:rowOff>
              </to>
            </anchor>
          </objectPr>
        </oleObject>
      </mc:Choice>
      <mc:Fallback>
        <oleObject progId="Equation.3" shapeId="23594" r:id="rId12"/>
      </mc:Fallback>
    </mc:AlternateContent>
    <mc:AlternateContent xmlns:mc="http://schemas.openxmlformats.org/markup-compatibility/2006">
      <mc:Choice Requires="x14">
        <oleObject progId="Equation.3" shapeId="23596" r:id="rId14">
          <objectPr defaultSize="0" autoPict="0" r:id="rId15">
            <anchor moveWithCells="1" sizeWithCells="1">
              <from>
                <xdr:col>0</xdr:col>
                <xdr:colOff>66675</xdr:colOff>
                <xdr:row>178</xdr:row>
                <xdr:rowOff>28575</xdr:rowOff>
              </from>
              <to>
                <xdr:col>2</xdr:col>
                <xdr:colOff>61913</xdr:colOff>
                <xdr:row>180</xdr:row>
                <xdr:rowOff>152400</xdr:rowOff>
              </to>
            </anchor>
          </objectPr>
        </oleObject>
      </mc:Choice>
      <mc:Fallback>
        <oleObject progId="Equation.3" shapeId="23596" r:id="rId14"/>
      </mc:Fallback>
    </mc:AlternateContent>
    <mc:AlternateContent xmlns:mc="http://schemas.openxmlformats.org/markup-compatibility/2006">
      <mc:Choice Requires="x14">
        <oleObject progId="Equation.3" shapeId="23600" r:id="rId16">
          <objectPr defaultSize="0" autoPict="0" r:id="rId17">
            <anchor moveWithCells="1" sizeWithCells="1">
              <from>
                <xdr:col>0</xdr:col>
                <xdr:colOff>2590800</xdr:colOff>
                <xdr:row>191</xdr:row>
                <xdr:rowOff>38100</xdr:rowOff>
              </from>
              <to>
                <xdr:col>5</xdr:col>
                <xdr:colOff>990600</xdr:colOff>
                <xdr:row>193</xdr:row>
                <xdr:rowOff>161925</xdr:rowOff>
              </to>
            </anchor>
          </objectPr>
        </oleObject>
      </mc:Choice>
      <mc:Fallback>
        <oleObject progId="Equation.3" shapeId="23600" r:id="rId16"/>
      </mc:Fallback>
    </mc:AlternateContent>
    <mc:AlternateContent xmlns:mc="http://schemas.openxmlformats.org/markup-compatibility/2006">
      <mc:Choice Requires="x14">
        <oleObject progId="Equation.3" shapeId="23643" r:id="rId18">
          <objectPr defaultSize="0" autoPict="0" r:id="rId19">
            <anchor moveWithCells="1" sizeWithCells="1">
              <from>
                <xdr:col>0</xdr:col>
                <xdr:colOff>123825</xdr:colOff>
                <xdr:row>20</xdr:row>
                <xdr:rowOff>23813</xdr:rowOff>
              </from>
              <to>
                <xdr:col>5</xdr:col>
                <xdr:colOff>457200</xdr:colOff>
                <xdr:row>22</xdr:row>
                <xdr:rowOff>38100</xdr:rowOff>
              </to>
            </anchor>
          </objectPr>
        </oleObject>
      </mc:Choice>
      <mc:Fallback>
        <oleObject progId="Equation.3" shapeId="23643" r:id="rId18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FFCC"/>
    <pageSetUpPr fitToPage="1"/>
  </sheetPr>
  <dimension ref="A1:AF82"/>
  <sheetViews>
    <sheetView showGridLines="0" zoomScale="85" zoomScaleNormal="85" workbookViewId="0">
      <pane xSplit="5" ySplit="3" topLeftCell="P4" activePane="bottomRight" state="frozenSplit"/>
      <selection pane="topRight"/>
      <selection pane="bottomLeft"/>
      <selection pane="bottomRight" activeCell="Z5" sqref="Z5"/>
    </sheetView>
  </sheetViews>
  <sheetFormatPr defaultColWidth="9" defaultRowHeight="12.4"/>
  <cols>
    <col min="1" max="1" width="32.703125" style="138" customWidth="1"/>
    <col min="2" max="2" width="9" style="138"/>
    <col min="3" max="3" width="10.703125" style="138" customWidth="1"/>
    <col min="4" max="4" width="10.3515625" style="138" customWidth="1"/>
    <col min="5" max="5" width="7.87890625" style="138" customWidth="1"/>
    <col min="6" max="7" width="14.3515625" style="138" bestFit="1" customWidth="1"/>
    <col min="8" max="8" width="1.703125" style="138" customWidth="1"/>
    <col min="9" max="10" width="14.3515625" style="138" bestFit="1" customWidth="1"/>
    <col min="11" max="11" width="2.17578125" style="320" customWidth="1"/>
    <col min="12" max="12" width="10.3515625" style="138" customWidth="1"/>
    <col min="13" max="13" width="13" style="138" customWidth="1"/>
    <col min="14" max="14" width="2.17578125" style="138" customWidth="1"/>
    <col min="15" max="16" width="15" style="138" bestFit="1" customWidth="1"/>
    <col min="17" max="17" width="2.3515625" style="138" customWidth="1"/>
    <col min="18" max="19" width="15" style="138" bestFit="1" customWidth="1"/>
    <col min="20" max="20" width="3" style="138" customWidth="1"/>
    <col min="21" max="22" width="15" style="138" bestFit="1" customWidth="1"/>
    <col min="23" max="23" width="2.17578125" style="138" customWidth="1"/>
    <col min="24" max="25" width="15" style="138" bestFit="1" customWidth="1"/>
    <col min="26" max="26" width="2.3515625" style="138" customWidth="1"/>
    <col min="27" max="28" width="15" style="138" bestFit="1" customWidth="1"/>
    <col min="29" max="29" width="2.703125" style="138" customWidth="1"/>
    <col min="30" max="31" width="15" style="138" bestFit="1" customWidth="1"/>
    <col min="32" max="16384" width="9" style="138"/>
  </cols>
  <sheetData>
    <row r="1" spans="1:32" ht="14.65">
      <c r="A1" s="158" t="s">
        <v>671</v>
      </c>
      <c r="B1" s="149"/>
      <c r="C1" s="149"/>
      <c r="AF1" s="307"/>
    </row>
    <row r="2" spans="1:32" ht="14.65">
      <c r="A2" s="158" t="str">
        <f>CompName</f>
        <v>National Grid Electricity Transmission Plc</v>
      </c>
      <c r="B2" s="149"/>
      <c r="C2" s="149"/>
      <c r="AF2" s="307"/>
    </row>
    <row r="3" spans="1:32">
      <c r="A3" s="160" t="str">
        <f>RegYr</f>
        <v>Regulatory Year ending 31 March 2019</v>
      </c>
      <c r="B3" s="149"/>
      <c r="C3" s="149"/>
      <c r="AF3" s="307"/>
    </row>
    <row r="4" spans="1:32">
      <c r="AF4" s="307"/>
    </row>
    <row r="5" spans="1:32" ht="14.25">
      <c r="A5" s="268" t="s">
        <v>625</v>
      </c>
      <c r="F5" s="580" t="s">
        <v>802</v>
      </c>
      <c r="G5" s="580"/>
      <c r="H5" s="326"/>
      <c r="I5" s="577" t="s">
        <v>592</v>
      </c>
      <c r="J5" s="577"/>
      <c r="K5" s="325"/>
      <c r="L5" s="577" t="s">
        <v>593</v>
      </c>
      <c r="M5" s="577"/>
      <c r="O5" s="577" t="s">
        <v>594</v>
      </c>
      <c r="P5" s="577"/>
      <c r="R5" s="577" t="s">
        <v>595</v>
      </c>
      <c r="S5" s="577"/>
      <c r="U5" s="577" t="s">
        <v>596</v>
      </c>
      <c r="V5" s="577"/>
      <c r="X5" s="418"/>
      <c r="Y5" s="418"/>
      <c r="AA5" s="418"/>
      <c r="AB5" s="418"/>
      <c r="AD5" s="418"/>
      <c r="AE5" s="418"/>
      <c r="AF5" s="307"/>
    </row>
    <row r="6" spans="1:32" ht="14.25">
      <c r="A6" s="324" t="s">
        <v>626</v>
      </c>
      <c r="F6" s="139" t="s">
        <v>600</v>
      </c>
      <c r="G6" s="139" t="s">
        <v>601</v>
      </c>
      <c r="I6" s="139" t="s">
        <v>601</v>
      </c>
      <c r="J6" s="139" t="s">
        <v>602</v>
      </c>
      <c r="K6" s="327"/>
      <c r="L6" s="139" t="s">
        <v>602</v>
      </c>
      <c r="M6" s="139" t="s">
        <v>603</v>
      </c>
      <c r="O6" s="139" t="s">
        <v>603</v>
      </c>
      <c r="P6" s="139" t="s">
        <v>604</v>
      </c>
      <c r="R6" s="139" t="s">
        <v>604</v>
      </c>
      <c r="S6" s="139" t="s">
        <v>605</v>
      </c>
      <c r="U6" s="139" t="s">
        <v>605</v>
      </c>
      <c r="V6" s="139" t="s">
        <v>606</v>
      </c>
      <c r="X6" s="418"/>
      <c r="Y6" s="418"/>
      <c r="AA6" s="418"/>
      <c r="AB6" s="418"/>
      <c r="AD6" s="418"/>
      <c r="AE6" s="418"/>
      <c r="AF6" s="307"/>
    </row>
    <row r="7" spans="1:32" ht="14.25">
      <c r="A7" s="138" t="s">
        <v>627</v>
      </c>
      <c r="D7" s="138" t="s">
        <v>628</v>
      </c>
      <c r="E7" s="138" t="s">
        <v>1</v>
      </c>
      <c r="F7" s="263"/>
      <c r="G7" s="263"/>
      <c r="I7" s="263"/>
      <c r="J7" s="263"/>
      <c r="K7" s="325"/>
      <c r="L7" s="332">
        <f>L21</f>
        <v>0</v>
      </c>
      <c r="M7" s="332">
        <f>M21</f>
        <v>0</v>
      </c>
      <c r="N7" s="349"/>
      <c r="O7" s="332">
        <f>O21</f>
        <v>0</v>
      </c>
      <c r="P7" s="332">
        <f>P21</f>
        <v>0</v>
      </c>
      <c r="Q7" s="349"/>
      <c r="R7" s="332">
        <f>R21</f>
        <v>0</v>
      </c>
      <c r="S7" s="332">
        <f>S21</f>
        <v>0</v>
      </c>
      <c r="T7" s="349"/>
      <c r="U7" s="332">
        <f>U21</f>
        <v>0</v>
      </c>
      <c r="V7" s="332">
        <f>V21</f>
        <v>0</v>
      </c>
      <c r="W7" s="349"/>
      <c r="X7" s="418"/>
      <c r="Y7" s="418"/>
      <c r="Z7" s="349"/>
      <c r="AA7" s="418"/>
      <c r="AB7" s="418"/>
      <c r="AC7" s="349"/>
      <c r="AD7" s="418"/>
      <c r="AE7" s="418"/>
      <c r="AF7" s="307"/>
    </row>
    <row r="8" spans="1:32" ht="14.25">
      <c r="A8" s="138" t="s">
        <v>629</v>
      </c>
      <c r="D8" s="138" t="s">
        <v>630</v>
      </c>
      <c r="E8" s="138" t="s">
        <v>1</v>
      </c>
      <c r="F8" s="263"/>
      <c r="G8" s="263"/>
      <c r="I8" s="263"/>
      <c r="J8" s="263"/>
      <c r="K8" s="325"/>
      <c r="L8" s="332">
        <f>L32</f>
        <v>0</v>
      </c>
      <c r="M8" s="332">
        <f>M32</f>
        <v>0</v>
      </c>
      <c r="N8" s="349"/>
      <c r="O8" s="332">
        <f>O32</f>
        <v>0</v>
      </c>
      <c r="P8" s="332">
        <f>P32</f>
        <v>0</v>
      </c>
      <c r="Q8" s="349"/>
      <c r="R8" s="332">
        <f>R32</f>
        <v>0</v>
      </c>
      <c r="S8" s="332">
        <f>S32</f>
        <v>0</v>
      </c>
      <c r="T8" s="349"/>
      <c r="U8" s="332">
        <f>U32</f>
        <v>0</v>
      </c>
      <c r="V8" s="332">
        <f>V32</f>
        <v>0</v>
      </c>
      <c r="W8" s="349"/>
      <c r="X8" s="418"/>
      <c r="Y8" s="418"/>
      <c r="Z8" s="349"/>
      <c r="AA8" s="418"/>
      <c r="AB8" s="418"/>
      <c r="AC8" s="349"/>
      <c r="AD8" s="418"/>
      <c r="AE8" s="418"/>
      <c r="AF8" s="307"/>
    </row>
    <row r="9" spans="1:32" ht="14.25">
      <c r="A9" s="138" t="s">
        <v>631</v>
      </c>
      <c r="D9" s="138" t="s">
        <v>632</v>
      </c>
      <c r="E9" s="138" t="s">
        <v>1</v>
      </c>
      <c r="F9" s="263"/>
      <c r="G9" s="263"/>
      <c r="I9" s="263"/>
      <c r="J9" s="263"/>
      <c r="K9" s="325"/>
      <c r="L9" s="332">
        <f>L42</f>
        <v>0</v>
      </c>
      <c r="M9" s="332">
        <f>M42</f>
        <v>0</v>
      </c>
      <c r="N9" s="349"/>
      <c r="O9" s="332">
        <f>O42</f>
        <v>0</v>
      </c>
      <c r="P9" s="332">
        <f>P42</f>
        <v>0</v>
      </c>
      <c r="Q9" s="349"/>
      <c r="R9" s="332">
        <f>R42</f>
        <v>0</v>
      </c>
      <c r="S9" s="332">
        <f>S42</f>
        <v>0</v>
      </c>
      <c r="T9" s="349"/>
      <c r="U9" s="332">
        <f>U42</f>
        <v>0</v>
      </c>
      <c r="V9" s="332">
        <f>V42</f>
        <v>0</v>
      </c>
      <c r="W9" s="349"/>
      <c r="X9" s="418"/>
      <c r="Y9" s="418"/>
      <c r="Z9" s="349"/>
      <c r="AA9" s="418"/>
      <c r="AB9" s="418"/>
      <c r="AC9" s="349"/>
      <c r="AD9" s="418"/>
      <c r="AE9" s="418"/>
      <c r="AF9" s="307"/>
    </row>
    <row r="10" spans="1:32" s="137" customFormat="1">
      <c r="A10" s="137" t="s">
        <v>633</v>
      </c>
      <c r="D10" s="137" t="s">
        <v>613</v>
      </c>
      <c r="E10" s="137" t="s">
        <v>1</v>
      </c>
      <c r="K10" s="350"/>
      <c r="L10" s="334">
        <f>SUM(L7:L9)</f>
        <v>0</v>
      </c>
      <c r="M10" s="334">
        <f>SUM(M7:M9)</f>
        <v>0</v>
      </c>
      <c r="N10" s="351"/>
      <c r="O10" s="334">
        <f>SUM(O7:O9)</f>
        <v>0</v>
      </c>
      <c r="P10" s="334">
        <f>SUM(P7:P9)</f>
        <v>0</v>
      </c>
      <c r="Q10" s="351"/>
      <c r="R10" s="334">
        <f>SUM(R7:R9)</f>
        <v>0</v>
      </c>
      <c r="S10" s="334">
        <f>SUM(S7:S9)</f>
        <v>0</v>
      </c>
      <c r="T10" s="351"/>
      <c r="U10" s="188">
        <v>0</v>
      </c>
      <c r="V10" s="188">
        <v>0</v>
      </c>
      <c r="W10" s="351"/>
      <c r="X10" s="418"/>
      <c r="Y10" s="418"/>
      <c r="Z10" s="351"/>
      <c r="AA10" s="418"/>
      <c r="AB10" s="418"/>
      <c r="AC10" s="351"/>
      <c r="AD10" s="418"/>
      <c r="AE10" s="418"/>
      <c r="AF10" s="546"/>
    </row>
    <row r="11" spans="1:32"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418"/>
      <c r="Y11" s="418"/>
      <c r="Z11" s="349"/>
      <c r="AA11" s="418"/>
      <c r="AB11" s="418"/>
      <c r="AC11" s="349"/>
      <c r="AD11" s="418"/>
      <c r="AE11" s="418"/>
      <c r="AF11" s="307"/>
    </row>
    <row r="12" spans="1:32">
      <c r="A12" s="138" t="s">
        <v>634</v>
      </c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418"/>
      <c r="Y12" s="418"/>
      <c r="Z12" s="349"/>
      <c r="AA12" s="418"/>
      <c r="AB12" s="418"/>
      <c r="AC12" s="349"/>
      <c r="AD12" s="418"/>
      <c r="AE12" s="418"/>
      <c r="AF12" s="307"/>
    </row>
    <row r="13" spans="1:32"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418"/>
      <c r="Y13" s="418"/>
      <c r="Z13" s="349"/>
      <c r="AA13" s="418"/>
      <c r="AB13" s="418"/>
      <c r="AC13" s="349"/>
      <c r="AD13" s="418"/>
      <c r="AE13" s="418"/>
      <c r="AF13" s="307"/>
    </row>
    <row r="14" spans="1:32">
      <c r="A14" s="138" t="s">
        <v>635</v>
      </c>
      <c r="D14" s="138" t="s">
        <v>636</v>
      </c>
      <c r="E14" s="138" t="s">
        <v>1</v>
      </c>
      <c r="L14" s="329"/>
      <c r="M14" s="329"/>
      <c r="N14" s="349"/>
      <c r="O14" s="329"/>
      <c r="P14" s="427"/>
      <c r="Q14" s="349"/>
      <c r="R14" s="329"/>
      <c r="S14" s="329"/>
      <c r="T14" s="349"/>
      <c r="U14" s="329"/>
      <c r="V14" s="329"/>
      <c r="W14" s="349"/>
      <c r="X14" s="418"/>
      <c r="Y14" s="418"/>
      <c r="Z14" s="349"/>
      <c r="AA14" s="418"/>
      <c r="AB14" s="418"/>
      <c r="AC14" s="349"/>
      <c r="AD14" s="418"/>
      <c r="AE14" s="418"/>
      <c r="AF14" s="307"/>
    </row>
    <row r="15" spans="1:32">
      <c r="A15" s="138" t="s">
        <v>637</v>
      </c>
      <c r="D15" s="138" t="s">
        <v>638</v>
      </c>
      <c r="E15" s="138" t="s">
        <v>1</v>
      </c>
      <c r="L15" s="352"/>
      <c r="M15" s="329"/>
      <c r="N15" s="349"/>
      <c r="O15" s="352"/>
      <c r="P15" s="427"/>
      <c r="Q15" s="349"/>
      <c r="R15" s="352"/>
      <c r="S15" s="329"/>
      <c r="T15" s="349"/>
      <c r="U15" s="352"/>
      <c r="V15" s="329"/>
      <c r="W15" s="349"/>
      <c r="X15" s="418"/>
      <c r="Y15" s="418"/>
      <c r="Z15" s="349"/>
      <c r="AA15" s="418"/>
      <c r="AB15" s="418"/>
      <c r="AC15" s="349"/>
      <c r="AD15" s="418"/>
      <c r="AE15" s="418"/>
      <c r="AF15" s="307"/>
    </row>
    <row r="16" spans="1:32">
      <c r="A16" s="138" t="s">
        <v>639</v>
      </c>
      <c r="D16" s="138" t="s">
        <v>640</v>
      </c>
      <c r="E16" s="138" t="s">
        <v>1</v>
      </c>
      <c r="L16" s="329"/>
      <c r="M16" s="329"/>
      <c r="N16" s="349"/>
      <c r="O16" s="329"/>
      <c r="P16" s="427"/>
      <c r="Q16" s="349"/>
      <c r="R16" s="329"/>
      <c r="S16" s="329"/>
      <c r="T16" s="349"/>
      <c r="U16" s="329"/>
      <c r="V16" s="329"/>
      <c r="W16" s="349"/>
      <c r="X16" s="418"/>
      <c r="Y16" s="418"/>
      <c r="Z16" s="349"/>
      <c r="AA16" s="418"/>
      <c r="AB16" s="418"/>
      <c r="AC16" s="349"/>
      <c r="AD16" s="418"/>
      <c r="AE16" s="418"/>
      <c r="AF16" s="307"/>
    </row>
    <row r="17" spans="1:32">
      <c r="A17" s="138" t="s">
        <v>641</v>
      </c>
      <c r="D17" s="138" t="s">
        <v>642</v>
      </c>
      <c r="E17" s="138" t="s">
        <v>1</v>
      </c>
      <c r="L17" s="352"/>
      <c r="M17" s="329"/>
      <c r="N17" s="349"/>
      <c r="O17" s="352"/>
      <c r="P17" s="427"/>
      <c r="Q17" s="349"/>
      <c r="R17" s="352"/>
      <c r="S17" s="329"/>
      <c r="T17" s="349"/>
      <c r="U17" s="352"/>
      <c r="V17" s="329"/>
      <c r="W17" s="349"/>
      <c r="X17" s="418"/>
      <c r="Y17" s="418"/>
      <c r="Z17" s="349"/>
      <c r="AA17" s="418"/>
      <c r="AB17" s="418"/>
      <c r="AC17" s="349"/>
      <c r="AD17" s="418"/>
      <c r="AE17" s="418"/>
      <c r="AF17" s="307"/>
    </row>
    <row r="18" spans="1:32">
      <c r="A18" s="138" t="s">
        <v>643</v>
      </c>
      <c r="D18" s="138" t="s">
        <v>644</v>
      </c>
      <c r="E18" s="138" t="s">
        <v>1</v>
      </c>
      <c r="L18" s="329"/>
      <c r="M18" s="329"/>
      <c r="N18" s="349"/>
      <c r="O18" s="329"/>
      <c r="P18" s="427"/>
      <c r="Q18" s="349"/>
      <c r="R18" s="329"/>
      <c r="S18" s="329"/>
      <c r="T18" s="349"/>
      <c r="U18" s="329"/>
      <c r="V18" s="329"/>
      <c r="W18" s="349"/>
      <c r="X18" s="418"/>
      <c r="Y18" s="418"/>
      <c r="Z18" s="349"/>
      <c r="AA18" s="418"/>
      <c r="AB18" s="418"/>
      <c r="AC18" s="349"/>
      <c r="AD18" s="418"/>
      <c r="AE18" s="418"/>
      <c r="AF18" s="307"/>
    </row>
    <row r="19" spans="1:32">
      <c r="A19" s="138" t="s">
        <v>645</v>
      </c>
      <c r="D19" s="138" t="s">
        <v>803</v>
      </c>
      <c r="E19" s="138" t="s">
        <v>1</v>
      </c>
      <c r="L19" s="353"/>
      <c r="M19" s="329"/>
      <c r="N19" s="349"/>
      <c r="O19" s="353"/>
      <c r="P19" s="427"/>
      <c r="Q19" s="349"/>
      <c r="R19" s="353"/>
      <c r="S19" s="329"/>
      <c r="T19" s="349"/>
      <c r="U19" s="353"/>
      <c r="V19" s="329"/>
      <c r="W19" s="349"/>
      <c r="X19" s="418"/>
      <c r="Y19" s="418"/>
      <c r="Z19" s="349"/>
      <c r="AA19" s="418"/>
      <c r="AB19" s="418"/>
      <c r="AC19" s="349"/>
      <c r="AD19" s="418"/>
      <c r="AE19" s="418"/>
      <c r="AF19" s="307"/>
    </row>
    <row r="20" spans="1:32">
      <c r="A20" s="138" t="s">
        <v>646</v>
      </c>
      <c r="D20" s="138" t="s">
        <v>647</v>
      </c>
      <c r="E20" s="138" t="s">
        <v>1</v>
      </c>
      <c r="L20" s="354"/>
      <c r="M20" s="329"/>
      <c r="N20" s="349"/>
      <c r="O20" s="354"/>
      <c r="P20" s="427"/>
      <c r="Q20" s="349"/>
      <c r="R20" s="354"/>
      <c r="S20" s="329"/>
      <c r="T20" s="349"/>
      <c r="U20" s="354"/>
      <c r="V20" s="329"/>
      <c r="W20" s="349"/>
      <c r="X20" s="418"/>
      <c r="Y20" s="418"/>
      <c r="Z20" s="349"/>
      <c r="AA20" s="418"/>
      <c r="AB20" s="418"/>
      <c r="AC20" s="349"/>
      <c r="AD20" s="418"/>
      <c r="AE20" s="418"/>
      <c r="AF20" s="307"/>
    </row>
    <row r="21" spans="1:32">
      <c r="A21" s="138" t="s">
        <v>627</v>
      </c>
      <c r="D21" s="138" t="s">
        <v>628</v>
      </c>
      <c r="E21" s="138" t="s">
        <v>1</v>
      </c>
      <c r="L21" s="332">
        <f>SUM(L14:L20)</f>
        <v>0</v>
      </c>
      <c r="M21" s="332">
        <f>SUM(M14:M20)</f>
        <v>0</v>
      </c>
      <c r="N21" s="349"/>
      <c r="O21" s="332">
        <f>SUM(O14:O20)</f>
        <v>0</v>
      </c>
      <c r="P21" s="332">
        <f>SUM(P14:P20)</f>
        <v>0</v>
      </c>
      <c r="Q21" s="349"/>
      <c r="R21" s="332">
        <f>SUM(R14:R20)</f>
        <v>0</v>
      </c>
      <c r="S21" s="332">
        <f>SUM(S14:S20)</f>
        <v>0</v>
      </c>
      <c r="T21" s="349"/>
      <c r="U21" s="332">
        <f>SUM(U14:U20)</f>
        <v>0</v>
      </c>
      <c r="V21" s="332">
        <f>SUM(V14:V20)</f>
        <v>0</v>
      </c>
      <c r="W21" s="349"/>
      <c r="X21" s="418"/>
      <c r="Y21" s="418"/>
      <c r="Z21" s="349"/>
      <c r="AA21" s="418"/>
      <c r="AB21" s="418"/>
      <c r="AC21" s="349"/>
      <c r="AD21" s="418"/>
      <c r="AE21" s="418"/>
      <c r="AF21" s="307"/>
    </row>
    <row r="22" spans="1:32"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418"/>
      <c r="Y22" s="418"/>
      <c r="Z22" s="349"/>
      <c r="AA22" s="418"/>
      <c r="AB22" s="418"/>
      <c r="AC22" s="349"/>
      <c r="AD22" s="418"/>
      <c r="AE22" s="418"/>
      <c r="AF22" s="307"/>
    </row>
    <row r="23" spans="1:32"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418"/>
      <c r="Y23" s="418"/>
      <c r="Z23" s="349"/>
      <c r="AA23" s="418"/>
      <c r="AB23" s="418"/>
      <c r="AC23" s="349"/>
      <c r="AD23" s="418"/>
      <c r="AE23" s="418"/>
      <c r="AF23" s="307"/>
    </row>
    <row r="24" spans="1:32">
      <c r="A24" s="138" t="s">
        <v>648</v>
      </c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418"/>
      <c r="Y24" s="418"/>
      <c r="Z24" s="349"/>
      <c r="AA24" s="418"/>
      <c r="AB24" s="418"/>
      <c r="AC24" s="349"/>
      <c r="AD24" s="418"/>
      <c r="AE24" s="418"/>
      <c r="AF24" s="307"/>
    </row>
    <row r="25" spans="1:32"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418"/>
      <c r="Y25" s="418"/>
      <c r="Z25" s="349"/>
      <c r="AA25" s="418"/>
      <c r="AB25" s="418"/>
      <c r="AC25" s="349"/>
      <c r="AD25" s="418"/>
      <c r="AE25" s="418"/>
      <c r="AF25" s="307"/>
    </row>
    <row r="26" spans="1:32">
      <c r="A26" s="138" t="s">
        <v>649</v>
      </c>
      <c r="D26" s="138" t="s">
        <v>650</v>
      </c>
      <c r="E26" s="138" t="s">
        <v>1</v>
      </c>
      <c r="L26" s="329"/>
      <c r="M26" s="329"/>
      <c r="N26" s="349"/>
      <c r="O26" s="329"/>
      <c r="P26" s="427"/>
      <c r="Q26" s="349"/>
      <c r="R26" s="427"/>
      <c r="S26" s="329"/>
      <c r="T26" s="349"/>
      <c r="U26" s="329"/>
      <c r="V26" s="329"/>
      <c r="W26" s="349"/>
      <c r="X26" s="418"/>
      <c r="Y26" s="418"/>
      <c r="Z26" s="349"/>
      <c r="AA26" s="418"/>
      <c r="AB26" s="418"/>
      <c r="AC26" s="349"/>
      <c r="AD26" s="418"/>
      <c r="AE26" s="418"/>
      <c r="AF26" s="307"/>
    </row>
    <row r="27" spans="1:32">
      <c r="A27" s="138" t="s">
        <v>651</v>
      </c>
      <c r="D27" s="138" t="s">
        <v>652</v>
      </c>
      <c r="E27" s="138" t="s">
        <v>1</v>
      </c>
      <c r="L27" s="352"/>
      <c r="M27" s="329"/>
      <c r="N27" s="349"/>
      <c r="O27" s="352"/>
      <c r="P27" s="427"/>
      <c r="Q27" s="349"/>
      <c r="R27" s="460"/>
      <c r="S27" s="329"/>
      <c r="T27" s="349"/>
      <c r="U27" s="352"/>
      <c r="V27" s="329"/>
      <c r="W27" s="349"/>
      <c r="X27" s="418"/>
      <c r="Y27" s="418"/>
      <c r="Z27" s="349"/>
      <c r="AA27" s="418"/>
      <c r="AB27" s="418"/>
      <c r="AC27" s="349"/>
      <c r="AD27" s="418"/>
      <c r="AE27" s="418"/>
      <c r="AF27" s="307"/>
    </row>
    <row r="28" spans="1:32">
      <c r="A28" s="138" t="s">
        <v>653</v>
      </c>
      <c r="D28" s="138" t="s">
        <v>654</v>
      </c>
      <c r="E28" s="138" t="s">
        <v>1</v>
      </c>
      <c r="L28" s="329"/>
      <c r="M28" s="329"/>
      <c r="N28" s="349"/>
      <c r="O28" s="329"/>
      <c r="P28" s="427"/>
      <c r="Q28" s="349"/>
      <c r="R28" s="427"/>
      <c r="S28" s="329"/>
      <c r="T28" s="349"/>
      <c r="U28" s="329"/>
      <c r="V28" s="329"/>
      <c r="W28" s="349"/>
      <c r="X28" s="418"/>
      <c r="Y28" s="418"/>
      <c r="Z28" s="349"/>
      <c r="AA28" s="418"/>
      <c r="AB28" s="418"/>
      <c r="AC28" s="349"/>
      <c r="AD28" s="418"/>
      <c r="AE28" s="418"/>
      <c r="AF28" s="307"/>
    </row>
    <row r="29" spans="1:32">
      <c r="A29" s="138" t="s">
        <v>655</v>
      </c>
      <c r="D29" s="138" t="s">
        <v>656</v>
      </c>
      <c r="E29" s="138" t="s">
        <v>1</v>
      </c>
      <c r="L29" s="353"/>
      <c r="M29" s="329"/>
      <c r="N29" s="349"/>
      <c r="O29" s="353"/>
      <c r="P29" s="427"/>
      <c r="Q29" s="349"/>
      <c r="R29" s="461"/>
      <c r="S29" s="329"/>
      <c r="T29" s="349"/>
      <c r="U29" s="353"/>
      <c r="V29" s="329"/>
      <c r="W29" s="349"/>
      <c r="X29" s="418"/>
      <c r="Y29" s="418"/>
      <c r="Z29" s="349"/>
      <c r="AA29" s="418"/>
      <c r="AB29" s="418"/>
      <c r="AC29" s="349"/>
      <c r="AD29" s="418"/>
      <c r="AE29" s="418"/>
      <c r="AF29" s="307"/>
    </row>
    <row r="30" spans="1:32">
      <c r="A30" s="138" t="s">
        <v>657</v>
      </c>
      <c r="D30" s="138" t="s">
        <v>658</v>
      </c>
      <c r="E30" s="138" t="s">
        <v>1</v>
      </c>
      <c r="L30" s="355"/>
      <c r="M30" s="329"/>
      <c r="N30" s="349"/>
      <c r="O30" s="355"/>
      <c r="P30" s="427"/>
      <c r="Q30" s="349"/>
      <c r="R30" s="462"/>
      <c r="S30" s="329"/>
      <c r="T30" s="349"/>
      <c r="U30" s="355"/>
      <c r="V30" s="329"/>
      <c r="W30" s="349"/>
      <c r="X30" s="418"/>
      <c r="Y30" s="418"/>
      <c r="Z30" s="349"/>
      <c r="AA30" s="418"/>
      <c r="AB30" s="418"/>
      <c r="AC30" s="349"/>
      <c r="AD30" s="418"/>
      <c r="AE30" s="418"/>
      <c r="AF30" s="307"/>
    </row>
    <row r="31" spans="1:32">
      <c r="A31" s="138" t="s">
        <v>659</v>
      </c>
      <c r="D31" s="138" t="s">
        <v>660</v>
      </c>
      <c r="E31" s="138" t="s">
        <v>1</v>
      </c>
      <c r="L31" s="354"/>
      <c r="M31" s="329"/>
      <c r="N31" s="349"/>
      <c r="O31" s="354"/>
      <c r="P31" s="427"/>
      <c r="Q31" s="349"/>
      <c r="R31" s="354"/>
      <c r="S31" s="329"/>
      <c r="T31" s="349"/>
      <c r="U31" s="354"/>
      <c r="V31" s="329"/>
      <c r="W31" s="349"/>
      <c r="X31" s="418"/>
      <c r="Y31" s="418"/>
      <c r="Z31" s="349"/>
      <c r="AA31" s="418"/>
      <c r="AB31" s="418"/>
      <c r="AC31" s="349"/>
      <c r="AD31" s="418"/>
      <c r="AE31" s="418"/>
      <c r="AF31" s="307"/>
    </row>
    <row r="32" spans="1:32">
      <c r="A32" s="138" t="s">
        <v>629</v>
      </c>
      <c r="D32" s="138" t="s">
        <v>630</v>
      </c>
      <c r="E32" s="138" t="s">
        <v>1</v>
      </c>
      <c r="L32" s="332">
        <f>SUM(L26:L31)</f>
        <v>0</v>
      </c>
      <c r="M32" s="332">
        <f>SUM(M26:M31)</f>
        <v>0</v>
      </c>
      <c r="N32" s="349"/>
      <c r="O32" s="332">
        <f>SUM(O26:O31)</f>
        <v>0</v>
      </c>
      <c r="P32" s="332">
        <f>SUM(P26:P31)</f>
        <v>0</v>
      </c>
      <c r="Q32" s="349"/>
      <c r="R32" s="332">
        <f>SUM(R26:R31)</f>
        <v>0</v>
      </c>
      <c r="S32" s="332">
        <f>SUM(S26:S31)</f>
        <v>0</v>
      </c>
      <c r="T32" s="349"/>
      <c r="U32" s="332">
        <f>SUM(U26:U31)</f>
        <v>0</v>
      </c>
      <c r="V32" s="332">
        <f>SUM(V26:V31)</f>
        <v>0</v>
      </c>
      <c r="W32" s="349"/>
      <c r="X32" s="418"/>
      <c r="Y32" s="418"/>
      <c r="Z32" s="349"/>
      <c r="AA32" s="418"/>
      <c r="AB32" s="418"/>
      <c r="AC32" s="349"/>
      <c r="AD32" s="418"/>
      <c r="AE32" s="418"/>
      <c r="AF32" s="307"/>
    </row>
    <row r="33" spans="1:32">
      <c r="L33" s="356"/>
      <c r="M33" s="356"/>
      <c r="N33" s="349"/>
      <c r="O33" s="356"/>
      <c r="P33" s="356"/>
      <c r="Q33" s="349"/>
      <c r="R33" s="356"/>
      <c r="S33" s="356"/>
      <c r="T33" s="349"/>
      <c r="U33" s="356"/>
      <c r="V33" s="356"/>
      <c r="W33" s="349"/>
      <c r="X33" s="418"/>
      <c r="Y33" s="418"/>
      <c r="Z33" s="349"/>
      <c r="AA33" s="418"/>
      <c r="AB33" s="418"/>
      <c r="AC33" s="349"/>
      <c r="AD33" s="418"/>
      <c r="AE33" s="418"/>
      <c r="AF33" s="307"/>
    </row>
    <row r="34" spans="1:32">
      <c r="L34" s="356"/>
      <c r="M34" s="356"/>
      <c r="N34" s="349"/>
      <c r="O34" s="356"/>
      <c r="P34" s="356"/>
      <c r="Q34" s="349"/>
      <c r="R34" s="356"/>
      <c r="S34" s="356"/>
      <c r="T34" s="349"/>
      <c r="U34" s="356"/>
      <c r="V34" s="356"/>
      <c r="W34" s="349"/>
      <c r="X34" s="418"/>
      <c r="Y34" s="418"/>
      <c r="Z34" s="349"/>
      <c r="AA34" s="418"/>
      <c r="AB34" s="418"/>
      <c r="AC34" s="349"/>
      <c r="AD34" s="418"/>
      <c r="AE34" s="418"/>
      <c r="AF34" s="307"/>
    </row>
    <row r="35" spans="1:32">
      <c r="A35" s="138" t="s">
        <v>631</v>
      </c>
      <c r="L35" s="356"/>
      <c r="M35" s="356"/>
      <c r="N35" s="349"/>
      <c r="O35" s="356"/>
      <c r="P35" s="356"/>
      <c r="Q35" s="349"/>
      <c r="R35" s="356"/>
      <c r="S35" s="356"/>
      <c r="T35" s="349"/>
      <c r="U35" s="356"/>
      <c r="V35" s="356"/>
      <c r="W35" s="349"/>
      <c r="X35" s="418"/>
      <c r="Y35" s="418"/>
      <c r="Z35" s="349"/>
      <c r="AA35" s="418"/>
      <c r="AB35" s="418"/>
      <c r="AC35" s="349"/>
      <c r="AD35" s="418"/>
      <c r="AE35" s="418"/>
      <c r="AF35" s="307"/>
    </row>
    <row r="36" spans="1:32"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418"/>
      <c r="Y36" s="418"/>
      <c r="Z36" s="349"/>
      <c r="AA36" s="418"/>
      <c r="AB36" s="418"/>
      <c r="AC36" s="349"/>
      <c r="AD36" s="418"/>
      <c r="AE36" s="418"/>
      <c r="AF36" s="307"/>
    </row>
    <row r="37" spans="1:32">
      <c r="A37" s="138" t="s">
        <v>661</v>
      </c>
      <c r="D37" s="138" t="s">
        <v>662</v>
      </c>
      <c r="E37" s="138" t="s">
        <v>1</v>
      </c>
      <c r="L37" s="329"/>
      <c r="M37" s="329"/>
      <c r="N37" s="349"/>
      <c r="O37" s="329"/>
      <c r="P37" s="329"/>
      <c r="Q37" s="349"/>
      <c r="R37" s="329"/>
      <c r="S37" s="329"/>
      <c r="T37" s="349"/>
      <c r="U37" s="329"/>
      <c r="V37" s="329"/>
      <c r="W37" s="349"/>
      <c r="X37" s="418"/>
      <c r="Y37" s="418"/>
      <c r="Z37" s="349"/>
      <c r="AA37" s="418"/>
      <c r="AB37" s="418"/>
      <c r="AC37" s="349"/>
      <c r="AD37" s="418"/>
      <c r="AE37" s="418"/>
      <c r="AF37" s="307"/>
    </row>
    <row r="38" spans="1:32">
      <c r="A38" s="138" t="s">
        <v>663</v>
      </c>
      <c r="D38" s="138" t="s">
        <v>664</v>
      </c>
      <c r="E38" s="138" t="s">
        <v>1</v>
      </c>
      <c r="L38" s="352"/>
      <c r="M38" s="329"/>
      <c r="N38" s="349"/>
      <c r="O38" s="352"/>
      <c r="P38" s="329"/>
      <c r="Q38" s="349"/>
      <c r="R38" s="352"/>
      <c r="S38" s="329"/>
      <c r="T38" s="349"/>
      <c r="U38" s="352"/>
      <c r="V38" s="329"/>
      <c r="W38" s="349"/>
      <c r="X38" s="418"/>
      <c r="Y38" s="418"/>
      <c r="Z38" s="349"/>
      <c r="AA38" s="418"/>
      <c r="AB38" s="418"/>
      <c r="AC38" s="349"/>
      <c r="AD38" s="418"/>
      <c r="AE38" s="418"/>
      <c r="AF38" s="307"/>
    </row>
    <row r="39" spans="1:32">
      <c r="A39" s="138" t="s">
        <v>665</v>
      </c>
      <c r="D39" s="138" t="s">
        <v>666</v>
      </c>
      <c r="E39" s="138" t="s">
        <v>1</v>
      </c>
      <c r="L39" s="329"/>
      <c r="M39" s="329"/>
      <c r="N39" s="349"/>
      <c r="O39" s="329"/>
      <c r="P39" s="329"/>
      <c r="Q39" s="349"/>
      <c r="R39" s="329"/>
      <c r="S39" s="329"/>
      <c r="T39" s="349"/>
      <c r="U39" s="329"/>
      <c r="V39" s="329"/>
      <c r="W39" s="349"/>
      <c r="X39" s="418"/>
      <c r="Y39" s="418"/>
      <c r="Z39" s="349"/>
      <c r="AA39" s="418"/>
      <c r="AB39" s="418"/>
      <c r="AC39" s="349"/>
      <c r="AD39" s="418"/>
      <c r="AE39" s="418"/>
      <c r="AF39" s="307"/>
    </row>
    <row r="40" spans="1:32">
      <c r="A40" s="138" t="s">
        <v>667</v>
      </c>
      <c r="D40" s="138" t="s">
        <v>668</v>
      </c>
      <c r="E40" s="138" t="s">
        <v>1</v>
      </c>
      <c r="L40" s="352"/>
      <c r="M40" s="329"/>
      <c r="N40" s="349"/>
      <c r="O40" s="352"/>
      <c r="P40" s="329"/>
      <c r="Q40" s="349"/>
      <c r="R40" s="352"/>
      <c r="S40" s="329"/>
      <c r="T40" s="349"/>
      <c r="U40" s="352"/>
      <c r="V40" s="329"/>
      <c r="W40" s="349"/>
      <c r="X40" s="418"/>
      <c r="Y40" s="418"/>
      <c r="Z40" s="349"/>
      <c r="AA40" s="418"/>
      <c r="AB40" s="418"/>
      <c r="AC40" s="349"/>
      <c r="AD40" s="418"/>
      <c r="AE40" s="418"/>
      <c r="AF40" s="307"/>
    </row>
    <row r="41" spans="1:32">
      <c r="A41" s="138" t="s">
        <v>669</v>
      </c>
      <c r="D41" s="138" t="s">
        <v>670</v>
      </c>
      <c r="E41" s="138" t="s">
        <v>1</v>
      </c>
      <c r="L41" s="188">
        <v>5</v>
      </c>
      <c r="M41" s="188">
        <v>5</v>
      </c>
      <c r="N41" s="349"/>
      <c r="O41" s="188">
        <v>5</v>
      </c>
      <c r="P41" s="188">
        <v>5</v>
      </c>
      <c r="Q41" s="349"/>
      <c r="R41" s="188">
        <v>5</v>
      </c>
      <c r="S41" s="188">
        <v>5</v>
      </c>
      <c r="T41" s="349"/>
      <c r="U41" s="188">
        <v>5</v>
      </c>
      <c r="V41" s="188">
        <v>5</v>
      </c>
      <c r="W41" s="349"/>
      <c r="X41" s="418"/>
      <c r="Y41" s="418"/>
      <c r="Z41" s="349"/>
      <c r="AA41" s="418"/>
      <c r="AB41" s="418"/>
      <c r="AC41" s="349"/>
      <c r="AD41" s="418"/>
      <c r="AE41" s="418"/>
      <c r="AF41" s="307"/>
    </row>
    <row r="42" spans="1:32">
      <c r="A42" s="138" t="s">
        <v>631</v>
      </c>
      <c r="D42" s="138" t="s">
        <v>632</v>
      </c>
      <c r="E42" s="138" t="s">
        <v>1</v>
      </c>
      <c r="L42" s="332">
        <f>MIN(SUM(L37:L40),L41)</f>
        <v>0</v>
      </c>
      <c r="M42" s="332">
        <f>MIN(SUM(M37:M40),M41)</f>
        <v>0</v>
      </c>
      <c r="N42" s="349"/>
      <c r="O42" s="332">
        <f>MIN(SUM(O37:O40),O41)</f>
        <v>0</v>
      </c>
      <c r="P42" s="332">
        <f>MIN(SUM(P37:P40),P41)</f>
        <v>0</v>
      </c>
      <c r="Q42" s="349"/>
      <c r="R42" s="332">
        <f>MIN(SUM(R37:R40),R41)</f>
        <v>0</v>
      </c>
      <c r="S42" s="332">
        <f>MIN(SUM(S37:S40),S41)</f>
        <v>0</v>
      </c>
      <c r="T42" s="349"/>
      <c r="U42" s="332">
        <f>MIN(SUM(U37:U40),U41)</f>
        <v>0</v>
      </c>
      <c r="V42" s="332">
        <f>MIN(SUM(V37:V40),V41)</f>
        <v>0</v>
      </c>
      <c r="W42" s="349"/>
      <c r="X42" s="418"/>
      <c r="Y42" s="418"/>
      <c r="Z42" s="349"/>
      <c r="AA42" s="418"/>
      <c r="AB42" s="418"/>
      <c r="AC42" s="349"/>
      <c r="AD42" s="418"/>
      <c r="AE42" s="418"/>
      <c r="AF42" s="307"/>
    </row>
    <row r="43" spans="1:32">
      <c r="AF43" s="307"/>
    </row>
    <row r="44" spans="1:32">
      <c r="AF44" s="307"/>
    </row>
    <row r="45" spans="1:32">
      <c r="AF45" s="307"/>
    </row>
    <row r="46" spans="1:32">
      <c r="AF46" s="307"/>
    </row>
    <row r="47" spans="1:32">
      <c r="AF47" s="307"/>
    </row>
    <row r="48" spans="1:32">
      <c r="AF48" s="307"/>
    </row>
    <row r="49" spans="32:32">
      <c r="AF49" s="307"/>
    </row>
    <row r="50" spans="32:32">
      <c r="AF50" s="307"/>
    </row>
    <row r="51" spans="32:32">
      <c r="AF51" s="307"/>
    </row>
    <row r="52" spans="32:32">
      <c r="AF52" s="307"/>
    </row>
    <row r="53" spans="32:32">
      <c r="AF53" s="307"/>
    </row>
    <row r="54" spans="32:32">
      <c r="AF54" s="307"/>
    </row>
    <row r="55" spans="32:32">
      <c r="AF55" s="307"/>
    </row>
    <row r="56" spans="32:32">
      <c r="AF56" s="307"/>
    </row>
    <row r="57" spans="32:32">
      <c r="AF57" s="307"/>
    </row>
    <row r="58" spans="32:32">
      <c r="AF58" s="307"/>
    </row>
    <row r="59" spans="32:32">
      <c r="AF59" s="307"/>
    </row>
    <row r="60" spans="32:32">
      <c r="AF60" s="307"/>
    </row>
    <row r="61" spans="32:32">
      <c r="AF61" s="307"/>
    </row>
    <row r="62" spans="32:32">
      <c r="AF62" s="307"/>
    </row>
    <row r="63" spans="32:32">
      <c r="AF63" s="307"/>
    </row>
    <row r="64" spans="32:32">
      <c r="AF64" s="307"/>
    </row>
    <row r="65" spans="32:32">
      <c r="AF65" s="307"/>
    </row>
    <row r="66" spans="32:32">
      <c r="AF66" s="307"/>
    </row>
    <row r="67" spans="32:32">
      <c r="AF67" s="307"/>
    </row>
    <row r="68" spans="32:32">
      <c r="AF68" s="307"/>
    </row>
    <row r="69" spans="32:32">
      <c r="AF69" s="307"/>
    </row>
    <row r="70" spans="32:32">
      <c r="AF70" s="307"/>
    </row>
    <row r="71" spans="32:32">
      <c r="AF71" s="307"/>
    </row>
    <row r="72" spans="32:32">
      <c r="AF72" s="307"/>
    </row>
    <row r="73" spans="32:32">
      <c r="AF73" s="307"/>
    </row>
    <row r="74" spans="32:32">
      <c r="AF74" s="307"/>
    </row>
    <row r="75" spans="32:32">
      <c r="AF75" s="307"/>
    </row>
    <row r="76" spans="32:32">
      <c r="AF76" s="307"/>
    </row>
    <row r="77" spans="32:32">
      <c r="AF77" s="307"/>
    </row>
    <row r="78" spans="32:32">
      <c r="AF78" s="307"/>
    </row>
    <row r="79" spans="32:32">
      <c r="AF79" s="307"/>
    </row>
    <row r="80" spans="32:32">
      <c r="AF80" s="307"/>
    </row>
    <row r="81" spans="32:32">
      <c r="AF81" s="307"/>
    </row>
    <row r="82" spans="32:32">
      <c r="AF82" s="307"/>
    </row>
  </sheetData>
  <mergeCells count="6">
    <mergeCell ref="U5:V5"/>
    <mergeCell ref="F5:G5"/>
    <mergeCell ref="I5:J5"/>
    <mergeCell ref="L5:M5"/>
    <mergeCell ref="O5:P5"/>
    <mergeCell ref="R5:S5"/>
  </mergeCells>
  <pageMargins left="0.7" right="0.7" top="0.75" bottom="0.75" header="0.3" footer="0.3"/>
  <pageSetup paperSize="8" scale="8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34" customWidth="1"/>
    <col min="2" max="4" width="9" style="34" customWidth="1"/>
    <col min="5" max="5" width="9" style="35" customWidth="1"/>
    <col min="6" max="14" width="9" style="34" customWidth="1"/>
    <col min="15" max="16384" width="9" style="34" hidden="1"/>
  </cols>
  <sheetData>
    <row r="1" spans="1:14" s="29" customFormat="1" ht="17.649999999999999">
      <c r="A1" s="28" t="s">
        <v>119</v>
      </c>
      <c r="C1" s="30"/>
      <c r="E1" s="31"/>
    </row>
    <row r="2" spans="1:14" s="29" customFormat="1" ht="17.649999999999999">
      <c r="A2" s="28" t="str">
        <f>CompName</f>
        <v>National Grid Electricity Transmission Plc</v>
      </c>
      <c r="C2" s="30"/>
      <c r="E2" s="31"/>
    </row>
    <row r="3" spans="1:14" s="29" customFormat="1" ht="12.4">
      <c r="A3" s="15" t="str">
        <f>'R5 Input page'!F7</f>
        <v>Regulatory Year ending 31 March 2019</v>
      </c>
      <c r="E3" s="31"/>
    </row>
    <row r="4" spans="1:14" ht="12.4">
      <c r="A4" s="32"/>
      <c r="B4" s="32"/>
      <c r="C4" s="32"/>
      <c r="D4" s="32"/>
      <c r="E4" s="33"/>
      <c r="F4" s="32"/>
      <c r="G4" s="32"/>
      <c r="H4" s="32"/>
      <c r="I4" s="32"/>
      <c r="J4" s="32"/>
      <c r="K4" s="32"/>
      <c r="L4" s="32"/>
      <c r="M4" s="32"/>
      <c r="N4" s="32"/>
    </row>
    <row r="5" spans="1:14" ht="12.4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</row>
    <row r="6" spans="1:14" ht="12.4">
      <c r="A6" s="32"/>
      <c r="B6" s="32"/>
      <c r="C6" s="32"/>
      <c r="D6" s="32"/>
      <c r="E6" s="33"/>
      <c r="F6" s="32"/>
      <c r="G6" s="32"/>
      <c r="H6" s="32"/>
      <c r="I6" s="32"/>
      <c r="J6" s="32"/>
      <c r="K6" s="32"/>
      <c r="L6" s="32"/>
      <c r="M6" s="32"/>
      <c r="N6" s="32"/>
    </row>
    <row r="7" spans="1:14" ht="12.4">
      <c r="A7" s="32"/>
      <c r="B7" s="32"/>
      <c r="C7" s="32"/>
      <c r="D7" s="32"/>
      <c r="E7" s="33"/>
      <c r="F7" s="32"/>
      <c r="G7" s="32"/>
      <c r="H7" s="32"/>
      <c r="I7" s="32"/>
      <c r="J7" s="32"/>
      <c r="K7" s="32"/>
      <c r="L7" s="32"/>
      <c r="M7" s="32"/>
      <c r="N7" s="32"/>
    </row>
    <row r="8" spans="1:14" ht="12.4">
      <c r="A8" s="32"/>
      <c r="B8" s="32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</row>
    <row r="9" spans="1:14" ht="12.4">
      <c r="A9" s="32"/>
      <c r="B9" s="32"/>
      <c r="C9" s="32"/>
      <c r="D9" s="32"/>
      <c r="E9" s="33"/>
      <c r="F9" s="32"/>
      <c r="G9" s="32"/>
      <c r="H9" s="32"/>
      <c r="I9" s="32"/>
      <c r="J9" s="32"/>
      <c r="K9" s="32"/>
      <c r="L9" s="32"/>
      <c r="M9" s="32"/>
      <c r="N9" s="32"/>
    </row>
    <row r="10" spans="1:14" ht="12.4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2.4">
      <c r="A11" s="32"/>
      <c r="B11" s="32"/>
      <c r="C11" s="32"/>
      <c r="D11" s="32"/>
      <c r="E11" s="33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2.4">
      <c r="A12" s="32"/>
      <c r="B12" s="32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2.4">
      <c r="A13" s="32"/>
      <c r="B13" s="32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.4">
      <c r="A14" s="32"/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2.4">
      <c r="A15" s="32"/>
      <c r="B15" s="32"/>
      <c r="C15" s="32"/>
      <c r="D15" s="32"/>
      <c r="E15" s="33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2.4">
      <c r="A16" s="32"/>
      <c r="B16" s="32"/>
      <c r="C16" s="32"/>
      <c r="D16" s="32"/>
      <c r="E16" s="33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2.9">
      <c r="A17" s="32"/>
      <c r="B17" s="32"/>
      <c r="C17" s="32"/>
      <c r="D17" s="32"/>
      <c r="E17" s="33"/>
      <c r="F17" s="32"/>
      <c r="G17" s="32"/>
      <c r="H17" s="32"/>
      <c r="I17" s="32"/>
      <c r="J17" s="32"/>
      <c r="K17" s="60"/>
      <c r="L17" s="32"/>
      <c r="M17" s="32"/>
      <c r="N17" s="32"/>
    </row>
    <row r="18" spans="1:14" ht="12.4">
      <c r="A18" s="32"/>
      <c r="B18" s="32"/>
      <c r="C18" s="32"/>
      <c r="D18" s="32"/>
      <c r="E18" s="33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2.4">
      <c r="A19" s="32"/>
      <c r="B19" s="32"/>
      <c r="C19" s="32"/>
      <c r="D19" s="32"/>
      <c r="E19" s="33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2.4">
      <c r="A20" s="32"/>
      <c r="B20" s="32"/>
      <c r="C20" s="32"/>
      <c r="D20" s="32"/>
      <c r="E20" s="33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2.4">
      <c r="A21" s="32"/>
      <c r="B21" s="32"/>
      <c r="C21" s="32"/>
      <c r="D21" s="32"/>
      <c r="E21" s="33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2.4">
      <c r="A22" s="32"/>
      <c r="B22" s="32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2.4">
      <c r="A23" s="32"/>
      <c r="B23" s="32"/>
      <c r="C23" s="32"/>
      <c r="D23" s="32"/>
      <c r="E23" s="33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2.4">
      <c r="A24" s="32"/>
      <c r="B24" s="32"/>
      <c r="C24" s="32"/>
      <c r="D24" s="32"/>
      <c r="E24" s="33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4">
      <c r="A25" s="32"/>
      <c r="B25" s="32"/>
      <c r="C25" s="32"/>
      <c r="D25" s="32"/>
      <c r="E25" s="33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4">
      <c r="A26" s="32"/>
      <c r="B26" s="32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4">
      <c r="A27" s="32"/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4">
      <c r="A28" s="32"/>
      <c r="B28" s="32"/>
      <c r="C28" s="32"/>
      <c r="D28" s="32"/>
      <c r="E28" s="33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4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4" hidden="1">
      <c r="A30" s="32"/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4" hidden="1">
      <c r="A31" s="32"/>
      <c r="B31" s="32"/>
      <c r="C31" s="32"/>
      <c r="D31" s="32"/>
      <c r="E31" s="33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4" hidden="1">
      <c r="A32" s="32"/>
      <c r="B32" s="32"/>
      <c r="C32" s="32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4" hidden="1">
      <c r="A33" s="32"/>
      <c r="B33" s="32"/>
      <c r="C33" s="32"/>
      <c r="D33" s="32"/>
      <c r="E33" s="33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4" hidden="1">
      <c r="A34" s="32"/>
      <c r="B34" s="32"/>
      <c r="C34" s="32"/>
      <c r="D34" s="32"/>
      <c r="E34" s="33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4" hidden="1">
      <c r="A35" s="32"/>
      <c r="B35" s="32"/>
      <c r="C35" s="32"/>
      <c r="D35" s="32"/>
      <c r="E35" s="33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4" hidden="1">
      <c r="A36" s="32"/>
      <c r="B36" s="32"/>
      <c r="C36" s="32"/>
      <c r="D36" s="32"/>
      <c r="E36" s="33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4" hidden="1">
      <c r="A37" s="32"/>
      <c r="B37" s="32"/>
      <c r="C37" s="32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4" hidden="1">
      <c r="A38" s="32"/>
      <c r="B38" s="32"/>
      <c r="C38" s="32"/>
      <c r="D38" s="32"/>
      <c r="E38" s="33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4" hidden="1">
      <c r="A39" s="32"/>
      <c r="B39" s="32"/>
      <c r="C39" s="32"/>
      <c r="D39" s="32"/>
      <c r="E39" s="33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4" hidden="1">
      <c r="A40" s="32"/>
      <c r="B40" s="32"/>
      <c r="C40" s="32"/>
      <c r="D40" s="32"/>
      <c r="E40" s="33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4" hidden="1">
      <c r="A41" s="32"/>
      <c r="B41" s="32"/>
      <c r="C41" s="32"/>
      <c r="D41" s="32"/>
      <c r="E41" s="33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4" hidden="1">
      <c r="A42" s="32"/>
      <c r="B42" s="32"/>
      <c r="C42" s="32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4" hidden="1">
      <c r="A43" s="32"/>
      <c r="B43" s="32"/>
      <c r="C43" s="32"/>
      <c r="D43" s="32"/>
      <c r="E43" s="33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4" hidden="1">
      <c r="A44" s="32"/>
      <c r="B44" s="32"/>
      <c r="C44" s="32"/>
      <c r="D44" s="32"/>
      <c r="E44" s="33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4" hidden="1">
      <c r="A45" s="32"/>
      <c r="B45" s="32"/>
      <c r="C45" s="32"/>
      <c r="D45" s="32"/>
      <c r="E45" s="33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4" hidden="1">
      <c r="A46" s="32"/>
      <c r="B46" s="32"/>
      <c r="C46" s="32"/>
      <c r="D46" s="32"/>
      <c r="E46" s="33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4" hidden="1">
      <c r="A47" s="32"/>
      <c r="B47" s="32"/>
      <c r="C47" s="32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4" hidden="1">
      <c r="A48" s="32"/>
      <c r="B48" s="32"/>
      <c r="C48" s="32"/>
      <c r="D48" s="32"/>
      <c r="E48" s="33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4" hidden="1">
      <c r="A49" s="32"/>
      <c r="B49" s="32"/>
      <c r="C49" s="32"/>
      <c r="D49" s="32"/>
      <c r="E49" s="33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4" hidden="1">
      <c r="A50" s="32"/>
      <c r="B50" s="32"/>
      <c r="C50" s="32"/>
      <c r="D50" s="32"/>
      <c r="E50" s="33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4" hidden="1">
      <c r="A51" s="32"/>
      <c r="B51" s="32"/>
      <c r="C51" s="32"/>
      <c r="D51" s="32"/>
      <c r="E51" s="33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4" hidden="1">
      <c r="A52" s="32"/>
      <c r="B52" s="32"/>
      <c r="C52" s="32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4" hidden="1">
      <c r="A53" s="32"/>
      <c r="B53" s="32"/>
      <c r="C53" s="32"/>
      <c r="D53" s="32"/>
      <c r="E53" s="33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4" hidden="1">
      <c r="A54" s="32"/>
      <c r="B54" s="32"/>
      <c r="C54" s="32"/>
      <c r="D54" s="32"/>
      <c r="E54" s="33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4" hidden="1">
      <c r="A55" s="32"/>
      <c r="B55" s="32"/>
      <c r="C55" s="32"/>
      <c r="D55" s="32"/>
      <c r="E55" s="33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4" hidden="1">
      <c r="A56" s="32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4" hidden="1">
      <c r="A57" s="32"/>
      <c r="B57" s="32"/>
      <c r="C57" s="32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4" hidden="1">
      <c r="A58" s="32"/>
      <c r="B58" s="32"/>
      <c r="C58" s="32"/>
      <c r="D58" s="32"/>
      <c r="E58" s="33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4" hidden="1">
      <c r="A59" s="32"/>
      <c r="B59" s="32"/>
      <c r="C59" s="32"/>
      <c r="D59" s="32"/>
      <c r="E59" s="33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4" hidden="1">
      <c r="A60" s="32"/>
      <c r="B60" s="32"/>
      <c r="C60" s="32"/>
      <c r="D60" s="32"/>
      <c r="E60" s="33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4" hidden="1">
      <c r="A61" s="32"/>
      <c r="B61" s="32"/>
      <c r="C61" s="32"/>
      <c r="D61" s="32"/>
      <c r="E61" s="33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4" hidden="1">
      <c r="A62" s="32"/>
      <c r="B62" s="32"/>
      <c r="C62" s="32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4" hidden="1">
      <c r="A63" s="32"/>
      <c r="B63" s="32"/>
      <c r="C63" s="32"/>
      <c r="D63" s="32"/>
      <c r="E63" s="33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4" hidden="1">
      <c r="A64" s="32"/>
      <c r="B64" s="32"/>
      <c r="C64" s="32"/>
      <c r="D64" s="32"/>
      <c r="E64" s="33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4" hidden="1">
      <c r="A65" s="32"/>
      <c r="B65" s="32"/>
      <c r="C65" s="32"/>
      <c r="D65" s="32"/>
      <c r="E65" s="33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4" hidden="1">
      <c r="A66" s="32"/>
      <c r="B66" s="32"/>
      <c r="C66" s="32"/>
      <c r="D66" s="32"/>
      <c r="E66" s="33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4" hidden="1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4" hidden="1">
      <c r="A68" s="32"/>
      <c r="B68" s="32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4" hidden="1">
      <c r="A69" s="32"/>
      <c r="B69" s="32"/>
      <c r="C69" s="32"/>
      <c r="D69" s="32"/>
      <c r="E69" s="33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4" hidden="1">
      <c r="A70" s="32"/>
      <c r="B70" s="32"/>
      <c r="C70" s="32"/>
      <c r="D70" s="32"/>
      <c r="E70" s="33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4" hidden="1">
      <c r="A71" s="32"/>
      <c r="B71" s="32"/>
      <c r="C71" s="32"/>
      <c r="D71" s="32"/>
      <c r="E71" s="33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4" hidden="1">
      <c r="A72" s="32"/>
      <c r="B72" s="32"/>
      <c r="C72" s="32"/>
      <c r="D72" s="32"/>
      <c r="E72" s="33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4" hidden="1">
      <c r="A73" s="32"/>
      <c r="B73" s="32"/>
      <c r="C73" s="32"/>
      <c r="D73" s="32"/>
      <c r="E73" s="33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4" hidden="1">
      <c r="A74" s="32"/>
      <c r="B74" s="32"/>
      <c r="C74" s="32"/>
      <c r="D74" s="32"/>
      <c r="E74" s="33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4" hidden="1">
      <c r="A75" s="32"/>
      <c r="B75" s="32"/>
      <c r="C75" s="32"/>
      <c r="D75" s="32"/>
      <c r="E75" s="33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4" hidden="1">
      <c r="A76" s="32"/>
      <c r="B76" s="32"/>
      <c r="C76" s="32"/>
      <c r="D76" s="32"/>
      <c r="E76" s="33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4" hidden="1">
      <c r="A77" s="32"/>
      <c r="B77" s="32"/>
      <c r="C77" s="32"/>
      <c r="D77" s="32"/>
      <c r="E77" s="33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4" hidden="1">
      <c r="A78" s="32"/>
      <c r="B78" s="32"/>
      <c r="C78" s="32"/>
      <c r="D78" s="32"/>
      <c r="E78" s="33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4" hidden="1">
      <c r="A79" s="32"/>
      <c r="B79" s="32"/>
      <c r="C79" s="32"/>
      <c r="D79" s="32"/>
      <c r="E79" s="33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4" hidden="1">
      <c r="A80" s="32"/>
      <c r="B80" s="32"/>
      <c r="C80" s="32"/>
      <c r="D80" s="32"/>
      <c r="E80" s="33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4" hidden="1">
      <c r="A81" s="32"/>
      <c r="B81" s="32"/>
      <c r="C81" s="32"/>
      <c r="D81" s="32"/>
      <c r="E81" s="33"/>
      <c r="F81" s="32"/>
      <c r="G81" s="32"/>
      <c r="H81" s="32"/>
      <c r="I81" s="32"/>
      <c r="J81" s="32"/>
      <c r="K81" s="32"/>
      <c r="L81" s="32"/>
      <c r="M81" s="32"/>
      <c r="N81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24"/>
  <sheetViews>
    <sheetView tabSelected="1" topLeftCell="A13" zoomScaleNormal="100" workbookViewId="0">
      <selection activeCell="B21" sqref="B21"/>
    </sheetView>
  </sheetViews>
  <sheetFormatPr defaultColWidth="0" defaultRowHeight="12.75" customHeight="1" zeroHeight="1"/>
  <cols>
    <col min="1" max="1" width="10.3515625" style="34" bestFit="1" customWidth="1"/>
    <col min="2" max="2" width="9.3515625" style="34" bestFit="1" customWidth="1"/>
    <col min="3" max="3" width="80.64453125" style="34" customWidth="1"/>
    <col min="4" max="4" width="2.64453125" style="32" customWidth="1"/>
    <col min="5" max="5" width="9" style="35" hidden="1" customWidth="1"/>
    <col min="6" max="16384" width="9" style="34" hidden="1"/>
  </cols>
  <sheetData>
    <row r="1" spans="1:5" s="28" customFormat="1" ht="14.65">
      <c r="A1" s="28" t="s">
        <v>120</v>
      </c>
      <c r="E1" s="36"/>
    </row>
    <row r="2" spans="1:5" s="28" customFormat="1" ht="14.65">
      <c r="A2" s="28" t="str">
        <f>CompName</f>
        <v>National Grid Electricity Transmission Plc</v>
      </c>
      <c r="E2" s="36"/>
    </row>
    <row r="3" spans="1:5" s="28" customFormat="1" ht="14.65">
      <c r="A3" s="15" t="str">
        <f>'R5 Input page'!F7</f>
        <v>Regulatory Year ending 31 March 2019</v>
      </c>
      <c r="B3" s="37"/>
      <c r="C3" s="37"/>
      <c r="D3" s="37"/>
      <c r="E3" s="36"/>
    </row>
    <row r="4" spans="1:5" s="28" customFormat="1" ht="14.65">
      <c r="A4" s="37"/>
      <c r="B4" s="37"/>
      <c r="C4" s="37"/>
      <c r="D4" s="37"/>
      <c r="E4" s="36"/>
    </row>
    <row r="5" spans="1:5" s="28" customFormat="1" ht="14.65">
      <c r="A5" s="37"/>
      <c r="B5" s="37"/>
      <c r="C5" s="37"/>
      <c r="D5" s="37"/>
      <c r="E5" s="36"/>
    </row>
    <row r="6" spans="1:5" s="28" customFormat="1" ht="14.65">
      <c r="A6" s="28" t="s">
        <v>121</v>
      </c>
      <c r="B6" s="28" t="s">
        <v>122</v>
      </c>
      <c r="C6" s="28" t="s">
        <v>123</v>
      </c>
      <c r="E6" s="36"/>
    </row>
    <row r="7" spans="1:5" ht="99">
      <c r="A7" s="106">
        <v>42788</v>
      </c>
      <c r="B7" s="26" t="s">
        <v>672</v>
      </c>
      <c r="C7" s="363" t="s">
        <v>745</v>
      </c>
    </row>
    <row r="8" spans="1:5" ht="61.9">
      <c r="A8" s="106">
        <v>42837</v>
      </c>
      <c r="B8" s="26" t="s">
        <v>790</v>
      </c>
      <c r="C8" s="363" t="s">
        <v>791</v>
      </c>
    </row>
    <row r="9" spans="1:5" ht="12.4">
      <c r="A9" s="273">
        <v>42858</v>
      </c>
      <c r="B9" s="26" t="s">
        <v>792</v>
      </c>
      <c r="C9" s="369" t="s">
        <v>793</v>
      </c>
    </row>
    <row r="10" spans="1:5" ht="12.4">
      <c r="A10" s="273">
        <v>42866</v>
      </c>
      <c r="B10" s="26"/>
      <c r="C10" s="38" t="s">
        <v>866</v>
      </c>
    </row>
    <row r="11" spans="1:5" ht="24.75">
      <c r="A11" s="273">
        <v>42901</v>
      </c>
      <c r="B11" s="26"/>
      <c r="C11" s="363" t="s">
        <v>865</v>
      </c>
    </row>
    <row r="12" spans="1:5" ht="396">
      <c r="A12" s="273">
        <v>43145</v>
      </c>
      <c r="B12" s="395" t="s">
        <v>884</v>
      </c>
      <c r="C12" s="363" t="s">
        <v>885</v>
      </c>
    </row>
    <row r="13" spans="1:5" ht="334.15">
      <c r="A13" s="273">
        <v>43145</v>
      </c>
      <c r="B13" s="396" t="s">
        <v>884</v>
      </c>
      <c r="C13" s="363" t="s">
        <v>886</v>
      </c>
    </row>
    <row r="14" spans="1:5" ht="24.75">
      <c r="A14" s="273">
        <v>43173</v>
      </c>
      <c r="B14" s="314" t="s">
        <v>887</v>
      </c>
      <c r="C14" s="363" t="s">
        <v>888</v>
      </c>
    </row>
    <row r="15" spans="1:5" ht="12.4">
      <c r="A15" s="273">
        <v>43241</v>
      </c>
      <c r="B15" s="314" t="s">
        <v>889</v>
      </c>
      <c r="C15" s="363" t="s">
        <v>890</v>
      </c>
    </row>
    <row r="16" spans="1:5" ht="12.4">
      <c r="A16" s="273">
        <v>43503</v>
      </c>
      <c r="B16" s="314" t="s">
        <v>891</v>
      </c>
      <c r="C16" s="315" t="s">
        <v>892</v>
      </c>
    </row>
    <row r="17" spans="1:5" ht="49.5">
      <c r="A17" s="273">
        <v>43508</v>
      </c>
      <c r="B17" s="314" t="str">
        <f>B16</f>
        <v>v3.2</v>
      </c>
      <c r="C17" s="315" t="s">
        <v>904</v>
      </c>
    </row>
    <row r="18" spans="1:5" ht="12.4">
      <c r="A18" s="273">
        <v>43518</v>
      </c>
      <c r="B18" s="314" t="str">
        <f>B17</f>
        <v>v3.2</v>
      </c>
      <c r="C18" s="315" t="s">
        <v>897</v>
      </c>
    </row>
    <row r="19" spans="1:5" ht="12.4">
      <c r="A19" s="273">
        <v>43529</v>
      </c>
      <c r="B19" s="26" t="s">
        <v>902</v>
      </c>
      <c r="C19" s="315" t="s">
        <v>903</v>
      </c>
    </row>
    <row r="20" spans="1:5" ht="24.75">
      <c r="A20" s="273">
        <v>43571</v>
      </c>
      <c r="B20" s="26" t="s">
        <v>906</v>
      </c>
      <c r="C20" s="315" t="s">
        <v>905</v>
      </c>
    </row>
    <row r="21" spans="1:5" s="32" customFormat="1" ht="12.4">
      <c r="E21" s="33"/>
    </row>
    <row r="24" spans="1:5" ht="12.4" hidden="1">
      <c r="A24" s="32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65"/>
  <sheetViews>
    <sheetView showGridLines="0" topLeftCell="A70" zoomScale="85" zoomScaleNormal="85" zoomScaleSheetLayoutView="100" workbookViewId="0"/>
  </sheetViews>
  <sheetFormatPr defaultColWidth="0" defaultRowHeight="12.75" customHeight="1" zeroHeight="1"/>
  <cols>
    <col min="1" max="1" width="40.87890625" style="45" customWidth="1"/>
    <col min="2" max="2" width="12.64453125" style="45" customWidth="1"/>
    <col min="3" max="3" width="11.3515625" style="51" customWidth="1"/>
    <col min="4" max="4" width="9.1171875" style="51" customWidth="1"/>
    <col min="5" max="5" width="10.17578125" style="51" customWidth="1"/>
    <col min="6" max="13" width="10.17578125" style="40" bestFit="1" customWidth="1"/>
    <col min="14" max="14" width="13.3515625" style="45" bestFit="1" customWidth="1"/>
    <col min="15" max="15" width="9" style="45" hidden="1" customWidth="1"/>
    <col min="16" max="28" width="0" style="45" hidden="1" customWidth="1"/>
    <col min="29" max="16384" width="9" style="45" hidden="1"/>
  </cols>
  <sheetData>
    <row r="1" spans="1:17" s="40" customFormat="1" ht="14.65">
      <c r="A1" s="39" t="s">
        <v>124</v>
      </c>
      <c r="C1" s="41"/>
      <c r="D1" s="41"/>
      <c r="E1" s="41"/>
    </row>
    <row r="2" spans="1:17" s="40" customFormat="1" ht="14.65">
      <c r="A2" s="39" t="str">
        <f>CompName</f>
        <v>National Grid Electricity Transmission Plc</v>
      </c>
      <c r="C2" s="41"/>
      <c r="D2" s="41"/>
      <c r="E2" s="41"/>
    </row>
    <row r="3" spans="1:17" s="40" customFormat="1" ht="12.4">
      <c r="A3" s="42" t="str">
        <f>'R5 Input page'!F7</f>
        <v>Regulatory Year ending 31 March 2019</v>
      </c>
      <c r="C3" s="41"/>
      <c r="D3" s="41"/>
      <c r="E3" s="41"/>
    </row>
    <row r="4" spans="1:17" ht="14.65">
      <c r="A4" s="39"/>
      <c r="B4" s="40"/>
      <c r="C4" s="43"/>
      <c r="D4" s="43"/>
      <c r="E4" s="43"/>
      <c r="F4" s="43"/>
      <c r="G4" s="43"/>
      <c r="H4" s="43"/>
      <c r="I4" s="550" t="s">
        <v>125</v>
      </c>
      <c r="J4" s="550"/>
      <c r="K4" s="551"/>
      <c r="L4" s="43"/>
      <c r="M4" s="43"/>
      <c r="N4" s="44"/>
    </row>
    <row r="5" spans="1:17" ht="14.65">
      <c r="A5" s="39" t="s">
        <v>126</v>
      </c>
      <c r="B5" s="40"/>
      <c r="C5" s="43" t="s">
        <v>0</v>
      </c>
      <c r="D5" s="54">
        <v>2012</v>
      </c>
      <c r="E5" s="54">
        <v>2013</v>
      </c>
      <c r="F5" s="54">
        <v>2014</v>
      </c>
      <c r="G5" s="54">
        <v>2015</v>
      </c>
      <c r="H5" s="54">
        <v>2016</v>
      </c>
      <c r="I5" s="54">
        <v>2017</v>
      </c>
      <c r="J5" s="54">
        <v>2018</v>
      </c>
      <c r="K5" s="54">
        <v>2019</v>
      </c>
      <c r="L5" s="54">
        <v>2020</v>
      </c>
      <c r="M5" s="54">
        <v>2021</v>
      </c>
      <c r="N5" s="44" t="s">
        <v>127</v>
      </c>
    </row>
    <row r="6" spans="1:17" s="48" customFormat="1" ht="12.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  <c r="Q6" s="46"/>
    </row>
    <row r="7" spans="1:17" ht="13.5">
      <c r="B7" s="49"/>
      <c r="C7" s="278"/>
      <c r="D7" s="50"/>
      <c r="E7" s="50"/>
      <c r="F7" s="49"/>
      <c r="G7" s="49"/>
      <c r="I7" s="43"/>
      <c r="J7" s="43"/>
      <c r="K7" s="43"/>
      <c r="L7" s="43"/>
      <c r="M7" s="43"/>
      <c r="N7" s="44"/>
    </row>
    <row r="8" spans="1:17" ht="14.65">
      <c r="A8" s="39" t="s">
        <v>129</v>
      </c>
      <c r="B8" s="49"/>
      <c r="C8" s="50"/>
      <c r="D8" s="50"/>
      <c r="E8" s="50"/>
      <c r="F8" s="49"/>
      <c r="G8" s="49"/>
      <c r="I8" s="43"/>
      <c r="J8" s="43"/>
      <c r="K8" s="43"/>
      <c r="L8" s="43"/>
      <c r="M8" s="43"/>
      <c r="N8" s="44"/>
    </row>
    <row r="9" spans="1:17" ht="12.4">
      <c r="A9" s="40" t="s">
        <v>674</v>
      </c>
      <c r="B9" s="40" t="s">
        <v>130</v>
      </c>
      <c r="C9" s="358" t="s">
        <v>673</v>
      </c>
      <c r="D9" s="41"/>
      <c r="E9" s="41"/>
      <c r="F9" s="107">
        <v>1342.2809999999999</v>
      </c>
      <c r="G9" s="107">
        <v>1443.829</v>
      </c>
      <c r="H9" s="107">
        <v>1475.5930000000001</v>
      </c>
      <c r="I9" s="107">
        <v>1571.3869999999999</v>
      </c>
      <c r="J9" s="107">
        <v>1554.942</v>
      </c>
      <c r="K9" s="107">
        <v>1587.627</v>
      </c>
      <c r="L9" s="107">
        <v>1585.2280000000001</v>
      </c>
      <c r="M9" s="107">
        <v>1571.5840000000001</v>
      </c>
      <c r="N9" s="44" t="s">
        <v>130</v>
      </c>
      <c r="O9" s="42"/>
      <c r="P9" s="42"/>
      <c r="Q9" s="42"/>
    </row>
    <row r="10" spans="1:17" ht="12.4">
      <c r="A10" s="40" t="s">
        <v>675</v>
      </c>
      <c r="B10" s="40" t="s">
        <v>323</v>
      </c>
      <c r="C10" s="358" t="s">
        <v>673</v>
      </c>
      <c r="F10" s="107">
        <v>113.976</v>
      </c>
      <c r="G10" s="107">
        <v>113.533</v>
      </c>
      <c r="H10" s="107">
        <v>114.357</v>
      </c>
      <c r="I10" s="107">
        <v>116.705</v>
      </c>
      <c r="J10" s="107">
        <v>122.833</v>
      </c>
      <c r="K10" s="107">
        <v>117.524</v>
      </c>
      <c r="L10" s="107">
        <v>124.73099999999999</v>
      </c>
      <c r="M10" s="107">
        <v>126.191</v>
      </c>
      <c r="N10" s="44" t="s">
        <v>323</v>
      </c>
    </row>
    <row r="11" spans="1:17" ht="14.65">
      <c r="A11" s="39" t="s">
        <v>131</v>
      </c>
      <c r="B11" s="40"/>
      <c r="C11" s="41"/>
      <c r="N11" s="44"/>
    </row>
    <row r="12" spans="1:17" ht="12.4">
      <c r="A12" s="40" t="s">
        <v>676</v>
      </c>
      <c r="B12" s="40" t="s">
        <v>144</v>
      </c>
      <c r="C12" s="358" t="s">
        <v>673</v>
      </c>
      <c r="F12" s="107">
        <v>73.453000000000003</v>
      </c>
      <c r="G12" s="107">
        <v>66.884</v>
      </c>
      <c r="H12" s="107">
        <v>66.882000000000005</v>
      </c>
      <c r="I12" s="107">
        <v>66.882999999999996</v>
      </c>
      <c r="J12" s="107">
        <v>66.882000000000005</v>
      </c>
      <c r="K12" s="107">
        <v>66.882000000000005</v>
      </c>
      <c r="L12" s="107">
        <v>66.882000000000005</v>
      </c>
      <c r="M12" s="107">
        <v>66.882000000000005</v>
      </c>
      <c r="N12" s="44" t="s">
        <v>144</v>
      </c>
    </row>
    <row r="13" spans="1:17" ht="12.4">
      <c r="A13" s="40" t="s">
        <v>677</v>
      </c>
      <c r="B13" s="40" t="s">
        <v>146</v>
      </c>
      <c r="C13" s="358" t="s">
        <v>673</v>
      </c>
      <c r="D13" s="107"/>
      <c r="E13" s="107"/>
      <c r="F13" s="107">
        <v>12.794</v>
      </c>
      <c r="G13" s="107">
        <v>12.794</v>
      </c>
      <c r="H13" s="107">
        <v>12.794</v>
      </c>
      <c r="I13" s="107">
        <v>12.794</v>
      </c>
      <c r="J13" s="107">
        <v>12.794</v>
      </c>
      <c r="K13" s="107">
        <v>12.794</v>
      </c>
      <c r="L13" s="107">
        <v>12.794</v>
      </c>
      <c r="M13" s="107">
        <v>12.794</v>
      </c>
      <c r="N13" s="44" t="s">
        <v>146</v>
      </c>
    </row>
    <row r="14" spans="1:17" ht="12.4">
      <c r="A14" s="40" t="s">
        <v>678</v>
      </c>
      <c r="B14" s="40" t="s">
        <v>159</v>
      </c>
      <c r="C14" s="358" t="s">
        <v>673</v>
      </c>
      <c r="D14" s="107"/>
      <c r="E14" s="107"/>
      <c r="F14" s="107">
        <v>8</v>
      </c>
      <c r="G14" s="107">
        <v>8</v>
      </c>
      <c r="H14" s="107">
        <v>8</v>
      </c>
      <c r="I14" s="107">
        <v>8</v>
      </c>
      <c r="J14" s="107">
        <v>8</v>
      </c>
      <c r="K14" s="107">
        <v>8</v>
      </c>
      <c r="L14" s="107">
        <v>8</v>
      </c>
      <c r="M14" s="107">
        <v>8</v>
      </c>
      <c r="N14" s="44" t="s">
        <v>159</v>
      </c>
    </row>
    <row r="15" spans="1:17" ht="12.4">
      <c r="A15" s="46"/>
      <c r="B15" s="40"/>
      <c r="C15" s="40"/>
      <c r="D15" s="40"/>
      <c r="E15" s="40"/>
      <c r="N15" s="44"/>
    </row>
    <row r="16" spans="1:17" ht="12.4">
      <c r="A16" s="40"/>
      <c r="B16" s="40"/>
      <c r="D16" s="41"/>
      <c r="E16" s="41"/>
      <c r="N16" s="44"/>
    </row>
    <row r="17" spans="1:17" ht="12" customHeight="1">
      <c r="A17" s="40"/>
      <c r="B17" s="52"/>
      <c r="N17" s="44"/>
    </row>
    <row r="18" spans="1:17" ht="12.75" customHeight="1"/>
    <row r="19" spans="1:17" ht="12.75" customHeight="1">
      <c r="A19" s="64" t="s">
        <v>228</v>
      </c>
    </row>
    <row r="20" spans="1:17" ht="12.75" customHeight="1"/>
    <row r="21" spans="1:17" ht="12.75" customHeight="1">
      <c r="A21" s="63" t="s">
        <v>229</v>
      </c>
    </row>
    <row r="22" spans="1:17" ht="12.75" customHeight="1">
      <c r="A22" s="66" t="s">
        <v>679</v>
      </c>
      <c r="B22" s="66" t="s">
        <v>230</v>
      </c>
      <c r="C22" s="485" t="s">
        <v>673</v>
      </c>
      <c r="F22" s="96">
        <v>1.6E-2</v>
      </c>
      <c r="G22" s="96">
        <v>1.6E-2</v>
      </c>
      <c r="H22" s="96">
        <v>1.6E-2</v>
      </c>
      <c r="I22" s="96">
        <v>1.6E-2</v>
      </c>
      <c r="J22" s="96">
        <v>1.6E-2</v>
      </c>
      <c r="K22" s="96">
        <v>1.6E-2</v>
      </c>
      <c r="L22" s="96">
        <v>1.6E-2</v>
      </c>
      <c r="M22" s="96">
        <v>1.6E-2</v>
      </c>
      <c r="N22" s="65" t="s">
        <v>230</v>
      </c>
    </row>
    <row r="23" spans="1:17" s="58" customFormat="1" ht="12.4">
      <c r="A23" t="s">
        <v>680</v>
      </c>
      <c r="B23" t="s">
        <v>232</v>
      </c>
      <c r="C23" s="59" t="s">
        <v>231</v>
      </c>
      <c r="D23" s="51"/>
      <c r="E23" s="51"/>
      <c r="F23" s="97">
        <v>316</v>
      </c>
      <c r="G23" s="97">
        <v>316</v>
      </c>
      <c r="H23" s="97">
        <v>316</v>
      </c>
      <c r="I23" s="97">
        <v>316</v>
      </c>
      <c r="J23" s="97">
        <v>316</v>
      </c>
      <c r="K23" s="97">
        <v>316</v>
      </c>
      <c r="L23" s="97">
        <v>316</v>
      </c>
      <c r="M23" s="97">
        <v>316</v>
      </c>
      <c r="N23" s="69" t="s">
        <v>232</v>
      </c>
      <c r="O23" s="53"/>
      <c r="P23" s="53"/>
      <c r="Q23" s="53"/>
    </row>
    <row r="24" spans="1:17" s="58" customFormat="1" ht="12.4">
      <c r="A24" s="89" t="s">
        <v>681</v>
      </c>
      <c r="B24" s="89" t="s">
        <v>233</v>
      </c>
      <c r="C24" s="92" t="s">
        <v>128</v>
      </c>
      <c r="D24" s="51"/>
      <c r="E24" s="51"/>
      <c r="F24" s="98">
        <v>0.03</v>
      </c>
      <c r="G24" s="98">
        <v>0.03</v>
      </c>
      <c r="H24" s="98">
        <v>0.03</v>
      </c>
      <c r="I24" s="98">
        <v>0.03</v>
      </c>
      <c r="J24" s="98">
        <v>0.03</v>
      </c>
      <c r="K24" s="98">
        <v>0.03</v>
      </c>
      <c r="L24" s="98">
        <v>0.03</v>
      </c>
      <c r="M24" s="98">
        <v>0.03</v>
      </c>
      <c r="N24" s="69" t="s">
        <v>233</v>
      </c>
      <c r="O24" s="53"/>
      <c r="P24" s="53"/>
      <c r="Q24" s="53"/>
    </row>
    <row r="25" spans="1:17" ht="12.75" customHeight="1"/>
    <row r="26" spans="1:17" ht="12.75" customHeight="1"/>
    <row r="27" spans="1:17" s="1" customFormat="1" ht="13.9">
      <c r="A27" s="114" t="s">
        <v>476</v>
      </c>
      <c r="E27" s="104"/>
      <c r="F27" s="102"/>
      <c r="G27" s="102"/>
      <c r="P27" s="103"/>
    </row>
    <row r="28" spans="1:17" s="1" customFormat="1" ht="13.5">
      <c r="E28" s="104"/>
      <c r="F28" s="102"/>
      <c r="G28" s="102"/>
      <c r="H28" s="102"/>
      <c r="I28" s="102"/>
      <c r="J28" s="102"/>
      <c r="K28" s="102"/>
      <c r="P28" s="103"/>
    </row>
    <row r="29" spans="1:17" s="1" customFormat="1" ht="13.9">
      <c r="A29" s="1" t="s">
        <v>464</v>
      </c>
      <c r="B29" s="115" t="s">
        <v>459</v>
      </c>
      <c r="C29" s="116" t="s">
        <v>231</v>
      </c>
      <c r="E29" s="90"/>
      <c r="F29" s="108">
        <v>237</v>
      </c>
      <c r="G29" s="102"/>
      <c r="H29" s="102"/>
      <c r="I29" s="102"/>
      <c r="J29" s="102"/>
      <c r="K29" s="102"/>
      <c r="P29" s="103" t="s">
        <v>459</v>
      </c>
    </row>
    <row r="30" spans="1:17" s="1" customFormat="1" ht="13.9">
      <c r="A30" s="1" t="s">
        <v>473</v>
      </c>
      <c r="B30" s="115" t="s">
        <v>460</v>
      </c>
      <c r="C30" s="116" t="s">
        <v>231</v>
      </c>
      <c r="E30" s="90"/>
      <c r="F30" s="108">
        <v>263</v>
      </c>
      <c r="G30" s="102"/>
      <c r="H30" s="102"/>
      <c r="I30" s="102"/>
      <c r="J30" s="102"/>
      <c r="K30" s="102"/>
      <c r="P30" s="103" t="s">
        <v>460</v>
      </c>
    </row>
    <row r="31" spans="1:17" s="1" customFormat="1" ht="13.9">
      <c r="A31" s="62"/>
      <c r="B31" s="102"/>
      <c r="C31" s="116"/>
      <c r="E31" s="90"/>
      <c r="G31" s="102"/>
      <c r="H31" s="102"/>
      <c r="I31" s="102"/>
      <c r="J31" s="102"/>
      <c r="K31" s="102"/>
      <c r="P31" s="103"/>
    </row>
    <row r="32" spans="1:17" s="1" customFormat="1" ht="13.9">
      <c r="A32" s="1" t="s">
        <v>465</v>
      </c>
      <c r="B32" s="115" t="s">
        <v>461</v>
      </c>
      <c r="C32" s="116" t="s">
        <v>128</v>
      </c>
      <c r="E32" s="90"/>
      <c r="F32" s="109">
        <v>0.01</v>
      </c>
      <c r="G32" s="102"/>
      <c r="H32" s="102"/>
      <c r="I32" s="102"/>
      <c r="J32" s="102"/>
      <c r="K32" s="102"/>
      <c r="P32" s="103" t="s">
        <v>461</v>
      </c>
    </row>
    <row r="33" spans="1:16" s="1" customFormat="1" ht="13.9">
      <c r="A33" s="1" t="s">
        <v>474</v>
      </c>
      <c r="B33" s="115" t="s">
        <v>233</v>
      </c>
      <c r="C33" s="116" t="s">
        <v>128</v>
      </c>
      <c r="E33" s="90"/>
      <c r="F33" s="109">
        <v>-1.4999999999999999E-2</v>
      </c>
      <c r="G33" s="102"/>
      <c r="H33" s="102"/>
      <c r="I33" s="102"/>
      <c r="J33" s="102"/>
      <c r="K33" s="102"/>
      <c r="P33" s="103" t="s">
        <v>233</v>
      </c>
    </row>
    <row r="34" spans="1:16" s="1" customFormat="1" ht="13.9">
      <c r="B34" s="102"/>
      <c r="C34" s="116"/>
      <c r="E34" s="90"/>
      <c r="G34" s="102"/>
      <c r="H34" s="102"/>
      <c r="I34" s="102"/>
      <c r="J34" s="102"/>
      <c r="K34" s="102"/>
      <c r="P34" s="103"/>
    </row>
    <row r="35" spans="1:16" s="1" customFormat="1" ht="13.9">
      <c r="A35" s="1" t="s">
        <v>462</v>
      </c>
      <c r="B35" s="115" t="s">
        <v>463</v>
      </c>
      <c r="C35" s="116" t="s">
        <v>231</v>
      </c>
      <c r="E35" s="90"/>
      <c r="F35" s="108">
        <v>619</v>
      </c>
      <c r="G35" s="102"/>
      <c r="H35" s="102"/>
      <c r="I35" s="102"/>
      <c r="J35" s="102"/>
      <c r="K35" s="102"/>
      <c r="P35" s="103" t="s">
        <v>463</v>
      </c>
    </row>
    <row r="36" spans="1:16" ht="12.75" customHeight="1">
      <c r="A36" s="40"/>
      <c r="B36" s="40"/>
      <c r="C36" s="41"/>
      <c r="D36" s="41"/>
    </row>
    <row r="37" spans="1:16" ht="12.75" customHeight="1">
      <c r="A37" s="91" t="s">
        <v>253</v>
      </c>
      <c r="B37" s="40"/>
      <c r="C37" s="41"/>
      <c r="D37" s="41"/>
    </row>
    <row r="38" spans="1:16" ht="22.5" customHeight="1">
      <c r="A38" s="117" t="s">
        <v>683</v>
      </c>
      <c r="B38" s="105" t="s">
        <v>260</v>
      </c>
      <c r="C38" s="362" t="s">
        <v>682</v>
      </c>
      <c r="D38" s="105"/>
      <c r="E38" s="77"/>
      <c r="F38" s="94">
        <v>50</v>
      </c>
      <c r="G38" s="94">
        <v>51</v>
      </c>
      <c r="H38" s="94">
        <v>52</v>
      </c>
      <c r="I38" s="94">
        <v>53</v>
      </c>
      <c r="J38" s="94">
        <v>54</v>
      </c>
      <c r="K38" s="94">
        <v>55</v>
      </c>
      <c r="L38" s="94">
        <v>56</v>
      </c>
      <c r="M38" s="94">
        <v>57</v>
      </c>
      <c r="N38" s="69" t="s">
        <v>260</v>
      </c>
    </row>
    <row r="39" spans="1:16" s="86" customFormat="1" ht="12.75" customHeight="1">
      <c r="A39" s="82"/>
      <c r="B39" s="83"/>
      <c r="C39" s="84"/>
      <c r="D39" s="83"/>
      <c r="E39" s="83"/>
      <c r="F39" s="87"/>
      <c r="G39" s="87"/>
      <c r="H39" s="87"/>
      <c r="I39" s="87"/>
      <c r="J39" s="87"/>
      <c r="K39" s="87"/>
      <c r="L39" s="87"/>
      <c r="M39" s="87"/>
      <c r="N39" s="85"/>
    </row>
    <row r="40" spans="1:16" ht="12.75" customHeight="1"/>
    <row r="41" spans="1:16" ht="12.75" customHeight="1">
      <c r="A41" s="93" t="s">
        <v>684</v>
      </c>
      <c r="B41" s="45" t="s">
        <v>248</v>
      </c>
      <c r="C41" s="51" t="s">
        <v>128</v>
      </c>
      <c r="F41" s="99">
        <v>0.46889999999999998</v>
      </c>
      <c r="G41" s="99">
        <v>0.46889999999999998</v>
      </c>
      <c r="H41" s="99">
        <v>0.46889999999999998</v>
      </c>
      <c r="I41" s="99">
        <v>0.46889999999999998</v>
      </c>
      <c r="J41" s="99">
        <v>0.46889999999999998</v>
      </c>
      <c r="K41" s="99">
        <v>0.46889999999999998</v>
      </c>
      <c r="L41" s="99">
        <v>0.46889999999999998</v>
      </c>
      <c r="M41" s="99">
        <v>0.46889999999999998</v>
      </c>
      <c r="N41" s="65" t="s">
        <v>248</v>
      </c>
    </row>
    <row r="42" spans="1:16" ht="12.75" customHeight="1">
      <c r="A42" s="66"/>
    </row>
    <row r="43" spans="1:16" ht="12.75" customHeight="1">
      <c r="A43" s="394" t="s">
        <v>263</v>
      </c>
    </row>
    <row r="44" spans="1:16" ht="12.75" customHeight="1">
      <c r="A44" s="394" t="s">
        <v>545</v>
      </c>
    </row>
    <row r="45" spans="1:16" ht="12.75" customHeight="1">
      <c r="A45" s="389" t="s">
        <v>264</v>
      </c>
      <c r="B45" s="66" t="s">
        <v>265</v>
      </c>
      <c r="C45" s="51" t="s">
        <v>128</v>
      </c>
      <c r="F45" s="391">
        <v>0.7</v>
      </c>
      <c r="G45" s="391">
        <v>0.7</v>
      </c>
      <c r="H45" s="391">
        <v>0.7</v>
      </c>
      <c r="I45" s="391">
        <v>0.7</v>
      </c>
      <c r="J45" s="391">
        <v>0.7</v>
      </c>
      <c r="K45" s="391">
        <v>0.7</v>
      </c>
      <c r="L45" s="391">
        <v>0.7</v>
      </c>
      <c r="M45" s="391">
        <v>0.7</v>
      </c>
      <c r="N45" s="65" t="s">
        <v>265</v>
      </c>
    </row>
    <row r="46" spans="1:16" ht="12.75" customHeight="1">
      <c r="C46" s="279"/>
    </row>
    <row r="47" spans="1:16" s="40" customFormat="1" ht="12.75" customHeight="1">
      <c r="A47" s="40" t="s">
        <v>422</v>
      </c>
      <c r="B47" s="40" t="s">
        <v>427</v>
      </c>
      <c r="C47" s="41" t="s">
        <v>502</v>
      </c>
      <c r="D47" s="41"/>
      <c r="E47" s="41"/>
      <c r="F47" s="110">
        <v>6.9</v>
      </c>
      <c r="G47" s="110">
        <v>6.9</v>
      </c>
      <c r="H47" s="110">
        <v>6.9</v>
      </c>
      <c r="I47" s="110">
        <v>6.9</v>
      </c>
      <c r="J47" s="110">
        <v>6.9</v>
      </c>
      <c r="K47" s="110">
        <v>6.9</v>
      </c>
      <c r="L47" s="110">
        <v>6.9</v>
      </c>
      <c r="M47" s="110">
        <v>6.9</v>
      </c>
      <c r="N47" s="65" t="s">
        <v>427</v>
      </c>
    </row>
    <row r="48" spans="1:16" s="40" customFormat="1" ht="12.75" customHeight="1">
      <c r="A48" s="40" t="s">
        <v>423</v>
      </c>
      <c r="B48" s="40" t="s">
        <v>428</v>
      </c>
      <c r="C48" s="41" t="s">
        <v>502</v>
      </c>
      <c r="D48" s="41"/>
      <c r="E48" s="41"/>
      <c r="F48" s="110">
        <v>8.5</v>
      </c>
      <c r="G48" s="110">
        <v>8.5</v>
      </c>
      <c r="H48" s="110">
        <v>8.5</v>
      </c>
      <c r="I48" s="110">
        <v>8.5</v>
      </c>
      <c r="J48" s="110">
        <v>8.5</v>
      </c>
      <c r="K48" s="110">
        <v>8.5</v>
      </c>
      <c r="L48" s="110">
        <v>8.5</v>
      </c>
      <c r="M48" s="110">
        <v>8.5</v>
      </c>
      <c r="N48" s="65" t="s">
        <v>428</v>
      </c>
    </row>
    <row r="49" spans="1:14" s="40" customFormat="1" ht="12.75" customHeight="1">
      <c r="A49" s="40" t="s">
        <v>424</v>
      </c>
      <c r="B49" s="40" t="s">
        <v>429</v>
      </c>
      <c r="C49" s="41" t="s">
        <v>502</v>
      </c>
      <c r="D49" s="41"/>
      <c r="E49" s="41"/>
      <c r="F49" s="110">
        <v>5.3</v>
      </c>
      <c r="G49" s="110">
        <v>5.3</v>
      </c>
      <c r="H49" s="110">
        <v>5.3</v>
      </c>
      <c r="I49" s="110">
        <v>5.3</v>
      </c>
      <c r="J49" s="110">
        <v>5.3</v>
      </c>
      <c r="K49" s="110">
        <v>5.3</v>
      </c>
      <c r="L49" s="110">
        <v>5.3</v>
      </c>
      <c r="M49" s="110">
        <v>5.3</v>
      </c>
      <c r="N49" s="65" t="s">
        <v>429</v>
      </c>
    </row>
    <row r="50" spans="1:14" s="40" customFormat="1" ht="12.75" customHeight="1">
      <c r="A50" s="40" t="s">
        <v>425</v>
      </c>
      <c r="B50" s="40" t="s">
        <v>430</v>
      </c>
      <c r="C50" s="41" t="s">
        <v>128</v>
      </c>
      <c r="D50" s="41"/>
      <c r="E50" s="41"/>
      <c r="F50" s="98">
        <v>0.01</v>
      </c>
      <c r="G50" s="98">
        <v>0.01</v>
      </c>
      <c r="H50" s="98">
        <v>0.01</v>
      </c>
      <c r="I50" s="98">
        <v>0.01</v>
      </c>
      <c r="J50" s="98">
        <v>0.01</v>
      </c>
      <c r="K50" s="98">
        <v>0.01</v>
      </c>
      <c r="L50" s="98">
        <v>0.01</v>
      </c>
      <c r="M50" s="98">
        <v>0.01</v>
      </c>
      <c r="N50" s="65" t="s">
        <v>430</v>
      </c>
    </row>
    <row r="51" spans="1:14" s="40" customFormat="1" ht="12.75" customHeight="1">
      <c r="A51" s="40" t="s">
        <v>426</v>
      </c>
      <c r="B51" s="40" t="s">
        <v>431</v>
      </c>
      <c r="C51" s="41" t="s">
        <v>128</v>
      </c>
      <c r="D51" s="41"/>
      <c r="E51" s="41"/>
      <c r="F51" s="98">
        <v>-0.01</v>
      </c>
      <c r="G51" s="98">
        <v>-0.01</v>
      </c>
      <c r="H51" s="98">
        <v>-0.01</v>
      </c>
      <c r="I51" s="98">
        <v>-0.01</v>
      </c>
      <c r="J51" s="98">
        <v>-0.01</v>
      </c>
      <c r="K51" s="98">
        <v>-0.01</v>
      </c>
      <c r="L51" s="98">
        <v>-0.01</v>
      </c>
      <c r="M51" s="98">
        <v>-0.01</v>
      </c>
      <c r="N51" s="65" t="s">
        <v>431</v>
      </c>
    </row>
    <row r="52" spans="1:14" s="40" customFormat="1" ht="12.7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65"/>
    </row>
    <row r="53" spans="1:14" ht="12.75" customHeight="1">
      <c r="A53" s="389" t="s">
        <v>713</v>
      </c>
      <c r="B53" s="66" t="s">
        <v>711</v>
      </c>
      <c r="C53" s="51" t="s">
        <v>128</v>
      </c>
      <c r="F53" s="391">
        <v>0</v>
      </c>
      <c r="G53" s="391">
        <v>0</v>
      </c>
      <c r="H53" s="391">
        <v>0</v>
      </c>
      <c r="I53" s="391">
        <f>1-I45</f>
        <v>0.30000000000000004</v>
      </c>
      <c r="J53" s="391">
        <f t="shared" ref="J53:M53" si="0">1-J45</f>
        <v>0.30000000000000004</v>
      </c>
      <c r="K53" s="391">
        <f t="shared" si="0"/>
        <v>0.30000000000000004</v>
      </c>
      <c r="L53" s="391">
        <f t="shared" si="0"/>
        <v>0.30000000000000004</v>
      </c>
      <c r="M53" s="391">
        <f t="shared" si="0"/>
        <v>0.30000000000000004</v>
      </c>
      <c r="N53" s="65" t="s">
        <v>711</v>
      </c>
    </row>
    <row r="54" spans="1:14" ht="12.75" customHeight="1">
      <c r="A54" s="390" t="s">
        <v>272</v>
      </c>
      <c r="B54" s="66" t="s">
        <v>266</v>
      </c>
      <c r="C54" s="41" t="s">
        <v>502</v>
      </c>
      <c r="F54" s="392">
        <v>7.4</v>
      </c>
      <c r="G54" s="392">
        <v>7.4</v>
      </c>
      <c r="H54" s="392">
        <v>7.4</v>
      </c>
      <c r="I54" s="392">
        <v>7.4</v>
      </c>
      <c r="J54" s="392">
        <v>7.4</v>
      </c>
      <c r="K54" s="392">
        <v>7.4</v>
      </c>
      <c r="L54" s="392">
        <v>7.4</v>
      </c>
      <c r="M54" s="392">
        <v>7.4</v>
      </c>
      <c r="N54" s="65" t="s">
        <v>266</v>
      </c>
    </row>
    <row r="55" spans="1:14" ht="12.75" customHeight="1">
      <c r="A55" s="390" t="s">
        <v>273</v>
      </c>
      <c r="B55" s="66" t="s">
        <v>267</v>
      </c>
      <c r="C55" s="41" t="s">
        <v>502</v>
      </c>
      <c r="F55" s="392">
        <v>9</v>
      </c>
      <c r="G55" s="392">
        <v>9</v>
      </c>
      <c r="H55" s="392">
        <v>9</v>
      </c>
      <c r="I55" s="392">
        <v>9</v>
      </c>
      <c r="J55" s="392">
        <v>9</v>
      </c>
      <c r="K55" s="392">
        <v>9</v>
      </c>
      <c r="L55" s="392">
        <v>9</v>
      </c>
      <c r="M55" s="392">
        <v>9</v>
      </c>
      <c r="N55" s="65" t="s">
        <v>267</v>
      </c>
    </row>
    <row r="56" spans="1:14" ht="12.75" customHeight="1">
      <c r="A56" s="390" t="s">
        <v>274</v>
      </c>
      <c r="B56" s="66" t="s">
        <v>269</v>
      </c>
      <c r="C56" s="41" t="s">
        <v>502</v>
      </c>
      <c r="F56" s="392">
        <v>5.8</v>
      </c>
      <c r="G56" s="392">
        <v>5.8</v>
      </c>
      <c r="H56" s="392">
        <v>5.8</v>
      </c>
      <c r="I56" s="392">
        <v>5.8</v>
      </c>
      <c r="J56" s="392">
        <v>5.8</v>
      </c>
      <c r="K56" s="392">
        <v>5.8</v>
      </c>
      <c r="L56" s="392">
        <v>5.8</v>
      </c>
      <c r="M56" s="392">
        <v>5.8</v>
      </c>
      <c r="N56" s="65" t="s">
        <v>269</v>
      </c>
    </row>
    <row r="57" spans="1:14" ht="12.75" customHeight="1">
      <c r="A57" s="45" t="s">
        <v>275</v>
      </c>
      <c r="B57" s="66" t="s">
        <v>268</v>
      </c>
      <c r="C57" s="41" t="s">
        <v>128</v>
      </c>
      <c r="F57" s="98">
        <v>0.01</v>
      </c>
      <c r="G57" s="98">
        <v>0.01</v>
      </c>
      <c r="H57" s="98">
        <v>0.01</v>
      </c>
      <c r="I57" s="98">
        <v>0.01</v>
      </c>
      <c r="J57" s="98">
        <v>0.01</v>
      </c>
      <c r="K57" s="98">
        <v>0.01</v>
      </c>
      <c r="L57" s="98">
        <v>0.01</v>
      </c>
      <c r="M57" s="98">
        <v>0.01</v>
      </c>
      <c r="N57" s="65" t="s">
        <v>268</v>
      </c>
    </row>
    <row r="58" spans="1:14" ht="12.75" customHeight="1">
      <c r="A58" s="45" t="s">
        <v>276</v>
      </c>
      <c r="B58" s="66" t="s">
        <v>270</v>
      </c>
      <c r="C58" s="41" t="s">
        <v>128</v>
      </c>
      <c r="F58" s="98">
        <v>-0.01</v>
      </c>
      <c r="G58" s="98">
        <v>-0.01</v>
      </c>
      <c r="H58" s="98">
        <v>-0.01</v>
      </c>
      <c r="I58" s="98">
        <v>-0.01</v>
      </c>
      <c r="J58" s="98">
        <v>-0.01</v>
      </c>
      <c r="K58" s="98">
        <v>-0.01</v>
      </c>
      <c r="L58" s="98">
        <v>-0.01</v>
      </c>
      <c r="M58" s="98">
        <v>-0.01</v>
      </c>
      <c r="N58" s="65" t="s">
        <v>270</v>
      </c>
    </row>
    <row r="59" spans="1:14" s="40" customFormat="1" ht="12.75" customHeight="1">
      <c r="A59" s="61" t="s">
        <v>437</v>
      </c>
      <c r="C59" s="41" t="s">
        <v>140</v>
      </c>
      <c r="D59" s="41"/>
      <c r="E59" s="41"/>
      <c r="F59" s="111">
        <v>5.0000000000000001E-3</v>
      </c>
      <c r="G59" s="111">
        <v>5.0000000000000001E-3</v>
      </c>
      <c r="H59" s="111">
        <v>5.0000000000000001E-3</v>
      </c>
      <c r="I59" s="111">
        <v>5.0000000000000001E-3</v>
      </c>
      <c r="J59" s="111">
        <v>5.0000000000000001E-3</v>
      </c>
      <c r="K59" s="111">
        <v>5.0000000000000001E-3</v>
      </c>
      <c r="L59" s="111">
        <v>5.0000000000000001E-3</v>
      </c>
      <c r="M59" s="111">
        <v>5.0000000000000001E-3</v>
      </c>
      <c r="N59" s="65" t="s">
        <v>806</v>
      </c>
    </row>
    <row r="60" spans="1:14" s="40" customFormat="1" ht="12.75" customHeight="1">
      <c r="C60" s="41"/>
      <c r="D60" s="41"/>
      <c r="E60" s="41"/>
    </row>
    <row r="61" spans="1:14" s="61" customFormat="1" ht="12.4">
      <c r="A61" s="61" t="s">
        <v>685</v>
      </c>
      <c r="B61" s="61" t="s">
        <v>51</v>
      </c>
      <c r="C61" s="41" t="s">
        <v>140</v>
      </c>
      <c r="F61" s="112">
        <v>23.9</v>
      </c>
      <c r="G61" s="112">
        <f t="shared" ref="G61:M61" si="1">F61</f>
        <v>23.9</v>
      </c>
      <c r="H61" s="112">
        <f t="shared" si="1"/>
        <v>23.9</v>
      </c>
      <c r="I61" s="112">
        <f t="shared" si="1"/>
        <v>23.9</v>
      </c>
      <c r="J61" s="112">
        <f t="shared" si="1"/>
        <v>23.9</v>
      </c>
      <c r="K61" s="112">
        <f t="shared" si="1"/>
        <v>23.9</v>
      </c>
      <c r="L61" s="112">
        <f t="shared" si="1"/>
        <v>23.9</v>
      </c>
      <c r="M61" s="112">
        <f t="shared" si="1"/>
        <v>23.9</v>
      </c>
      <c r="N61" s="2" t="s">
        <v>51</v>
      </c>
    </row>
    <row r="62" spans="1:14" ht="12.75" customHeight="1"/>
    <row r="63" spans="1:14" ht="12.75" customHeight="1">
      <c r="A63" t="s">
        <v>686</v>
      </c>
      <c r="B63" t="s">
        <v>63</v>
      </c>
      <c r="C63" s="41" t="s">
        <v>128</v>
      </c>
      <c r="D63"/>
      <c r="E63"/>
      <c r="F63" s="98">
        <v>7.0000000000000001E-3</v>
      </c>
      <c r="G63" s="98">
        <v>7.0000000000000001E-3</v>
      </c>
      <c r="H63" s="98">
        <v>7.0000000000000001E-3</v>
      </c>
      <c r="I63" s="98">
        <v>7.0000000000000001E-3</v>
      </c>
      <c r="J63" s="98">
        <v>7.0000000000000001E-3</v>
      </c>
      <c r="K63" s="98">
        <v>7.0000000000000001E-3</v>
      </c>
      <c r="L63" s="98">
        <v>7.0000000000000001E-3</v>
      </c>
      <c r="M63" s="98">
        <v>7.0000000000000001E-3</v>
      </c>
      <c r="N63" s="65" t="s">
        <v>63</v>
      </c>
    </row>
    <row r="64" spans="1:14" ht="12.75" customHeight="1">
      <c r="A64"/>
      <c r="B64"/>
      <c r="C64"/>
      <c r="D64"/>
      <c r="E64"/>
      <c r="F64" s="79"/>
      <c r="G64" s="79"/>
      <c r="H64" s="79"/>
      <c r="I64" s="79"/>
      <c r="J64" s="79"/>
      <c r="K64" s="79"/>
      <c r="L64" s="79"/>
      <c r="M64" s="79"/>
      <c r="N64" s="80"/>
    </row>
    <row r="65" spans="1:23" ht="12.75" customHeight="1">
      <c r="A65" s="3" t="s">
        <v>42</v>
      </c>
      <c r="B65" s="61"/>
      <c r="C65" s="61"/>
      <c r="D65"/>
      <c r="E65"/>
      <c r="F65" s="79"/>
      <c r="G65" s="79"/>
      <c r="H65" s="79"/>
      <c r="I65" s="79"/>
      <c r="J65" s="79"/>
      <c r="K65" s="79"/>
      <c r="L65" s="79"/>
      <c r="M65" s="79"/>
      <c r="N65" s="80"/>
    </row>
    <row r="66" spans="1:23" ht="12.75" customHeight="1">
      <c r="A66" s="61" t="s">
        <v>687</v>
      </c>
      <c r="B66" s="61" t="s">
        <v>61</v>
      </c>
      <c r="C66" s="41" t="s">
        <v>140</v>
      </c>
      <c r="D66" s="78"/>
      <c r="E66" s="78"/>
      <c r="F66" s="112">
        <v>0.9</v>
      </c>
      <c r="G66" s="112">
        <f t="shared" ref="G66:M66" si="2">F66</f>
        <v>0.9</v>
      </c>
      <c r="H66" s="112">
        <f t="shared" si="2"/>
        <v>0.9</v>
      </c>
      <c r="I66" s="112">
        <f t="shared" si="2"/>
        <v>0.9</v>
      </c>
      <c r="J66" s="112">
        <f t="shared" si="2"/>
        <v>0.9</v>
      </c>
      <c r="K66" s="112">
        <f t="shared" si="2"/>
        <v>0.9</v>
      </c>
      <c r="L66" s="112">
        <f t="shared" si="2"/>
        <v>0.9</v>
      </c>
      <c r="M66" s="112">
        <f t="shared" si="2"/>
        <v>0.9</v>
      </c>
      <c r="N66" s="2" t="s">
        <v>61</v>
      </c>
    </row>
    <row r="67" spans="1:23" ht="12.75" customHeight="1">
      <c r="A67" s="61"/>
      <c r="B67" s="61"/>
      <c r="C67" s="61"/>
      <c r="D67" s="78"/>
      <c r="E67" s="78"/>
      <c r="F67" s="113"/>
      <c r="G67" s="113"/>
      <c r="H67" s="113"/>
      <c r="I67" s="113"/>
      <c r="J67" s="113"/>
      <c r="K67" s="113"/>
      <c r="L67" s="113"/>
      <c r="M67" s="113"/>
      <c r="N67" s="78"/>
    </row>
    <row r="68" spans="1:23" ht="28.5" customHeight="1">
      <c r="A68" s="56" t="s">
        <v>442</v>
      </c>
      <c r="B68" s="61"/>
      <c r="C68" s="61"/>
      <c r="D68" s="78"/>
      <c r="E68" s="78"/>
      <c r="F68" s="113"/>
      <c r="G68" s="113"/>
      <c r="H68" s="113"/>
      <c r="I68" s="113"/>
      <c r="J68" s="113"/>
      <c r="K68" s="113"/>
      <c r="L68" s="113"/>
      <c r="M68" s="113"/>
      <c r="N68" s="78"/>
    </row>
    <row r="69" spans="1:23" s="81" customFormat="1" ht="12.4">
      <c r="A69" s="61" t="s">
        <v>688</v>
      </c>
      <c r="B69" s="61" t="s">
        <v>447</v>
      </c>
      <c r="C69" s="280" t="s">
        <v>1</v>
      </c>
      <c r="D69" s="77"/>
      <c r="E69" s="77"/>
      <c r="F69" s="112">
        <v>21.05</v>
      </c>
      <c r="G69" s="112">
        <v>21.45</v>
      </c>
      <c r="H69" s="112">
        <v>22.35</v>
      </c>
      <c r="I69" s="112">
        <v>22.35</v>
      </c>
      <c r="J69" s="105"/>
      <c r="K69" s="105"/>
      <c r="L69" s="105"/>
      <c r="M69" s="105"/>
      <c r="N69" s="55" t="s">
        <v>447</v>
      </c>
      <c r="R69" s="58"/>
      <c r="S69" s="58"/>
      <c r="T69" s="58"/>
      <c r="U69" s="58"/>
      <c r="V69" s="58"/>
      <c r="W69" s="58"/>
    </row>
    <row r="70" spans="1:23" ht="12.75" customHeight="1">
      <c r="A70" s="78"/>
      <c r="B70" s="78"/>
      <c r="C70" s="78"/>
      <c r="D70" s="78"/>
      <c r="E70" s="78"/>
      <c r="F70" s="113"/>
      <c r="G70" s="113"/>
      <c r="H70" s="113"/>
      <c r="I70" s="113"/>
      <c r="J70" s="113"/>
      <c r="K70" s="113"/>
      <c r="L70" s="113"/>
      <c r="M70" s="113"/>
      <c r="N70" s="78"/>
    </row>
    <row r="71" spans="1:23" ht="12.75" customHeight="1"/>
    <row r="72" spans="1:23" ht="18" customHeight="1">
      <c r="A72" s="64" t="s">
        <v>168</v>
      </c>
    </row>
    <row r="73" spans="1:23" ht="12.75" customHeight="1">
      <c r="A73" s="91" t="s">
        <v>689</v>
      </c>
      <c r="B73" s="40"/>
      <c r="C73" s="41"/>
    </row>
    <row r="74" spans="1:23" ht="12.75" customHeight="1">
      <c r="A74" s="1" t="s">
        <v>453</v>
      </c>
      <c r="B74" s="40" t="s">
        <v>182</v>
      </c>
      <c r="C74" s="280" t="s">
        <v>1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65" t="s">
        <v>182</v>
      </c>
    </row>
    <row r="75" spans="1:23" ht="12.75" customHeight="1">
      <c r="A75" s="40" t="s">
        <v>434</v>
      </c>
      <c r="B75" s="40" t="s">
        <v>169</v>
      </c>
      <c r="C75" s="280" t="s">
        <v>1</v>
      </c>
      <c r="E75" s="96">
        <v>0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65" t="s">
        <v>169</v>
      </c>
    </row>
    <row r="76" spans="1:23" ht="12.75" customHeight="1">
      <c r="A76" s="40" t="s">
        <v>433</v>
      </c>
      <c r="B76" s="40" t="s">
        <v>170</v>
      </c>
      <c r="C76" s="280" t="s">
        <v>1</v>
      </c>
      <c r="E76" s="96">
        <v>0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96">
        <v>0</v>
      </c>
      <c r="M76" s="96">
        <v>0</v>
      </c>
      <c r="N76" s="65" t="s">
        <v>170</v>
      </c>
    </row>
    <row r="77" spans="1:23" ht="12.75" customHeight="1">
      <c r="A77" s="40" t="s">
        <v>300</v>
      </c>
      <c r="B77" s="40" t="s">
        <v>171</v>
      </c>
      <c r="C77" s="280" t="s">
        <v>1</v>
      </c>
      <c r="D77" s="96">
        <v>105.983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65" t="s">
        <v>171</v>
      </c>
    </row>
    <row r="78" spans="1:23" ht="12.75" customHeight="1">
      <c r="A78" s="66" t="s">
        <v>301</v>
      </c>
      <c r="B78" s="66" t="s">
        <v>172</v>
      </c>
      <c r="C78" s="280" t="s">
        <v>1</v>
      </c>
      <c r="E78" s="96">
        <v>5.4139999999999997</v>
      </c>
      <c r="F78" s="96">
        <v>5.4139999999999997</v>
      </c>
      <c r="G78" s="96">
        <v>5.4139999999999997</v>
      </c>
      <c r="H78" s="96">
        <v>5.4139999999999997</v>
      </c>
      <c r="I78" s="96">
        <v>0</v>
      </c>
      <c r="J78" s="96">
        <v>0</v>
      </c>
      <c r="K78" s="96">
        <v>0</v>
      </c>
      <c r="L78" s="96">
        <v>0</v>
      </c>
      <c r="M78" s="96">
        <v>0</v>
      </c>
      <c r="N78" s="65" t="s">
        <v>172</v>
      </c>
    </row>
    <row r="79" spans="1:23" ht="12.75" customHeight="1">
      <c r="A79" s="66" t="s">
        <v>302</v>
      </c>
      <c r="B79" s="66" t="s">
        <v>174</v>
      </c>
      <c r="C79" s="280" t="s">
        <v>1</v>
      </c>
      <c r="E79" s="96">
        <v>100.15300000000001</v>
      </c>
      <c r="F79" s="96">
        <v>94.739000000000004</v>
      </c>
      <c r="G79" s="96">
        <v>89.325999999999993</v>
      </c>
      <c r="H79" s="96">
        <v>83.912000000000006</v>
      </c>
      <c r="I79" s="96">
        <v>0</v>
      </c>
      <c r="J79" s="96">
        <v>0</v>
      </c>
      <c r="K79" s="96">
        <v>0</v>
      </c>
      <c r="L79" s="96">
        <v>0</v>
      </c>
      <c r="M79" s="96">
        <v>0</v>
      </c>
      <c r="N79" s="65" t="s">
        <v>174</v>
      </c>
    </row>
    <row r="80" spans="1:23" ht="12.75" customHeight="1"/>
    <row r="81" spans="1:14" ht="12.75" customHeight="1">
      <c r="A81" s="66" t="s">
        <v>191</v>
      </c>
      <c r="B81" s="66" t="s">
        <v>173</v>
      </c>
      <c r="C81" s="51" t="s">
        <v>128</v>
      </c>
      <c r="E81" s="98">
        <v>8.7999999999999995E-2</v>
      </c>
      <c r="F81" s="98">
        <v>8.7999999999999995E-2</v>
      </c>
      <c r="G81" s="98">
        <v>8.7999999999999995E-2</v>
      </c>
      <c r="H81" s="98">
        <v>8.7999999999999995E-2</v>
      </c>
      <c r="I81" s="98">
        <v>8.7999999999999995E-2</v>
      </c>
      <c r="J81" s="98">
        <v>8.7999999999999995E-2</v>
      </c>
      <c r="K81" s="98">
        <v>8.7999999999999995E-2</v>
      </c>
      <c r="L81" s="98">
        <v>8.7999999999999995E-2</v>
      </c>
      <c r="M81" s="98">
        <v>8.7999999999999995E-2</v>
      </c>
      <c r="N81" s="65" t="s">
        <v>173</v>
      </c>
    </row>
    <row r="82" spans="1:14" ht="12.75" customHeight="1"/>
    <row r="83" spans="1:14" ht="12.75" customHeight="1"/>
    <row r="84" spans="1:14" ht="12.75" customHeight="1">
      <c r="A84" s="91" t="s">
        <v>382</v>
      </c>
      <c r="B84" s="40"/>
      <c r="C84" s="41"/>
      <c r="D84" s="41"/>
      <c r="E84" s="41"/>
    </row>
    <row r="85" spans="1:14" ht="12.75" customHeight="1">
      <c r="A85" s="61" t="s">
        <v>390</v>
      </c>
      <c r="B85" s="61" t="s">
        <v>388</v>
      </c>
      <c r="C85" s="280" t="s">
        <v>1</v>
      </c>
      <c r="D85" s="41"/>
      <c r="E85" s="96">
        <v>115.85</v>
      </c>
    </row>
    <row r="86" spans="1:14" ht="12.75" customHeight="1">
      <c r="A86" s="61" t="s">
        <v>391</v>
      </c>
      <c r="B86" s="61" t="s">
        <v>389</v>
      </c>
      <c r="C86" s="280" t="s">
        <v>1</v>
      </c>
      <c r="D86" s="41"/>
      <c r="E86" s="96">
        <v>1.3</v>
      </c>
    </row>
    <row r="87" spans="1:14" ht="23.25" customHeight="1">
      <c r="A87" s="140" t="s">
        <v>690</v>
      </c>
      <c r="B87" s="140" t="s">
        <v>496</v>
      </c>
      <c r="C87" s="276" t="s">
        <v>673</v>
      </c>
      <c r="E87" s="277">
        <v>0</v>
      </c>
      <c r="F87" s="277">
        <v>0</v>
      </c>
      <c r="G87" s="277">
        <v>14.7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0</v>
      </c>
      <c r="N87" s="166" t="s">
        <v>496</v>
      </c>
    </row>
    <row r="88" spans="1:14" ht="12.75" customHeight="1"/>
    <row r="89" spans="1:14" ht="12.75" customHeight="1"/>
    <row r="90" spans="1:14" ht="12.75" customHeight="1"/>
    <row r="91" spans="1:14" ht="12.75" customHeight="1"/>
    <row r="92" spans="1:14" ht="12.75" customHeight="1"/>
    <row r="93" spans="1:14" ht="12.75" customHeight="1"/>
    <row r="94" spans="1:14" ht="12.75" customHeight="1"/>
    <row r="95" spans="1:14" ht="12.75" customHeight="1">
      <c r="D95" s="364"/>
    </row>
    <row r="96" spans="1:14" ht="12.75" customHeight="1">
      <c r="E96" s="365"/>
    </row>
    <row r="97" spans="4:5" ht="12.75" customHeight="1"/>
    <row r="98" spans="4:5" ht="12.75" customHeight="1"/>
    <row r="99" spans="4:5" ht="12.75" customHeight="1">
      <c r="E99" s="364"/>
    </row>
    <row r="100" spans="4:5" ht="12.75" customHeight="1">
      <c r="E100" s="364"/>
    </row>
    <row r="101" spans="4:5" ht="12.75" customHeight="1"/>
    <row r="102" spans="4:5" ht="12.75" customHeight="1"/>
    <row r="103" spans="4:5" ht="12.75" customHeight="1"/>
    <row r="104" spans="4:5" ht="12.75" customHeight="1"/>
    <row r="105" spans="4:5" ht="12.75" customHeight="1"/>
    <row r="106" spans="4:5" ht="12.75" customHeight="1"/>
    <row r="107" spans="4:5" ht="12.75" customHeight="1"/>
    <row r="108" spans="4:5" ht="12.75" customHeight="1">
      <c r="D108" s="364"/>
    </row>
    <row r="109" spans="4:5" ht="12.75" customHeight="1"/>
    <row r="110" spans="4:5" ht="12.75" customHeight="1"/>
    <row r="111" spans="4:5" ht="12.75" customHeight="1"/>
    <row r="112" spans="4: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scale="61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399"/>
  <sheetViews>
    <sheetView showGridLines="0" zoomScale="85" zoomScaleNormal="85" zoomScaleSheetLayoutView="85" workbookViewId="0">
      <pane xSplit="1" ySplit="5" topLeftCell="B80" activePane="bottomRight" state="frozen"/>
      <selection pane="topRight"/>
      <selection pane="bottomLeft"/>
      <selection pane="bottomRight" activeCell="K100" sqref="K100"/>
    </sheetView>
  </sheetViews>
  <sheetFormatPr defaultColWidth="0" defaultRowHeight="12.75" customHeight="1" zeroHeight="1"/>
  <cols>
    <col min="1" max="1" width="31.3515625" style="127" customWidth="1"/>
    <col min="2" max="2" width="12.3515625" style="122" customWidth="1"/>
    <col min="3" max="3" width="11.3515625" style="141" customWidth="1"/>
    <col min="4" max="4" width="9.1171875" style="141" customWidth="1"/>
    <col min="5" max="5" width="14.46875" style="141" bestFit="1" customWidth="1"/>
    <col min="6" max="6" width="9.1171875" style="127" customWidth="1"/>
    <col min="7" max="7" width="9.3515625" style="127" customWidth="1"/>
    <col min="8" max="8" width="10.703125" style="127" customWidth="1"/>
    <col min="9" max="9" width="9.1171875" style="127" customWidth="1"/>
    <col min="10" max="10" width="11.703125" style="127" customWidth="1"/>
    <col min="11" max="13" width="9.3515625" style="127" customWidth="1"/>
    <col min="14" max="14" width="14" style="122" customWidth="1"/>
    <col min="15" max="15" width="11.46875" style="122" hidden="1" customWidth="1"/>
    <col min="16" max="16" width="6.64453125" style="122" hidden="1" customWidth="1"/>
    <col min="17" max="17" width="18.17578125" style="122" hidden="1" customWidth="1"/>
    <col min="18" max="18" width="18.17578125" style="127" hidden="1" customWidth="1"/>
    <col min="19" max="19" width="11.46875" style="127" hidden="1" customWidth="1"/>
    <col min="20" max="20" width="6.64453125" style="127" hidden="1" customWidth="1"/>
    <col min="21" max="28" width="18.17578125" style="127" hidden="1" customWidth="1"/>
    <col min="29" max="16384" width="9" style="127" hidden="1"/>
  </cols>
  <sheetData>
    <row r="1" spans="1:23" s="122" customFormat="1" ht="14.65">
      <c r="A1" s="119" t="s">
        <v>132</v>
      </c>
      <c r="B1" s="120"/>
      <c r="C1" s="121"/>
      <c r="D1" s="121"/>
      <c r="E1" s="121"/>
    </row>
    <row r="2" spans="1:23" s="122" customFormat="1" ht="24.75">
      <c r="A2" s="56" t="str">
        <f>CompName</f>
        <v>National Grid Electricity Transmission Plc</v>
      </c>
      <c r="C2" s="121"/>
      <c r="D2" s="121"/>
      <c r="E2" s="121"/>
    </row>
    <row r="3" spans="1:23" ht="22.5" customHeight="1">
      <c r="A3" s="15" t="str">
        <f>'R5 Input page'!F7</f>
        <v>Regulatory Year ending 31 March 2019</v>
      </c>
      <c r="B3" s="124"/>
      <c r="C3" s="125" t="s">
        <v>0</v>
      </c>
      <c r="D3" s="126"/>
      <c r="E3" s="126"/>
      <c r="G3" s="552" t="s">
        <v>125</v>
      </c>
      <c r="H3" s="552"/>
      <c r="I3" s="128"/>
      <c r="J3" s="128"/>
      <c r="K3" s="128"/>
      <c r="L3" s="128"/>
      <c r="M3" s="128"/>
      <c r="N3" s="129" t="s">
        <v>127</v>
      </c>
      <c r="P3" s="124"/>
    </row>
    <row r="4" spans="1:23" s="122" customFormat="1" ht="12.4"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0">
        <v>2017</v>
      </c>
      <c r="J4" s="130">
        <v>2018</v>
      </c>
      <c r="K4" s="130">
        <v>2019</v>
      </c>
      <c r="L4" s="130">
        <v>2020</v>
      </c>
      <c r="M4" s="130">
        <v>2021</v>
      </c>
      <c r="N4" s="131" t="s">
        <v>359</v>
      </c>
      <c r="R4" s="127"/>
      <c r="S4" s="127"/>
      <c r="T4" s="127"/>
      <c r="U4" s="127"/>
      <c r="V4" s="127"/>
      <c r="W4" s="127"/>
    </row>
    <row r="5" spans="1:23" ht="14.65">
      <c r="A5" s="119" t="s">
        <v>133</v>
      </c>
      <c r="B5" s="132"/>
      <c r="C5" s="133"/>
      <c r="D5" s="133"/>
      <c r="E5" s="133"/>
      <c r="F5" s="134"/>
      <c r="G5" s="134"/>
      <c r="H5" s="134"/>
      <c r="I5" s="134"/>
      <c r="J5" s="134"/>
      <c r="K5" s="134"/>
      <c r="L5" s="134"/>
      <c r="M5" s="134"/>
      <c r="N5" s="129"/>
      <c r="P5" s="124"/>
    </row>
    <row r="6" spans="1:23" ht="14.65">
      <c r="A6" s="122" t="s">
        <v>314</v>
      </c>
      <c r="C6" s="121"/>
      <c r="D6" s="121"/>
      <c r="E6" s="556" t="s">
        <v>220</v>
      </c>
      <c r="F6" s="557"/>
      <c r="G6" s="557"/>
      <c r="H6" s="557"/>
      <c r="I6" s="557"/>
      <c r="J6" s="558"/>
      <c r="K6" s="135"/>
      <c r="L6" s="135"/>
      <c r="M6" s="135"/>
      <c r="N6" s="129" t="s">
        <v>134</v>
      </c>
    </row>
    <row r="7" spans="1:23" ht="14.65">
      <c r="A7" s="122" t="s">
        <v>135</v>
      </c>
      <c r="C7" s="121"/>
      <c r="D7" s="121"/>
      <c r="E7" s="121"/>
      <c r="F7" s="553" t="s">
        <v>893</v>
      </c>
      <c r="G7" s="554"/>
      <c r="H7" s="554"/>
      <c r="I7" s="555"/>
      <c r="J7" s="135"/>
      <c r="K7" s="135"/>
      <c r="L7" s="135"/>
      <c r="M7" s="135"/>
      <c r="N7" s="129" t="s">
        <v>167</v>
      </c>
    </row>
    <row r="8" spans="1:23" s="122" customFormat="1" ht="12.4">
      <c r="A8" s="123"/>
      <c r="C8" s="121"/>
      <c r="D8" s="121"/>
      <c r="E8" s="121"/>
      <c r="F8" s="136"/>
      <c r="N8" s="129"/>
      <c r="R8" s="127"/>
      <c r="S8" s="127"/>
      <c r="T8" s="127"/>
      <c r="U8" s="127"/>
      <c r="V8" s="127"/>
      <c r="W8" s="127"/>
    </row>
    <row r="9" spans="1:23" s="122" customFormat="1" ht="12.4">
      <c r="A9" s="123"/>
      <c r="N9" s="129"/>
      <c r="R9" s="127"/>
      <c r="S9" s="127"/>
      <c r="T9" s="127"/>
      <c r="U9" s="127"/>
      <c r="V9" s="127"/>
      <c r="W9" s="127"/>
    </row>
    <row r="10" spans="1:23" s="122" customFormat="1" ht="12.4">
      <c r="A10" s="123" t="s">
        <v>151</v>
      </c>
      <c r="C10" s="121" t="s">
        <v>140</v>
      </c>
      <c r="D10" s="305">
        <f>ROUND(D11/$B$11,3)</f>
        <v>1.1000000000000001</v>
      </c>
      <c r="E10" s="372">
        <f>ROUND(E11/$B$11,3)</f>
        <v>1.1339999999999999</v>
      </c>
      <c r="F10" s="305">
        <f t="shared" ref="F10:M10" si="0">ROUND(F11/$B$11,3)</f>
        <v>1.167</v>
      </c>
      <c r="G10" s="305">
        <f t="shared" si="0"/>
        <v>1.19</v>
      </c>
      <c r="H10" s="305">
        <f t="shared" si="0"/>
        <v>1.202</v>
      </c>
      <c r="I10" s="305">
        <f t="shared" si="0"/>
        <v>1.228</v>
      </c>
      <c r="J10" s="305">
        <f t="shared" si="0"/>
        <v>1.274</v>
      </c>
      <c r="K10" s="305">
        <f t="shared" si="0"/>
        <v>1.31</v>
      </c>
      <c r="L10" s="305">
        <f t="shared" si="0"/>
        <v>1.3460000000000001</v>
      </c>
      <c r="M10" s="305">
        <f t="shared" si="0"/>
        <v>1.3839999999999999</v>
      </c>
      <c r="N10" s="129" t="s">
        <v>149</v>
      </c>
      <c r="R10" s="127"/>
      <c r="S10" s="127"/>
      <c r="T10" s="127"/>
      <c r="U10" s="127"/>
      <c r="V10" s="127"/>
      <c r="W10" s="127"/>
    </row>
    <row r="11" spans="1:23" s="122" customFormat="1" ht="24.75">
      <c r="A11" s="123" t="s">
        <v>152</v>
      </c>
      <c r="B11" s="304">
        <v>215.767</v>
      </c>
      <c r="C11" s="304">
        <v>226.47499999999999</v>
      </c>
      <c r="D11" s="304">
        <v>237.34200000000001</v>
      </c>
      <c r="E11" s="304">
        <v>244.67500000000001</v>
      </c>
      <c r="F11" s="304">
        <v>251.733</v>
      </c>
      <c r="G11" s="304">
        <v>256.66699999999997</v>
      </c>
      <c r="H11" s="304">
        <v>259.43299999999999</v>
      </c>
      <c r="I11" s="304">
        <v>264.99200000000002</v>
      </c>
      <c r="J11" s="304">
        <v>274.90800000000002</v>
      </c>
      <c r="K11" s="509">
        <f>J11*(1+2.8%)</f>
        <v>282.60542400000003</v>
      </c>
      <c r="L11" s="509">
        <f t="shared" ref="L11:M11" si="1">K11*(1+2.8%)</f>
        <v>290.51837587200004</v>
      </c>
      <c r="M11" s="509">
        <f t="shared" si="1"/>
        <v>298.65289039641607</v>
      </c>
      <c r="N11" s="510" t="s">
        <v>864</v>
      </c>
      <c r="R11" s="127"/>
      <c r="S11" s="127"/>
      <c r="T11" s="127"/>
      <c r="U11" s="127"/>
      <c r="V11" s="127"/>
      <c r="W11" s="127"/>
    </row>
    <row r="12" spans="1:23" s="122" customFormat="1" ht="12.4">
      <c r="A12" s="123"/>
      <c r="C12" s="121"/>
      <c r="D12" s="136"/>
      <c r="E12" s="136"/>
      <c r="F12" s="136"/>
      <c r="G12" s="312"/>
      <c r="H12" s="312"/>
      <c r="I12" s="312"/>
      <c r="J12" s="312"/>
      <c r="K12" s="312"/>
      <c r="L12" s="312"/>
      <c r="M12" s="312"/>
      <c r="N12" s="129"/>
      <c r="R12" s="127"/>
      <c r="S12" s="127"/>
      <c r="T12" s="127"/>
      <c r="U12" s="127"/>
      <c r="V12" s="127"/>
      <c r="W12" s="127"/>
    </row>
    <row r="13" spans="1:23" s="138" customFormat="1" ht="12.4">
      <c r="A13" s="137" t="s">
        <v>206</v>
      </c>
    </row>
    <row r="14" spans="1:23" s="138" customFormat="1" ht="14.25">
      <c r="C14" s="137" t="s">
        <v>207</v>
      </c>
      <c r="D14" s="139">
        <v>2012</v>
      </c>
      <c r="E14" s="139">
        <v>2013</v>
      </c>
      <c r="F14" s="139">
        <v>2014</v>
      </c>
      <c r="G14" s="139">
        <v>2015</v>
      </c>
      <c r="H14" s="139">
        <v>2016</v>
      </c>
      <c r="I14" s="139">
        <v>2017</v>
      </c>
      <c r="J14" s="139">
        <v>2018</v>
      </c>
      <c r="K14" s="139">
        <v>2019</v>
      </c>
      <c r="L14" s="139">
        <v>2020</v>
      </c>
      <c r="M14" s="139">
        <v>2021</v>
      </c>
    </row>
    <row r="15" spans="1:23" s="138" customFormat="1" ht="12.4">
      <c r="A15" s="138" t="s">
        <v>208</v>
      </c>
      <c r="B15" s="138" t="s">
        <v>209</v>
      </c>
      <c r="D15" s="95">
        <v>3.3000000000000002E-2</v>
      </c>
      <c r="E15" s="95">
        <v>2.5999999999999999E-2</v>
      </c>
    </row>
    <row r="16" spans="1:23" s="138" customFormat="1" ht="12.4">
      <c r="A16" s="138" t="s">
        <v>208</v>
      </c>
      <c r="B16" s="138" t="s">
        <v>210</v>
      </c>
      <c r="D16" s="95">
        <v>3.1E-2</v>
      </c>
      <c r="E16" s="95">
        <v>2.7E-2</v>
      </c>
      <c r="F16" s="95">
        <v>2.5000000000000001E-2</v>
      </c>
      <c r="G16" s="419"/>
      <c r="H16" s="419"/>
      <c r="I16" s="419"/>
      <c r="J16" s="419"/>
      <c r="K16" s="418"/>
      <c r="L16" s="418"/>
    </row>
    <row r="17" spans="1:23" s="138" customFormat="1" ht="12.4">
      <c r="A17" s="138" t="s">
        <v>208</v>
      </c>
      <c r="B17" s="138" t="s">
        <v>211</v>
      </c>
      <c r="D17" s="419"/>
      <c r="E17" s="95">
        <v>3.1E-2</v>
      </c>
      <c r="F17" s="95">
        <v>3.1E-2</v>
      </c>
      <c r="G17" s="95">
        <v>0.03</v>
      </c>
      <c r="H17" s="419"/>
      <c r="I17" s="419"/>
      <c r="J17" s="419"/>
      <c r="K17" s="418"/>
      <c r="L17" s="418"/>
    </row>
    <row r="18" spans="1:23" s="138" customFormat="1" ht="12.4">
      <c r="A18" s="138" t="s">
        <v>208</v>
      </c>
      <c r="B18" s="138" t="s">
        <v>212</v>
      </c>
      <c r="D18" s="419"/>
      <c r="E18" s="548"/>
      <c r="F18" s="95">
        <v>2.5000000000000001E-2</v>
      </c>
      <c r="G18" s="95">
        <v>2.4E-2</v>
      </c>
      <c r="H18" s="95">
        <v>3.2000000000000001E-2</v>
      </c>
      <c r="I18" s="419"/>
      <c r="J18" s="419"/>
      <c r="K18" s="418"/>
      <c r="L18" s="418"/>
    </row>
    <row r="19" spans="1:23" s="138" customFormat="1" ht="12.4">
      <c r="A19" s="138" t="s">
        <v>208</v>
      </c>
      <c r="B19" s="138" t="s">
        <v>213</v>
      </c>
      <c r="D19" s="419"/>
      <c r="E19" s="419"/>
      <c r="F19" s="419"/>
      <c r="G19" s="95">
        <v>0.01</v>
      </c>
      <c r="H19" s="95">
        <v>2.1000000000000001E-2</v>
      </c>
      <c r="I19" s="95">
        <v>0.03</v>
      </c>
      <c r="J19" s="419"/>
      <c r="K19" s="418"/>
      <c r="L19" s="418"/>
    </row>
    <row r="20" spans="1:23" s="138" customFormat="1" ht="12.4">
      <c r="A20" s="138" t="s">
        <v>208</v>
      </c>
      <c r="B20" s="138" t="s">
        <v>214</v>
      </c>
      <c r="D20" s="419"/>
      <c r="E20" s="419"/>
      <c r="F20" s="419"/>
      <c r="G20" s="419"/>
      <c r="H20" s="95">
        <v>1.7999999999999999E-2</v>
      </c>
      <c r="I20" s="95">
        <v>3.5000000000000003E-2</v>
      </c>
      <c r="J20" s="95">
        <v>3.1E-2</v>
      </c>
      <c r="K20" s="418"/>
      <c r="L20" s="418"/>
    </row>
    <row r="21" spans="1:23" s="138" customFormat="1" ht="12.4">
      <c r="A21" s="138" t="s">
        <v>208</v>
      </c>
      <c r="B21" s="138" t="s">
        <v>215</v>
      </c>
      <c r="D21" s="419"/>
      <c r="E21" s="419"/>
      <c r="F21" s="419"/>
      <c r="G21" s="419"/>
      <c r="H21" s="419"/>
      <c r="I21" s="95">
        <v>3.5999999999999997E-2</v>
      </c>
      <c r="J21" s="95">
        <v>3.4000000000000002E-2</v>
      </c>
      <c r="K21" s="95">
        <v>3.1E-2</v>
      </c>
      <c r="L21" s="418"/>
    </row>
    <row r="22" spans="1:23" s="138" customFormat="1" ht="12.4">
      <c r="A22" s="138" t="s">
        <v>208</v>
      </c>
      <c r="B22" s="138" t="s">
        <v>216</v>
      </c>
      <c r="D22" s="419"/>
      <c r="E22" s="419"/>
      <c r="F22" s="419"/>
      <c r="G22" s="419"/>
      <c r="H22" s="419"/>
      <c r="I22" s="419"/>
      <c r="J22" s="95">
        <v>3.4000000000000002E-2</v>
      </c>
      <c r="K22" s="95">
        <v>3.2000000000000001E-2</v>
      </c>
      <c r="L22" s="95">
        <v>3.1E-2</v>
      </c>
    </row>
    <row r="23" spans="1:23" s="138" customFormat="1" ht="12.4">
      <c r="A23" s="138" t="s">
        <v>208</v>
      </c>
      <c r="B23" s="138" t="s">
        <v>217</v>
      </c>
      <c r="F23" s="486"/>
      <c r="K23" s="57"/>
      <c r="L23" s="57"/>
      <c r="M23" s="57"/>
    </row>
    <row r="24" spans="1:23" s="138" customFormat="1" ht="12.4"/>
    <row r="25" spans="1:23" s="122" customFormat="1" ht="24.75">
      <c r="A25" s="123" t="s">
        <v>142</v>
      </c>
      <c r="B25" s="122" t="s">
        <v>331</v>
      </c>
      <c r="C25" s="121" t="s">
        <v>1</v>
      </c>
      <c r="D25" s="138"/>
      <c r="E25" s="138"/>
      <c r="F25" s="100">
        <v>0</v>
      </c>
      <c r="G25" s="100">
        <v>-5.4</v>
      </c>
      <c r="H25" s="100">
        <v>-114.4</v>
      </c>
      <c r="I25" s="100">
        <v>-185.4</v>
      </c>
      <c r="J25" s="100">
        <v>-253.3</v>
      </c>
      <c r="K25" s="100">
        <v>-310.2</v>
      </c>
      <c r="L25" s="100">
        <v>-378</v>
      </c>
      <c r="M25" s="57"/>
      <c r="N25" s="129" t="s">
        <v>331</v>
      </c>
      <c r="R25" s="127"/>
      <c r="S25" s="127"/>
      <c r="T25" s="127"/>
      <c r="U25" s="127"/>
      <c r="V25" s="127"/>
      <c r="W25" s="127"/>
    </row>
    <row r="26" spans="1:23" s="122" customFormat="1" ht="12.4">
      <c r="A26" s="123"/>
      <c r="C26" s="121"/>
      <c r="D26" s="138"/>
      <c r="E26" s="138"/>
      <c r="F26" s="136"/>
      <c r="K26" s="538"/>
      <c r="N26" s="129"/>
      <c r="R26" s="127"/>
      <c r="S26" s="127"/>
      <c r="T26" s="127"/>
      <c r="U26" s="127"/>
      <c r="V26" s="127"/>
      <c r="W26" s="127"/>
    </row>
    <row r="27" spans="1:23" s="122" customFormat="1" ht="24.75">
      <c r="A27" s="123" t="s">
        <v>143</v>
      </c>
      <c r="B27" s="122" t="s">
        <v>141</v>
      </c>
      <c r="C27" s="121" t="s">
        <v>1</v>
      </c>
      <c r="D27" s="138"/>
      <c r="E27" s="138"/>
      <c r="F27" s="100">
        <v>0</v>
      </c>
      <c r="G27" s="100">
        <v>3.7</v>
      </c>
      <c r="H27" s="100">
        <v>6</v>
      </c>
      <c r="I27" s="100">
        <v>20.9</v>
      </c>
      <c r="J27" s="100">
        <v>9.1999999999999993</v>
      </c>
      <c r="K27" s="100">
        <v>30.1</v>
      </c>
      <c r="L27" s="100">
        <v>97</v>
      </c>
      <c r="M27" s="57"/>
      <c r="N27" s="129" t="s">
        <v>141</v>
      </c>
      <c r="R27" s="127"/>
      <c r="S27" s="127"/>
      <c r="T27" s="127"/>
      <c r="U27" s="127"/>
      <c r="V27" s="127"/>
      <c r="W27" s="127"/>
    </row>
    <row r="28" spans="1:23" s="122" customFormat="1" ht="12.4">
      <c r="A28" s="123"/>
      <c r="C28" s="121"/>
      <c r="D28" s="138"/>
      <c r="E28" s="138"/>
      <c r="F28" s="136"/>
      <c r="N28" s="129"/>
      <c r="R28" s="127"/>
      <c r="S28" s="127"/>
      <c r="T28" s="127"/>
      <c r="U28" s="127"/>
      <c r="V28" s="127"/>
      <c r="W28" s="127"/>
    </row>
    <row r="29" spans="1:23" s="122" customFormat="1" ht="12.4">
      <c r="A29" s="122" t="s">
        <v>39</v>
      </c>
      <c r="B29" s="122" t="s">
        <v>325</v>
      </c>
      <c r="C29" s="121" t="s">
        <v>1</v>
      </c>
      <c r="D29" s="136"/>
      <c r="E29" s="100">
        <v>1956.691</v>
      </c>
      <c r="F29" s="73"/>
      <c r="G29" s="401"/>
      <c r="H29" s="73"/>
      <c r="I29" s="73"/>
      <c r="J29" s="73"/>
      <c r="K29" s="73"/>
      <c r="L29" s="73"/>
      <c r="M29" s="73"/>
      <c r="N29" s="129" t="s">
        <v>325</v>
      </c>
      <c r="R29" s="127"/>
      <c r="S29" s="127"/>
      <c r="T29" s="127"/>
      <c r="U29" s="127"/>
      <c r="V29" s="127"/>
      <c r="W29" s="127"/>
    </row>
    <row r="30" spans="1:23" s="122" customFormat="1" ht="12.4">
      <c r="A30" s="122" t="s">
        <v>326</v>
      </c>
      <c r="B30" s="122" t="s">
        <v>12</v>
      </c>
      <c r="C30" s="121" t="s">
        <v>1</v>
      </c>
      <c r="D30" s="136"/>
      <c r="E30" s="100">
        <v>1954.0139999999999</v>
      </c>
      <c r="F30" s="136"/>
      <c r="N30" s="129"/>
      <c r="R30" s="127"/>
      <c r="S30" s="127"/>
      <c r="T30" s="127"/>
      <c r="U30" s="127"/>
      <c r="V30" s="127"/>
      <c r="W30" s="127"/>
    </row>
    <row r="31" spans="1:23" s="303" customFormat="1" ht="12.4">
      <c r="C31" s="121"/>
      <c r="D31" s="136"/>
      <c r="E31" s="306"/>
      <c r="F31" s="306"/>
      <c r="G31" s="306"/>
      <c r="H31" s="306"/>
      <c r="I31" s="306"/>
      <c r="J31" s="306"/>
      <c r="K31" s="306"/>
      <c r="L31" s="306"/>
      <c r="M31" s="306"/>
      <c r="N31" s="129"/>
      <c r="R31" s="127"/>
      <c r="S31" s="127"/>
      <c r="T31" s="127"/>
      <c r="U31" s="127"/>
      <c r="V31" s="127"/>
      <c r="W31" s="127"/>
    </row>
    <row r="32" spans="1:23" s="303" customFormat="1" ht="24.75">
      <c r="A32" s="123" t="s">
        <v>588</v>
      </c>
      <c r="C32" s="121"/>
      <c r="D32" s="136"/>
      <c r="E32" s="136"/>
      <c r="F32" s="136"/>
      <c r="N32" s="129"/>
      <c r="R32" s="127"/>
      <c r="S32" s="127"/>
      <c r="T32" s="127"/>
      <c r="U32" s="127"/>
      <c r="V32" s="127"/>
      <c r="W32" s="127"/>
    </row>
    <row r="33" spans="1:23" s="303" customFormat="1" ht="12.4">
      <c r="A33" s="303" t="s">
        <v>572</v>
      </c>
      <c r="B33" s="303" t="s">
        <v>573</v>
      </c>
      <c r="C33" s="121" t="s">
        <v>1</v>
      </c>
      <c r="D33" s="136"/>
      <c r="E33" s="100">
        <v>1433.655</v>
      </c>
      <c r="F33" s="136"/>
      <c r="N33" s="129"/>
      <c r="R33" s="127"/>
      <c r="S33" s="127"/>
      <c r="T33" s="127"/>
      <c r="U33" s="127"/>
      <c r="V33" s="127"/>
      <c r="W33" s="127"/>
    </row>
    <row r="34" spans="1:23" s="122" customFormat="1" ht="24.75">
      <c r="A34" s="275" t="s">
        <v>526</v>
      </c>
      <c r="B34" s="140" t="s">
        <v>574</v>
      </c>
      <c r="C34" s="284" t="s">
        <v>1</v>
      </c>
      <c r="D34" s="136"/>
      <c r="E34" s="100">
        <v>-4.6959999999999997</v>
      </c>
      <c r="F34" s="136"/>
      <c r="N34" s="129"/>
      <c r="R34" s="127"/>
      <c r="S34" s="127"/>
      <c r="T34" s="127"/>
      <c r="U34" s="127"/>
      <c r="V34" s="127"/>
      <c r="W34" s="127"/>
    </row>
    <row r="35" spans="1:23" s="274" customFormat="1" ht="24.75">
      <c r="A35" s="287" t="s">
        <v>530</v>
      </c>
      <c r="B35" s="140" t="s">
        <v>531</v>
      </c>
      <c r="C35" s="284" t="s">
        <v>1</v>
      </c>
      <c r="D35" s="136"/>
      <c r="E35" s="100">
        <v>47.984999999999999</v>
      </c>
      <c r="F35" s="136"/>
      <c r="N35" s="129"/>
      <c r="R35" s="127"/>
      <c r="S35" s="127"/>
      <c r="T35" s="127"/>
      <c r="U35" s="127"/>
      <c r="V35" s="127"/>
      <c r="W35" s="127"/>
    </row>
    <row r="36" spans="1:23" s="274" customFormat="1" ht="12.4">
      <c r="A36" s="171" t="s">
        <v>534</v>
      </c>
      <c r="B36" s="140" t="s">
        <v>535</v>
      </c>
      <c r="C36" s="284" t="s">
        <v>1</v>
      </c>
      <c r="D36" s="136"/>
      <c r="E36" s="100">
        <v>83.218999999999994</v>
      </c>
      <c r="F36" s="136"/>
      <c r="N36" s="129"/>
      <c r="R36" s="127"/>
      <c r="S36" s="127"/>
      <c r="T36" s="127"/>
      <c r="U36" s="127"/>
      <c r="V36" s="127"/>
      <c r="W36" s="127"/>
    </row>
    <row r="37" spans="1:23" s="303" customFormat="1" ht="12.4">
      <c r="A37" s="171" t="s">
        <v>576</v>
      </c>
      <c r="B37" s="140" t="s">
        <v>575</v>
      </c>
      <c r="C37" s="284" t="s">
        <v>1</v>
      </c>
      <c r="D37" s="136"/>
      <c r="E37" s="100">
        <v>0</v>
      </c>
      <c r="F37" s="136"/>
      <c r="N37" s="129"/>
      <c r="R37" s="127"/>
      <c r="S37" s="127"/>
      <c r="T37" s="127"/>
      <c r="U37" s="127"/>
      <c r="V37" s="127"/>
      <c r="W37" s="127"/>
    </row>
    <row r="38" spans="1:23" s="303" customFormat="1" ht="12.4">
      <c r="A38" s="171" t="s">
        <v>577</v>
      </c>
      <c r="B38" s="140" t="s">
        <v>579</v>
      </c>
      <c r="C38" s="284" t="s">
        <v>1</v>
      </c>
      <c r="D38" s="136"/>
      <c r="E38" s="100">
        <v>0</v>
      </c>
      <c r="F38" s="136"/>
      <c r="N38" s="129"/>
      <c r="R38" s="127"/>
      <c r="S38" s="127"/>
      <c r="T38" s="127"/>
      <c r="U38" s="127"/>
      <c r="V38" s="127"/>
      <c r="W38" s="127"/>
    </row>
    <row r="39" spans="1:23" s="303" customFormat="1" ht="12.4">
      <c r="A39" s="171" t="s">
        <v>578</v>
      </c>
      <c r="B39" s="140" t="s">
        <v>580</v>
      </c>
      <c r="C39" s="284" t="s">
        <v>1</v>
      </c>
      <c r="D39" s="136"/>
      <c r="E39" s="100">
        <v>16.14</v>
      </c>
      <c r="F39" s="136"/>
      <c r="N39" s="129"/>
      <c r="R39" s="127"/>
      <c r="S39" s="127"/>
      <c r="T39" s="127"/>
      <c r="U39" s="127"/>
      <c r="V39" s="127"/>
      <c r="W39" s="127"/>
    </row>
    <row r="40" spans="1:23" s="303" customFormat="1" ht="12.4">
      <c r="A40" s="171" t="s">
        <v>581</v>
      </c>
      <c r="B40" s="140" t="s">
        <v>582</v>
      </c>
      <c r="C40" s="284" t="s">
        <v>1</v>
      </c>
      <c r="D40" s="136"/>
      <c r="E40" s="100">
        <v>12.794</v>
      </c>
      <c r="F40" s="136"/>
      <c r="N40" s="129"/>
      <c r="R40" s="127"/>
      <c r="S40" s="127"/>
      <c r="T40" s="127"/>
      <c r="U40" s="127"/>
      <c r="V40" s="127"/>
      <c r="W40" s="127"/>
    </row>
    <row r="41" spans="1:23" s="303" customFormat="1" ht="12.4">
      <c r="A41" s="171" t="s">
        <v>584</v>
      </c>
      <c r="B41" s="140" t="s">
        <v>583</v>
      </c>
      <c r="C41" s="284" t="s">
        <v>1</v>
      </c>
      <c r="D41" s="136"/>
      <c r="E41" s="100">
        <v>8</v>
      </c>
      <c r="F41" s="136"/>
      <c r="N41" s="129"/>
      <c r="R41" s="127"/>
      <c r="S41" s="127"/>
      <c r="T41" s="127"/>
      <c r="U41" s="127"/>
      <c r="V41" s="127"/>
      <c r="W41" s="127"/>
    </row>
    <row r="42" spans="1:23" s="274" customFormat="1" ht="12.4">
      <c r="A42" s="287"/>
      <c r="B42" s="140"/>
      <c r="C42" s="284"/>
      <c r="D42" s="136"/>
      <c r="E42" s="136"/>
      <c r="F42" s="136"/>
      <c r="N42" s="129"/>
      <c r="R42" s="127"/>
      <c r="S42" s="127"/>
      <c r="T42" s="127"/>
      <c r="U42" s="127"/>
      <c r="V42" s="127"/>
      <c r="W42" s="127"/>
    </row>
    <row r="43" spans="1:23" s="122" customFormat="1" ht="12.4">
      <c r="A43" s="123" t="s">
        <v>503</v>
      </c>
      <c r="C43" s="121"/>
      <c r="D43" s="136"/>
      <c r="E43" s="136"/>
      <c r="F43" s="136"/>
      <c r="N43" s="129"/>
      <c r="R43" s="127"/>
      <c r="S43" s="127"/>
      <c r="T43" s="127"/>
      <c r="U43" s="127"/>
      <c r="V43" s="127"/>
      <c r="W43" s="127"/>
    </row>
    <row r="44" spans="1:23" s="122" customFormat="1" ht="24.75">
      <c r="A44" s="122" t="s">
        <v>312</v>
      </c>
      <c r="B44" s="122" t="s">
        <v>313</v>
      </c>
      <c r="C44" s="121" t="s">
        <v>128</v>
      </c>
      <c r="D44" s="121"/>
      <c r="E44" s="302">
        <v>4.7500000000000001E-2</v>
      </c>
      <c r="F44" s="302">
        <v>4.5520000000000005E-2</v>
      </c>
      <c r="G44" s="302">
        <v>4.4319999999999998E-2</v>
      </c>
      <c r="H44" s="302">
        <v>4.3300000000000005E-2</v>
      </c>
      <c r="I44" s="302">
        <v>4.2280000000000005E-2</v>
      </c>
      <c r="J44" s="302">
        <v>4.1320000000000003E-2</v>
      </c>
      <c r="K44" s="302">
        <v>3.9460000000000002E-2</v>
      </c>
      <c r="L44" s="302">
        <v>3.7480000000000006E-2</v>
      </c>
      <c r="M44" s="302">
        <v>3.7480000000000006E-2</v>
      </c>
      <c r="N44" s="129" t="s">
        <v>313</v>
      </c>
      <c r="R44" s="127"/>
      <c r="S44" s="127"/>
      <c r="T44" s="127"/>
      <c r="U44" s="127"/>
      <c r="V44" s="127"/>
      <c r="W44" s="127"/>
    </row>
    <row r="45" spans="1:23" s="122" customFormat="1" ht="12.4">
      <c r="A45" s="122" t="s">
        <v>221</v>
      </c>
      <c r="B45" s="122" t="s">
        <v>153</v>
      </c>
      <c r="C45" s="121" t="s">
        <v>140</v>
      </c>
      <c r="D45" s="136"/>
      <c r="E45" s="281">
        <f>1+E44</f>
        <v>1.0475000000000001</v>
      </c>
      <c r="F45" s="281">
        <f t="shared" ref="F45:K45" si="2">1+F44</f>
        <v>1.04552</v>
      </c>
      <c r="G45" s="281">
        <f t="shared" si="2"/>
        <v>1.0443199999999999</v>
      </c>
      <c r="H45" s="281">
        <f t="shared" si="2"/>
        <v>1.0432999999999999</v>
      </c>
      <c r="I45" s="281">
        <f t="shared" si="2"/>
        <v>1.0422800000000001</v>
      </c>
      <c r="J45" s="281">
        <f t="shared" si="2"/>
        <v>1.04132</v>
      </c>
      <c r="K45" s="281">
        <f t="shared" si="2"/>
        <v>1.0394600000000001</v>
      </c>
      <c r="L45" s="281">
        <f>1+L44</f>
        <v>1.03748</v>
      </c>
      <c r="M45" s="281">
        <f t="shared" ref="M45" si="3">1+M44</f>
        <v>1.03748</v>
      </c>
      <c r="N45" s="129" t="s">
        <v>153</v>
      </c>
      <c r="R45" s="127"/>
      <c r="S45" s="127"/>
      <c r="T45" s="127"/>
      <c r="U45" s="127"/>
      <c r="V45" s="127"/>
      <c r="W45" s="127"/>
    </row>
    <row r="46" spans="1:23" s="122" customFormat="1" ht="12.4">
      <c r="C46" s="121"/>
      <c r="D46" s="136"/>
      <c r="E46" s="136"/>
      <c r="F46" s="136"/>
      <c r="N46" s="129"/>
      <c r="R46" s="127"/>
      <c r="S46" s="127"/>
      <c r="T46" s="127"/>
      <c r="U46" s="127"/>
      <c r="V46" s="127"/>
      <c r="W46" s="127"/>
    </row>
    <row r="47" spans="1:23" s="122" customFormat="1" ht="12.4">
      <c r="A47" s="123" t="s">
        <v>504</v>
      </c>
      <c r="C47" s="121"/>
      <c r="D47" s="136"/>
      <c r="E47" s="136"/>
      <c r="F47" s="136"/>
      <c r="N47" s="129"/>
      <c r="R47" s="127"/>
      <c r="S47" s="127"/>
      <c r="T47" s="127"/>
      <c r="U47" s="127"/>
      <c r="V47" s="127"/>
      <c r="W47" s="127"/>
    </row>
    <row r="48" spans="1:23" s="122" customFormat="1" ht="24.75">
      <c r="A48" s="122" t="s">
        <v>305</v>
      </c>
      <c r="C48" s="121" t="s">
        <v>1</v>
      </c>
      <c r="D48" s="136"/>
      <c r="E48" s="57"/>
      <c r="F48" s="57"/>
      <c r="G48" s="57"/>
      <c r="H48" s="57"/>
      <c r="I48" s="57"/>
      <c r="J48" s="57"/>
      <c r="K48" s="57"/>
      <c r="L48" s="57"/>
      <c r="M48" s="57"/>
      <c r="N48" s="510"/>
      <c r="R48" s="127"/>
      <c r="S48" s="127"/>
      <c r="T48" s="127"/>
      <c r="U48" s="127"/>
      <c r="V48" s="127"/>
      <c r="W48" s="127"/>
    </row>
    <row r="49" spans="1:23" s="122" customFormat="1" ht="24.75">
      <c r="A49" s="122" t="s">
        <v>304</v>
      </c>
      <c r="C49" s="121" t="s">
        <v>1</v>
      </c>
      <c r="D49" s="136"/>
      <c r="E49" s="57"/>
      <c r="F49" s="57"/>
      <c r="G49" s="57"/>
      <c r="H49" s="57"/>
      <c r="I49" s="57"/>
      <c r="J49" s="57"/>
      <c r="K49" s="57"/>
      <c r="L49" s="57"/>
      <c r="M49" s="57"/>
      <c r="N49" s="510"/>
      <c r="R49" s="127"/>
      <c r="S49" s="127"/>
      <c r="T49" s="127"/>
      <c r="U49" s="127"/>
      <c r="V49" s="127"/>
      <c r="W49" s="127"/>
    </row>
    <row r="50" spans="1:23" s="122" customFormat="1" ht="12.4">
      <c r="A50" s="122" t="s">
        <v>307</v>
      </c>
      <c r="B50" s="122" t="s">
        <v>306</v>
      </c>
      <c r="C50" s="121" t="s">
        <v>1</v>
      </c>
      <c r="D50" s="136"/>
      <c r="E50" s="543"/>
      <c r="F50" s="24">
        <f>E48-E49</f>
        <v>0</v>
      </c>
      <c r="G50" s="24">
        <f t="shared" ref="G50:M50" si="4">F48-F49</f>
        <v>0</v>
      </c>
      <c r="H50" s="24">
        <f t="shared" si="4"/>
        <v>0</v>
      </c>
      <c r="I50" s="24">
        <f t="shared" si="4"/>
        <v>0</v>
      </c>
      <c r="J50" s="24">
        <f t="shared" si="4"/>
        <v>0</v>
      </c>
      <c r="K50" s="24">
        <f t="shared" si="4"/>
        <v>0</v>
      </c>
      <c r="L50" s="24">
        <f t="shared" si="4"/>
        <v>0</v>
      </c>
      <c r="M50" s="24">
        <f t="shared" si="4"/>
        <v>0</v>
      </c>
      <c r="N50" s="129" t="s">
        <v>306</v>
      </c>
      <c r="R50" s="127"/>
      <c r="S50" s="127"/>
      <c r="T50" s="127"/>
      <c r="U50" s="127"/>
      <c r="V50" s="127"/>
      <c r="W50" s="127"/>
    </row>
    <row r="51" spans="1:23" s="122" customFormat="1" ht="12.4">
      <c r="C51" s="121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29"/>
      <c r="R51" s="127"/>
      <c r="S51" s="127"/>
      <c r="T51" s="127"/>
      <c r="U51" s="127"/>
      <c r="V51" s="127"/>
      <c r="W51" s="127"/>
    </row>
    <row r="52" spans="1:23" s="122" customFormat="1" ht="24.75">
      <c r="A52" s="123" t="s">
        <v>505</v>
      </c>
      <c r="C52" s="121"/>
      <c r="D52" s="136"/>
      <c r="E52" s="136"/>
      <c r="F52" s="451"/>
      <c r="G52" s="451"/>
      <c r="H52" s="451"/>
      <c r="N52" s="129"/>
      <c r="R52" s="127"/>
      <c r="S52" s="127"/>
      <c r="T52" s="127"/>
      <c r="U52" s="127"/>
      <c r="V52" s="127"/>
      <c r="W52" s="127"/>
    </row>
    <row r="53" spans="1:23" s="122" customFormat="1" ht="24.75">
      <c r="A53" s="122" t="s">
        <v>309</v>
      </c>
      <c r="C53" s="121"/>
      <c r="D53" s="136"/>
      <c r="E53" s="57"/>
      <c r="F53" s="57"/>
      <c r="G53" s="57"/>
      <c r="H53" s="57"/>
      <c r="I53" s="57"/>
      <c r="J53" s="57"/>
      <c r="K53" s="57"/>
      <c r="L53" s="57"/>
      <c r="M53" s="57"/>
      <c r="N53" s="510"/>
      <c r="R53" s="127"/>
      <c r="S53" s="127"/>
      <c r="T53" s="127"/>
      <c r="U53" s="127"/>
      <c r="V53" s="127"/>
      <c r="W53" s="127"/>
    </row>
    <row r="54" spans="1:23" s="122" customFormat="1" ht="24.75">
      <c r="A54" s="122" t="s">
        <v>310</v>
      </c>
      <c r="C54" s="121"/>
      <c r="D54" s="136"/>
      <c r="E54" s="57"/>
      <c r="F54" s="401"/>
      <c r="G54" s="401"/>
      <c r="H54" s="57"/>
      <c r="I54" s="57"/>
      <c r="J54" s="57"/>
      <c r="K54" s="57"/>
      <c r="L54" s="57"/>
      <c r="M54" s="57"/>
      <c r="N54" s="510"/>
      <c r="R54" s="127"/>
      <c r="S54" s="127"/>
      <c r="T54" s="127"/>
      <c r="U54" s="127"/>
      <c r="V54" s="127"/>
      <c r="W54" s="127"/>
    </row>
    <row r="55" spans="1:23" s="122" customFormat="1" ht="12.4">
      <c r="A55" s="122" t="s">
        <v>307</v>
      </c>
      <c r="B55" s="122" t="s">
        <v>308</v>
      </c>
      <c r="C55" s="121" t="s">
        <v>1</v>
      </c>
      <c r="D55" s="136"/>
      <c r="E55" s="543"/>
      <c r="F55" s="24">
        <f>E53-E54</f>
        <v>0</v>
      </c>
      <c r="G55" s="24">
        <f t="shared" ref="G55:M55" si="5">F53-F54</f>
        <v>0</v>
      </c>
      <c r="H55" s="24">
        <f t="shared" si="5"/>
        <v>0</v>
      </c>
      <c r="I55" s="24">
        <f t="shared" si="5"/>
        <v>0</v>
      </c>
      <c r="J55" s="24">
        <f t="shared" si="5"/>
        <v>0</v>
      </c>
      <c r="K55" s="24">
        <f t="shared" si="5"/>
        <v>0</v>
      </c>
      <c r="L55" s="24">
        <f t="shared" si="5"/>
        <v>0</v>
      </c>
      <c r="M55" s="24">
        <f t="shared" si="5"/>
        <v>0</v>
      </c>
      <c r="N55" s="129" t="s">
        <v>308</v>
      </c>
      <c r="R55" s="127"/>
      <c r="S55" s="127"/>
      <c r="T55" s="127"/>
      <c r="U55" s="127"/>
      <c r="V55" s="127"/>
      <c r="W55" s="127"/>
    </row>
    <row r="56" spans="1:23" s="122" customFormat="1" ht="12.4">
      <c r="C56" s="121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29"/>
      <c r="R56" s="127"/>
      <c r="S56" s="127"/>
      <c r="T56" s="127"/>
      <c r="U56" s="127"/>
      <c r="V56" s="127"/>
      <c r="W56" s="127"/>
    </row>
    <row r="57" spans="1:23" s="122" customFormat="1" ht="12.4">
      <c r="A57" s="123" t="s">
        <v>224</v>
      </c>
      <c r="B57" s="122" t="s">
        <v>361</v>
      </c>
      <c r="C57" s="121" t="s">
        <v>128</v>
      </c>
      <c r="D57" s="136"/>
      <c r="E57" s="94">
        <v>0.5</v>
      </c>
      <c r="F57" s="94">
        <v>0.5</v>
      </c>
      <c r="G57" s="94">
        <v>0.5</v>
      </c>
      <c r="H57" s="94">
        <v>0.5</v>
      </c>
      <c r="I57" s="94">
        <v>0.34</v>
      </c>
      <c r="J57" s="94">
        <v>0.35</v>
      </c>
      <c r="K57" s="94">
        <v>0.67</v>
      </c>
      <c r="L57" s="94"/>
      <c r="M57" s="94"/>
      <c r="N57" s="129" t="s">
        <v>38</v>
      </c>
      <c r="R57" s="127"/>
      <c r="S57" s="127"/>
      <c r="T57" s="127"/>
      <c r="U57" s="127"/>
      <c r="V57" s="127"/>
      <c r="W57" s="127"/>
    </row>
    <row r="58" spans="1:23" s="122" customFormat="1" ht="12.4">
      <c r="A58" s="123"/>
      <c r="C58" s="121"/>
      <c r="D58" s="136"/>
      <c r="E58" s="136"/>
      <c r="F58" s="136"/>
      <c r="N58" s="129"/>
      <c r="R58" s="127"/>
      <c r="S58" s="127"/>
      <c r="T58" s="127"/>
      <c r="U58" s="127"/>
      <c r="V58" s="127"/>
      <c r="W58" s="127"/>
    </row>
    <row r="59" spans="1:23" s="122" customFormat="1" ht="14.65">
      <c r="A59" s="119" t="s">
        <v>506</v>
      </c>
      <c r="C59" s="121"/>
      <c r="D59" s="136"/>
      <c r="E59" s="136"/>
      <c r="N59" s="129"/>
      <c r="R59" s="127"/>
      <c r="S59" s="127"/>
      <c r="T59" s="127"/>
      <c r="U59" s="127"/>
      <c r="V59" s="127"/>
      <c r="W59" s="127"/>
    </row>
    <row r="60" spans="1:23" s="122" customFormat="1" ht="12.4">
      <c r="A60" s="122" t="s">
        <v>691</v>
      </c>
      <c r="B60" s="357" t="s">
        <v>145</v>
      </c>
      <c r="C60" s="121" t="s">
        <v>1</v>
      </c>
      <c r="D60" s="88"/>
      <c r="E60" s="88"/>
      <c r="F60" s="375"/>
      <c r="G60" s="375"/>
      <c r="H60" s="375"/>
      <c r="I60" s="375"/>
      <c r="J60" s="88"/>
      <c r="K60" s="88"/>
      <c r="L60" s="88"/>
      <c r="M60" s="88"/>
      <c r="N60" s="510" t="s">
        <v>145</v>
      </c>
      <c r="R60" s="127"/>
      <c r="S60" s="127"/>
      <c r="T60" s="127"/>
      <c r="U60" s="127"/>
      <c r="V60" s="127"/>
      <c r="W60" s="127"/>
    </row>
    <row r="61" spans="1:23" s="122" customFormat="1" ht="12.4">
      <c r="A61" s="122" t="s">
        <v>692</v>
      </c>
      <c r="B61" s="357" t="s">
        <v>147</v>
      </c>
      <c r="C61" s="121" t="s">
        <v>1</v>
      </c>
      <c r="D61" s="88"/>
      <c r="E61" s="88"/>
      <c r="F61" s="375"/>
      <c r="G61" s="375"/>
      <c r="H61" s="375"/>
      <c r="I61" s="375"/>
      <c r="J61" s="88"/>
      <c r="K61" s="88"/>
      <c r="L61" s="88"/>
      <c r="M61" s="88"/>
      <c r="N61" s="510" t="s">
        <v>147</v>
      </c>
      <c r="R61" s="127"/>
      <c r="S61" s="127"/>
      <c r="T61" s="127"/>
      <c r="U61" s="127"/>
      <c r="V61" s="127"/>
      <c r="W61" s="127"/>
    </row>
    <row r="62" spans="1:23" s="122" customFormat="1" ht="12.4">
      <c r="A62" s="122" t="s">
        <v>693</v>
      </c>
      <c r="B62" s="357" t="s">
        <v>161</v>
      </c>
      <c r="C62" s="121" t="s">
        <v>1</v>
      </c>
      <c r="D62" s="88"/>
      <c r="E62" s="88"/>
      <c r="F62" s="375"/>
      <c r="G62" s="375"/>
      <c r="H62" s="375"/>
      <c r="I62" s="375"/>
      <c r="J62" s="88"/>
      <c r="K62" s="88"/>
      <c r="L62" s="88"/>
      <c r="M62" s="88"/>
      <c r="N62" s="510" t="s">
        <v>161</v>
      </c>
      <c r="R62" s="127"/>
      <c r="S62" s="127"/>
      <c r="T62" s="127"/>
      <c r="U62" s="127"/>
      <c r="V62" s="127"/>
      <c r="W62" s="127"/>
    </row>
    <row r="63" spans="1:23" s="122" customFormat="1" ht="24.75">
      <c r="A63" s="122" t="s">
        <v>694</v>
      </c>
      <c r="B63" s="357" t="s">
        <v>158</v>
      </c>
      <c r="C63" s="121" t="s">
        <v>1</v>
      </c>
      <c r="D63" s="88"/>
      <c r="E63" s="88"/>
      <c r="F63" s="375"/>
      <c r="G63" s="375"/>
      <c r="H63" s="375"/>
      <c r="I63" s="375"/>
      <c r="J63" s="88"/>
      <c r="K63" s="88"/>
      <c r="L63" s="88"/>
      <c r="M63" s="88"/>
      <c r="N63" s="510" t="s">
        <v>158</v>
      </c>
      <c r="R63" s="127"/>
      <c r="S63" s="127"/>
      <c r="T63" s="127"/>
      <c r="U63" s="127"/>
      <c r="V63" s="127"/>
      <c r="W63" s="127"/>
    </row>
    <row r="64" spans="1:23" s="122" customFormat="1" ht="24.75">
      <c r="A64" s="122" t="s">
        <v>164</v>
      </c>
      <c r="B64" s="357" t="s">
        <v>343</v>
      </c>
      <c r="C64" s="121" t="s">
        <v>1</v>
      </c>
      <c r="D64" s="136"/>
      <c r="E64" s="136"/>
      <c r="F64" s="375"/>
      <c r="G64" s="375"/>
      <c r="H64" s="375"/>
      <c r="I64" s="375"/>
      <c r="J64" s="88"/>
      <c r="K64" s="88"/>
      <c r="L64" s="88"/>
      <c r="M64" s="88"/>
      <c r="N64" s="510" t="s">
        <v>343</v>
      </c>
      <c r="R64" s="127"/>
      <c r="S64" s="127"/>
      <c r="T64" s="127"/>
      <c r="U64" s="127"/>
      <c r="V64" s="127"/>
      <c r="W64" s="127"/>
    </row>
    <row r="65" spans="1:23" s="122" customFormat="1" ht="13.5">
      <c r="A65" s="143" t="s">
        <v>28</v>
      </c>
      <c r="B65" s="357" t="s">
        <v>344</v>
      </c>
      <c r="C65" s="121" t="s">
        <v>1</v>
      </c>
      <c r="D65" s="136"/>
      <c r="E65" s="136"/>
      <c r="F65" s="375"/>
      <c r="G65" s="375"/>
      <c r="H65" s="375"/>
      <c r="I65" s="375"/>
      <c r="J65" s="88"/>
      <c r="K65" s="88"/>
      <c r="L65" s="88"/>
      <c r="M65" s="88"/>
      <c r="N65" s="510" t="s">
        <v>344</v>
      </c>
      <c r="R65" s="127"/>
      <c r="S65" s="127"/>
      <c r="T65" s="127"/>
      <c r="U65" s="127"/>
      <c r="V65" s="127"/>
      <c r="W65" s="127"/>
    </row>
    <row r="66" spans="1:23" s="122" customFormat="1" ht="13.5">
      <c r="A66" s="143" t="s">
        <v>29</v>
      </c>
      <c r="B66" s="357" t="s">
        <v>345</v>
      </c>
      <c r="C66" s="121" t="s">
        <v>1</v>
      </c>
      <c r="D66" s="136"/>
      <c r="E66" s="136"/>
      <c r="F66" s="375"/>
      <c r="G66" s="375"/>
      <c r="H66" s="375"/>
      <c r="I66" s="375"/>
      <c r="J66" s="88"/>
      <c r="K66" s="88"/>
      <c r="L66" s="88"/>
      <c r="M66" s="88"/>
      <c r="N66" s="510" t="s">
        <v>345</v>
      </c>
      <c r="R66" s="127"/>
      <c r="S66" s="127"/>
      <c r="T66" s="127"/>
      <c r="U66" s="127"/>
      <c r="V66" s="127"/>
      <c r="W66" s="127"/>
    </row>
    <row r="67" spans="1:23" s="122" customFormat="1" ht="13.5">
      <c r="A67" s="143" t="s">
        <v>27</v>
      </c>
      <c r="B67" s="357" t="s">
        <v>346</v>
      </c>
      <c r="C67" s="121" t="s">
        <v>1</v>
      </c>
      <c r="D67" s="136"/>
      <c r="E67" s="136"/>
      <c r="F67" s="375"/>
      <c r="G67" s="375"/>
      <c r="H67" s="375"/>
      <c r="I67" s="375"/>
      <c r="J67" s="88"/>
      <c r="K67" s="88"/>
      <c r="L67" s="88"/>
      <c r="M67" s="88"/>
      <c r="N67" s="510" t="s">
        <v>346</v>
      </c>
      <c r="R67" s="127"/>
      <c r="S67" s="127"/>
      <c r="T67" s="127"/>
      <c r="U67" s="127"/>
      <c r="V67" s="127"/>
      <c r="W67" s="127"/>
    </row>
    <row r="68" spans="1:23" s="122" customFormat="1" ht="13.5">
      <c r="A68" s="143" t="s">
        <v>30</v>
      </c>
      <c r="B68" s="357" t="s">
        <v>347</v>
      </c>
      <c r="C68" s="121" t="s">
        <v>1</v>
      </c>
      <c r="D68" s="136"/>
      <c r="E68" s="136"/>
      <c r="F68" s="375"/>
      <c r="G68" s="375"/>
      <c r="H68" s="375"/>
      <c r="I68" s="375"/>
      <c r="J68" s="88"/>
      <c r="K68" s="88"/>
      <c r="L68" s="88"/>
      <c r="M68" s="88"/>
      <c r="N68" s="510" t="s">
        <v>347</v>
      </c>
      <c r="R68" s="127"/>
      <c r="S68" s="127"/>
      <c r="T68" s="127"/>
      <c r="U68" s="127"/>
      <c r="V68" s="127"/>
      <c r="W68" s="127"/>
    </row>
    <row r="69" spans="1:23" s="122" customFormat="1" ht="13.9">
      <c r="A69" s="144"/>
      <c r="C69" s="121"/>
      <c r="D69" s="121"/>
      <c r="E69" s="121"/>
      <c r="F69" s="136"/>
      <c r="G69" s="136"/>
      <c r="H69" s="136"/>
      <c r="I69" s="136"/>
      <c r="J69" s="136"/>
      <c r="K69" s="136"/>
      <c r="L69" s="136"/>
      <c r="M69" s="136"/>
      <c r="N69" s="129"/>
      <c r="R69" s="127"/>
      <c r="S69" s="127"/>
      <c r="T69" s="127"/>
      <c r="U69" s="127"/>
      <c r="V69" s="127"/>
      <c r="W69" s="127"/>
    </row>
    <row r="70" spans="1:23" s="122" customFormat="1" ht="14.65">
      <c r="A70" s="119" t="s">
        <v>507</v>
      </c>
      <c r="C70" s="121"/>
      <c r="D70" s="121"/>
      <c r="E70" s="121"/>
      <c r="F70" s="136"/>
      <c r="N70" s="129"/>
      <c r="R70" s="127"/>
      <c r="S70" s="127"/>
      <c r="T70" s="127"/>
      <c r="U70" s="127"/>
      <c r="V70" s="127"/>
      <c r="W70" s="127"/>
    </row>
    <row r="71" spans="1:23" s="122" customFormat="1" ht="24.75">
      <c r="A71" s="122" t="s">
        <v>695</v>
      </c>
      <c r="B71" s="122" t="s">
        <v>280</v>
      </c>
      <c r="C71" s="121" t="s">
        <v>1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10" t="s">
        <v>280</v>
      </c>
      <c r="R71" s="127"/>
      <c r="S71" s="127"/>
      <c r="T71" s="127"/>
      <c r="U71" s="127"/>
      <c r="V71" s="127"/>
      <c r="W71" s="127"/>
    </row>
    <row r="72" spans="1:23" s="122" customFormat="1" ht="12.4">
      <c r="A72" s="123"/>
      <c r="C72" s="121"/>
      <c r="D72" s="121"/>
      <c r="E72" s="121"/>
      <c r="F72" s="136"/>
      <c r="N72" s="129"/>
      <c r="R72" s="127"/>
      <c r="S72" s="127"/>
      <c r="T72" s="127"/>
      <c r="U72" s="127"/>
      <c r="V72" s="127"/>
      <c r="W72" s="127"/>
    </row>
    <row r="73" spans="1:23" s="122" customFormat="1" ht="24.75">
      <c r="A73" s="123" t="s">
        <v>508</v>
      </c>
      <c r="C73" s="145"/>
      <c r="D73" s="121"/>
      <c r="N73" s="398"/>
      <c r="R73" s="127"/>
      <c r="S73" s="127"/>
      <c r="T73" s="127"/>
      <c r="U73" s="127"/>
      <c r="V73" s="127"/>
      <c r="W73" s="127"/>
    </row>
    <row r="74" spans="1:23" s="122" customFormat="1" ht="13.5">
      <c r="A74" s="146" t="s">
        <v>477</v>
      </c>
      <c r="B74" s="146" t="s">
        <v>318</v>
      </c>
      <c r="C74" s="283" t="s">
        <v>510</v>
      </c>
      <c r="D74" s="143"/>
      <c r="F74" s="489"/>
      <c r="N74" s="511"/>
      <c r="R74" s="127"/>
      <c r="S74" s="127"/>
      <c r="T74" s="127"/>
      <c r="U74" s="127"/>
      <c r="V74" s="127"/>
      <c r="W74" s="127"/>
    </row>
    <row r="75" spans="1:23" s="122" customFormat="1" ht="12.4">
      <c r="A75" s="123"/>
      <c r="C75" s="121"/>
      <c r="D75" s="121"/>
      <c r="N75" s="511"/>
      <c r="R75" s="127"/>
      <c r="S75" s="127"/>
      <c r="T75" s="127"/>
      <c r="U75" s="127"/>
      <c r="V75" s="127"/>
      <c r="W75" s="127"/>
    </row>
    <row r="76" spans="1:23" ht="12.4">
      <c r="F76" s="141"/>
      <c r="G76" s="141"/>
      <c r="H76" s="141"/>
      <c r="I76" s="141"/>
      <c r="J76" s="141"/>
      <c r="K76" s="141"/>
      <c r="L76" s="141"/>
      <c r="M76" s="141"/>
      <c r="N76" s="398"/>
    </row>
    <row r="77" spans="1:23" ht="12.4">
      <c r="A77" s="185" t="s">
        <v>512</v>
      </c>
      <c r="F77" s="141"/>
      <c r="G77" s="141"/>
      <c r="H77" s="130"/>
      <c r="I77" s="130"/>
      <c r="J77" s="130"/>
      <c r="K77" s="130"/>
      <c r="L77" s="130"/>
      <c r="M77" s="130"/>
      <c r="N77" s="398"/>
    </row>
    <row r="78" spans="1:23" ht="12.4">
      <c r="A78" s="138" t="s">
        <v>696</v>
      </c>
      <c r="B78" s="138" t="s">
        <v>234</v>
      </c>
      <c r="C78" s="141" t="s">
        <v>511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11" t="s">
        <v>234</v>
      </c>
    </row>
    <row r="79" spans="1:23" ht="12.75" customHeight="1">
      <c r="N79" s="398"/>
    </row>
    <row r="80" spans="1:23" ht="12.4">
      <c r="A80" s="137" t="s">
        <v>513</v>
      </c>
      <c r="B80" s="138"/>
      <c r="N80" s="398"/>
    </row>
    <row r="81" spans="1:17" ht="12.4">
      <c r="A81" s="138" t="s">
        <v>697</v>
      </c>
      <c r="B81" s="138" t="s">
        <v>277</v>
      </c>
      <c r="C81" s="141" t="s">
        <v>502</v>
      </c>
      <c r="D81" s="57"/>
      <c r="E81" s="57"/>
      <c r="F81" s="370"/>
      <c r="G81" s="370"/>
      <c r="H81" s="370"/>
      <c r="I81" s="370"/>
      <c r="J81" s="57"/>
      <c r="K81" s="57"/>
      <c r="L81" s="57"/>
      <c r="M81" s="57"/>
      <c r="N81" s="511" t="s">
        <v>277</v>
      </c>
    </row>
    <row r="82" spans="1:17" ht="12.4">
      <c r="A82" s="127" t="s">
        <v>698</v>
      </c>
      <c r="B82" s="122" t="s">
        <v>243</v>
      </c>
      <c r="C82" s="141" t="s">
        <v>1</v>
      </c>
      <c r="D82" s="57"/>
      <c r="E82" s="57"/>
      <c r="F82" s="400"/>
      <c r="G82" s="400"/>
      <c r="H82" s="400"/>
      <c r="I82" s="57"/>
      <c r="J82" s="57"/>
      <c r="K82" s="57"/>
      <c r="L82" s="57"/>
      <c r="M82" s="57"/>
      <c r="N82" s="511" t="s">
        <v>243</v>
      </c>
    </row>
    <row r="83" spans="1:17" ht="12.4">
      <c r="A83" s="127" t="s">
        <v>699</v>
      </c>
      <c r="B83" s="122" t="s">
        <v>239</v>
      </c>
      <c r="C83" s="141" t="s">
        <v>502</v>
      </c>
      <c r="D83" s="57"/>
      <c r="E83" s="57"/>
      <c r="F83" s="370"/>
      <c r="G83" s="370"/>
      <c r="H83" s="370"/>
      <c r="I83" s="370"/>
      <c r="J83" s="57"/>
      <c r="K83" s="57"/>
      <c r="L83" s="57"/>
      <c r="M83" s="57"/>
      <c r="N83" s="511" t="s">
        <v>239</v>
      </c>
    </row>
    <row r="84" spans="1:17" ht="12.4">
      <c r="N84" s="398"/>
    </row>
    <row r="85" spans="1:17" ht="12.4">
      <c r="A85" s="148" t="s">
        <v>251</v>
      </c>
      <c r="B85" s="122" t="s">
        <v>250</v>
      </c>
      <c r="C85" s="141" t="s">
        <v>128</v>
      </c>
      <c r="F85" s="311">
        <v>0.23</v>
      </c>
      <c r="G85" s="311">
        <v>0.21</v>
      </c>
      <c r="H85" s="311">
        <v>0.2</v>
      </c>
      <c r="I85" s="311">
        <v>0.2</v>
      </c>
      <c r="J85" s="311">
        <v>0.19</v>
      </c>
      <c r="K85" s="311">
        <v>0.19</v>
      </c>
      <c r="L85" s="311">
        <v>0.19</v>
      </c>
      <c r="M85" s="311">
        <v>0.17</v>
      </c>
      <c r="N85" s="511" t="s">
        <v>250</v>
      </c>
    </row>
    <row r="86" spans="1:17" ht="12.4">
      <c r="A86" s="14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511"/>
    </row>
    <row r="87" spans="1:17" ht="12.4">
      <c r="A87" s="14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511"/>
    </row>
    <row r="88" spans="1:17" ht="12.4">
      <c r="A88" s="397" t="s">
        <v>515</v>
      </c>
      <c r="B88" s="398"/>
      <c r="D88" s="70"/>
      <c r="E88" s="376"/>
      <c r="F88" s="376"/>
      <c r="G88" s="70"/>
      <c r="H88" s="70"/>
      <c r="I88" s="70"/>
      <c r="J88" s="70"/>
      <c r="K88" s="70"/>
      <c r="L88" s="70"/>
      <c r="M88" s="70"/>
      <c r="N88" s="511"/>
    </row>
    <row r="89" spans="1:17" ht="12.4">
      <c r="A89" s="399" t="s">
        <v>254</v>
      </c>
      <c r="B89" s="398" t="s">
        <v>56</v>
      </c>
      <c r="C89" s="141" t="s">
        <v>514</v>
      </c>
      <c r="D89" s="70"/>
      <c r="E89" s="57"/>
      <c r="F89" s="71" t="s">
        <v>56</v>
      </c>
      <c r="G89" s="70"/>
      <c r="H89" s="70"/>
      <c r="I89" s="70"/>
      <c r="J89" s="70"/>
      <c r="K89" s="70"/>
      <c r="L89" s="70"/>
      <c r="M89" s="70"/>
      <c r="N89" s="511"/>
    </row>
    <row r="90" spans="1:17" ht="12.4">
      <c r="A90" s="399" t="s">
        <v>700</v>
      </c>
      <c r="B90" s="398" t="s">
        <v>256</v>
      </c>
      <c r="C90" s="141" t="s">
        <v>514</v>
      </c>
      <c r="D90" s="122"/>
      <c r="E90" s="122"/>
      <c r="F90" s="401"/>
      <c r="G90" s="401"/>
      <c r="H90" s="401"/>
      <c r="I90" s="57"/>
      <c r="J90" s="57"/>
      <c r="K90" s="57"/>
      <c r="L90" s="57"/>
      <c r="M90" s="57"/>
      <c r="N90" s="511" t="s">
        <v>256</v>
      </c>
    </row>
    <row r="91" spans="1:17" ht="12.4">
      <c r="A91" s="399" t="s">
        <v>703</v>
      </c>
      <c r="B91" s="398" t="s">
        <v>704</v>
      </c>
      <c r="C91" s="141" t="s">
        <v>514</v>
      </c>
      <c r="D91" s="366"/>
      <c r="E91" s="377"/>
      <c r="F91" s="70"/>
      <c r="G91" s="401"/>
      <c r="H91" s="401"/>
      <c r="I91" s="57"/>
      <c r="J91" s="57"/>
      <c r="K91" s="57"/>
      <c r="L91" s="57"/>
      <c r="M91" s="57"/>
      <c r="N91" s="511" t="s">
        <v>704</v>
      </c>
      <c r="O91" s="366"/>
      <c r="P91" s="366"/>
      <c r="Q91" s="366"/>
    </row>
    <row r="92" spans="1:17" ht="12.4">
      <c r="A92" s="399" t="s">
        <v>701</v>
      </c>
      <c r="B92" s="398" t="s">
        <v>257</v>
      </c>
      <c r="C92" s="141" t="s">
        <v>514</v>
      </c>
      <c r="D92" s="122"/>
      <c r="E92" s="122"/>
      <c r="F92" s="401"/>
      <c r="G92" s="401"/>
      <c r="H92" s="401"/>
      <c r="I92" s="57"/>
      <c r="J92" s="57"/>
      <c r="K92" s="57"/>
      <c r="L92" s="57"/>
      <c r="M92" s="57"/>
      <c r="N92" s="511" t="s">
        <v>257</v>
      </c>
    </row>
    <row r="93" spans="1:17" ht="12.4">
      <c r="A93" s="399" t="s">
        <v>705</v>
      </c>
      <c r="B93" s="398" t="s">
        <v>706</v>
      </c>
      <c r="C93" s="141" t="s">
        <v>514</v>
      </c>
      <c r="D93" s="366"/>
      <c r="E93" s="366"/>
      <c r="F93" s="70"/>
      <c r="G93" s="401"/>
      <c r="H93" s="401"/>
      <c r="I93" s="57"/>
      <c r="J93" s="57"/>
      <c r="K93" s="57"/>
      <c r="L93" s="57"/>
      <c r="M93" s="57"/>
      <c r="N93" s="511" t="s">
        <v>706</v>
      </c>
      <c r="O93" s="366"/>
      <c r="P93" s="366"/>
      <c r="Q93" s="366"/>
    </row>
    <row r="94" spans="1:17" ht="12.4">
      <c r="A94" s="148" t="s">
        <v>702</v>
      </c>
      <c r="B94" s="122" t="s">
        <v>259</v>
      </c>
      <c r="C94" s="141" t="s">
        <v>514</v>
      </c>
      <c r="D94" s="122"/>
      <c r="E94" s="122"/>
      <c r="F94" s="404"/>
      <c r="G94" s="401"/>
      <c r="H94" s="401"/>
      <c r="I94" s="404"/>
      <c r="J94" s="57"/>
      <c r="K94" s="57"/>
      <c r="L94" s="57"/>
      <c r="M94" s="57"/>
      <c r="N94" s="511" t="s">
        <v>259</v>
      </c>
    </row>
    <row r="95" spans="1:17" ht="24.75">
      <c r="A95" s="148" t="s">
        <v>261</v>
      </c>
      <c r="B95" s="122" t="s">
        <v>260</v>
      </c>
      <c r="C95" s="141" t="s">
        <v>682</v>
      </c>
      <c r="D95" s="94"/>
      <c r="E95" s="94"/>
      <c r="F95" s="94">
        <v>50</v>
      </c>
      <c r="G95" s="94">
        <v>51</v>
      </c>
      <c r="H95" s="94">
        <v>52</v>
      </c>
      <c r="I95" s="94">
        <v>53</v>
      </c>
      <c r="J95" s="94">
        <v>54</v>
      </c>
      <c r="K95" s="94">
        <v>55</v>
      </c>
      <c r="L95" s="94">
        <v>56</v>
      </c>
      <c r="M95" s="94">
        <v>57</v>
      </c>
      <c r="N95" s="511" t="s">
        <v>260</v>
      </c>
    </row>
    <row r="96" spans="1:17" ht="12.4">
      <c r="A96" s="148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511"/>
    </row>
    <row r="97" spans="1:23" ht="12.4">
      <c r="A97" s="155" t="s">
        <v>516</v>
      </c>
      <c r="C97" s="122"/>
      <c r="D97" s="122"/>
      <c r="E97" s="122"/>
      <c r="F97" s="122"/>
      <c r="G97" s="122"/>
      <c r="H97" s="122"/>
      <c r="I97" s="452"/>
      <c r="J97" s="453"/>
      <c r="K97" s="122"/>
      <c r="L97" s="122"/>
      <c r="M97" s="122"/>
      <c r="N97" s="511"/>
    </row>
    <row r="98" spans="1:23" ht="12.4">
      <c r="A98" s="138" t="s">
        <v>65</v>
      </c>
      <c r="B98" s="138" t="s">
        <v>285</v>
      </c>
      <c r="C98" s="121" t="s">
        <v>1</v>
      </c>
      <c r="D98" s="122"/>
      <c r="E98" s="122"/>
      <c r="F98" s="57"/>
      <c r="G98" s="370"/>
      <c r="H98" s="57"/>
      <c r="I98" s="57"/>
      <c r="J98" s="57"/>
      <c r="K98" s="57"/>
      <c r="L98" s="57"/>
      <c r="M98" s="57"/>
      <c r="N98" s="511" t="s">
        <v>285</v>
      </c>
    </row>
    <row r="99" spans="1:23" s="151" customFormat="1" ht="12.4">
      <c r="A99" s="149" t="s">
        <v>441</v>
      </c>
      <c r="B99" s="418" t="s">
        <v>334</v>
      </c>
      <c r="C99" s="121" t="s">
        <v>1</v>
      </c>
      <c r="D99" s="150"/>
      <c r="E99" s="150"/>
      <c r="F99" s="57"/>
      <c r="G99" s="370"/>
      <c r="H99" s="57"/>
      <c r="I99" s="57"/>
      <c r="J99" s="76"/>
      <c r="K99" s="76"/>
      <c r="L99" s="76"/>
      <c r="M99" s="76"/>
      <c r="N99" s="511" t="s">
        <v>334</v>
      </c>
      <c r="O99" s="150"/>
      <c r="P99" s="150"/>
      <c r="Q99" s="150"/>
    </row>
    <row r="100" spans="1:23" ht="12.4">
      <c r="A100" s="138" t="s">
        <v>284</v>
      </c>
      <c r="B100" s="138" t="s">
        <v>62</v>
      </c>
      <c r="C100" s="121" t="s">
        <v>1</v>
      </c>
      <c r="D100" s="122"/>
      <c r="E100" s="122"/>
      <c r="F100" s="57"/>
      <c r="G100" s="57"/>
      <c r="H100" s="57"/>
      <c r="I100" s="375"/>
      <c r="J100" s="88"/>
      <c r="K100" s="549"/>
      <c r="L100" s="549"/>
      <c r="M100" s="549"/>
      <c r="N100" s="511" t="s">
        <v>62</v>
      </c>
    </row>
    <row r="101" spans="1:23" ht="12.4">
      <c r="A101" s="138" t="s">
        <v>59</v>
      </c>
      <c r="B101" s="138" t="s">
        <v>288</v>
      </c>
      <c r="C101" s="121" t="s">
        <v>1</v>
      </c>
      <c r="D101" s="122"/>
      <c r="E101" s="122"/>
      <c r="F101" s="57"/>
      <c r="G101" s="370"/>
      <c r="H101" s="57"/>
      <c r="I101" s="57"/>
      <c r="J101" s="57"/>
      <c r="K101" s="57"/>
      <c r="L101" s="57"/>
      <c r="M101" s="57"/>
      <c r="N101" s="511" t="s">
        <v>288</v>
      </c>
    </row>
    <row r="102" spans="1:23" ht="12.4">
      <c r="A102" s="138" t="s">
        <v>41</v>
      </c>
      <c r="B102" s="138" t="s">
        <v>287</v>
      </c>
      <c r="C102" s="121" t="s">
        <v>1</v>
      </c>
      <c r="D102" s="122"/>
      <c r="E102" s="122"/>
      <c r="F102" s="57"/>
      <c r="G102" s="370"/>
      <c r="H102" s="57"/>
      <c r="I102" s="57"/>
      <c r="J102" s="57"/>
      <c r="K102" s="57"/>
      <c r="L102" s="57"/>
      <c r="M102" s="57"/>
      <c r="N102" s="511" t="s">
        <v>287</v>
      </c>
    </row>
    <row r="103" spans="1:23" s="153" customFormat="1" ht="12.4">
      <c r="A103" s="152"/>
      <c r="B103" s="152"/>
      <c r="F103" s="87"/>
      <c r="G103" s="87"/>
      <c r="H103" s="87"/>
      <c r="I103" s="87"/>
      <c r="J103" s="87"/>
      <c r="K103" s="87"/>
      <c r="L103" s="87"/>
      <c r="M103" s="87"/>
      <c r="N103" s="542"/>
    </row>
    <row r="104" spans="1:23" ht="12.4">
      <c r="A104" s="148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511"/>
    </row>
    <row r="105" spans="1:23" s="122" customFormat="1" ht="12.4">
      <c r="A105" s="155" t="s">
        <v>517</v>
      </c>
      <c r="C105" s="121"/>
      <c r="E105" s="121"/>
      <c r="F105" s="136"/>
      <c r="N105" s="510"/>
      <c r="R105" s="127"/>
      <c r="S105" s="127"/>
      <c r="T105" s="127"/>
      <c r="U105" s="127"/>
      <c r="V105" s="127"/>
      <c r="W105" s="127"/>
    </row>
    <row r="106" spans="1:23" s="122" customFormat="1" ht="12.75" customHeight="1">
      <c r="A106" s="155" t="s">
        <v>192</v>
      </c>
      <c r="N106" s="510"/>
      <c r="R106" s="127"/>
      <c r="S106" s="127"/>
      <c r="T106" s="127"/>
      <c r="U106" s="127"/>
      <c r="V106" s="127"/>
      <c r="W106" s="127"/>
    </row>
    <row r="107" spans="1:23" s="122" customFormat="1" ht="12.4">
      <c r="A107" s="154" t="s">
        <v>193</v>
      </c>
      <c r="B107" s="122" t="s">
        <v>184</v>
      </c>
      <c r="C107" s="121" t="s">
        <v>1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10" t="s">
        <v>184</v>
      </c>
      <c r="R107" s="127"/>
      <c r="S107" s="127"/>
      <c r="T107" s="127"/>
      <c r="U107" s="127"/>
      <c r="V107" s="127"/>
      <c r="W107" s="127"/>
    </row>
    <row r="108" spans="1:23" ht="12.4">
      <c r="A108" s="154" t="s">
        <v>194</v>
      </c>
      <c r="B108" s="122" t="s">
        <v>186</v>
      </c>
      <c r="C108" s="121" t="s">
        <v>1</v>
      </c>
      <c r="D108" s="122"/>
      <c r="E108" s="57"/>
      <c r="F108" s="57"/>
      <c r="G108" s="57"/>
      <c r="H108" s="57"/>
      <c r="I108" s="57"/>
      <c r="J108" s="57"/>
      <c r="K108" s="57"/>
      <c r="L108" s="57"/>
      <c r="M108" s="57"/>
      <c r="N108" s="510" t="s">
        <v>798</v>
      </c>
    </row>
    <row r="109" spans="1:23" ht="12.4">
      <c r="A109" s="154" t="s">
        <v>195</v>
      </c>
      <c r="B109" s="122" t="s">
        <v>188</v>
      </c>
      <c r="C109" s="121" t="s">
        <v>1</v>
      </c>
      <c r="D109" s="122"/>
      <c r="E109" s="57"/>
      <c r="F109" s="57"/>
      <c r="G109" s="57"/>
      <c r="H109" s="57"/>
      <c r="I109" s="57"/>
      <c r="J109" s="57"/>
      <c r="K109" s="57"/>
      <c r="L109" s="57"/>
      <c r="M109" s="57"/>
      <c r="N109" s="511" t="s">
        <v>188</v>
      </c>
    </row>
    <row r="110" spans="1:23" ht="12.4">
      <c r="A110" s="154" t="s">
        <v>92</v>
      </c>
      <c r="B110" s="122" t="s">
        <v>177</v>
      </c>
      <c r="C110" s="121" t="s">
        <v>1</v>
      </c>
      <c r="D110" s="122"/>
      <c r="E110" s="57"/>
      <c r="F110" s="57"/>
      <c r="G110" s="57"/>
      <c r="H110" s="57"/>
      <c r="I110" s="57"/>
      <c r="J110" s="57"/>
      <c r="K110" s="57"/>
      <c r="L110" s="57"/>
      <c r="M110" s="57"/>
      <c r="N110" s="510" t="s">
        <v>799</v>
      </c>
    </row>
    <row r="111" spans="1:23" ht="12.4">
      <c r="A111" s="154" t="s">
        <v>811</v>
      </c>
      <c r="B111" s="122" t="s">
        <v>180</v>
      </c>
      <c r="C111" s="121" t="s">
        <v>1</v>
      </c>
      <c r="D111" s="122"/>
      <c r="E111" s="57"/>
      <c r="F111" s="57"/>
      <c r="G111" s="57"/>
      <c r="H111" s="57"/>
      <c r="I111" s="57"/>
      <c r="J111" s="57"/>
      <c r="K111" s="57"/>
      <c r="L111" s="57"/>
      <c r="M111" s="57"/>
      <c r="N111" s="510" t="s">
        <v>180</v>
      </c>
    </row>
    <row r="112" spans="1:23" ht="12.4">
      <c r="D112" s="122"/>
      <c r="F112" s="141"/>
      <c r="G112" s="141"/>
      <c r="H112" s="141"/>
      <c r="I112" s="141"/>
      <c r="J112" s="141"/>
      <c r="K112" s="141"/>
      <c r="L112" s="141"/>
      <c r="M112" s="141"/>
      <c r="N112" s="398"/>
    </row>
    <row r="113" spans="1:28" ht="12.4">
      <c r="A113" s="156" t="s">
        <v>392</v>
      </c>
      <c r="D113" s="122"/>
      <c r="F113" s="141"/>
      <c r="G113" s="141"/>
      <c r="H113" s="141"/>
      <c r="I113" s="141"/>
      <c r="J113" s="141"/>
      <c r="K113" s="141"/>
      <c r="L113" s="141"/>
      <c r="M113" s="141"/>
      <c r="N113" s="398"/>
    </row>
    <row r="114" spans="1:28" ht="12.4">
      <c r="A114" s="138" t="s">
        <v>390</v>
      </c>
      <c r="B114" s="138" t="s">
        <v>388</v>
      </c>
      <c r="C114" s="121" t="s">
        <v>1</v>
      </c>
      <c r="D114" s="122"/>
      <c r="E114" s="57"/>
      <c r="G114" s="141"/>
      <c r="H114" s="141"/>
      <c r="I114" s="141"/>
      <c r="J114" s="141"/>
      <c r="K114" s="141"/>
      <c r="L114" s="141"/>
      <c r="M114" s="141"/>
      <c r="N114" s="398"/>
    </row>
    <row r="115" spans="1:28" ht="12.4">
      <c r="A115" s="138" t="s">
        <v>391</v>
      </c>
      <c r="B115" s="138" t="s">
        <v>389</v>
      </c>
      <c r="C115" s="121" t="s">
        <v>1</v>
      </c>
      <c r="D115" s="157"/>
      <c r="E115" s="57"/>
      <c r="G115" s="141"/>
      <c r="H115" s="141"/>
      <c r="I115" s="141"/>
      <c r="J115" s="141"/>
      <c r="K115" s="141"/>
      <c r="L115" s="141"/>
      <c r="M115" s="141"/>
      <c r="N115" s="398"/>
    </row>
    <row r="116" spans="1:28" ht="36.75" customHeight="1">
      <c r="A116" s="359" t="s">
        <v>500</v>
      </c>
      <c r="B116" s="359" t="s">
        <v>497</v>
      </c>
      <c r="C116" s="360" t="s">
        <v>499</v>
      </c>
      <c r="E116" s="361"/>
      <c r="F116" s="94"/>
      <c r="G116" s="94"/>
      <c r="H116" s="94">
        <v>0</v>
      </c>
      <c r="I116" s="94">
        <v>-7.4</v>
      </c>
      <c r="J116" s="94"/>
      <c r="K116" s="94"/>
      <c r="L116" s="94"/>
      <c r="M116" s="94"/>
      <c r="N116" s="424" t="s">
        <v>497</v>
      </c>
    </row>
    <row r="117" spans="1:28" ht="12.4">
      <c r="N117" s="398"/>
    </row>
    <row r="118" spans="1:28" ht="12.4">
      <c r="A118" s="156" t="s">
        <v>741</v>
      </c>
      <c r="N118" s="398"/>
    </row>
    <row r="119" spans="1:28" s="418" customFormat="1" ht="13.5">
      <c r="A119" s="418" t="s">
        <v>760</v>
      </c>
      <c r="C119" s="420"/>
      <c r="D119" s="440" t="s">
        <v>761</v>
      </c>
      <c r="E119" s="420"/>
      <c r="F119" s="446"/>
      <c r="G119" s="446"/>
      <c r="H119" s="414"/>
      <c r="I119" s="432"/>
      <c r="J119" s="429"/>
      <c r="K119" s="429"/>
      <c r="L119" s="429"/>
      <c r="M119" s="429"/>
      <c r="N119" s="423" t="s">
        <v>762</v>
      </c>
      <c r="O119" s="420"/>
      <c r="P119" s="420"/>
      <c r="Q119" s="420"/>
    </row>
    <row r="120" spans="1:28" s="138" customFormat="1" ht="13.5">
      <c r="A120" s="419" t="s">
        <v>722</v>
      </c>
      <c r="B120" s="419" t="s">
        <v>718</v>
      </c>
      <c r="C120" s="420"/>
      <c r="D120" s="426" t="s">
        <v>1</v>
      </c>
      <c r="E120" s="415"/>
      <c r="F120" s="412"/>
      <c r="G120" s="412"/>
      <c r="H120" s="413"/>
      <c r="I120" s="432"/>
      <c r="J120" s="427"/>
      <c r="K120" s="427"/>
      <c r="L120" s="427"/>
      <c r="M120" s="427"/>
      <c r="N120" s="424" t="s">
        <v>718</v>
      </c>
      <c r="O120" s="420"/>
      <c r="P120" s="420"/>
      <c r="Q120" s="420"/>
      <c r="R120" s="419"/>
      <c r="S120" s="419"/>
      <c r="T120" s="419"/>
      <c r="U120" s="419"/>
      <c r="V120" s="419"/>
      <c r="W120" s="419"/>
      <c r="X120" s="419"/>
      <c r="Y120" s="419"/>
      <c r="Z120" s="419"/>
      <c r="AA120" s="419"/>
      <c r="AB120" s="419"/>
    </row>
    <row r="121" spans="1:28" s="418" customFormat="1" ht="13.5">
      <c r="A121" s="433" t="s">
        <v>746</v>
      </c>
      <c r="C121" s="420"/>
      <c r="D121" s="420"/>
      <c r="E121" s="420"/>
      <c r="F121" s="429"/>
      <c r="G121" s="429"/>
      <c r="H121" s="429"/>
      <c r="I121" s="432"/>
      <c r="J121" s="432"/>
      <c r="K121" s="432"/>
      <c r="L121" s="432"/>
      <c r="M121" s="432"/>
      <c r="N121" s="424" t="s">
        <v>747</v>
      </c>
      <c r="O121" s="420"/>
      <c r="P121" s="420"/>
      <c r="Q121" s="420"/>
    </row>
    <row r="122" spans="1:28" s="418" customFormat="1" ht="13.5">
      <c r="A122" s="433" t="s">
        <v>752</v>
      </c>
      <c r="C122" s="420"/>
      <c r="D122" s="420"/>
      <c r="E122" s="420"/>
      <c r="F122" s="429"/>
      <c r="G122" s="429"/>
      <c r="H122" s="429"/>
      <c r="I122" s="432"/>
      <c r="J122" s="444"/>
      <c r="K122" s="444"/>
      <c r="L122" s="444"/>
      <c r="M122" s="444"/>
      <c r="N122" s="424" t="s">
        <v>749</v>
      </c>
      <c r="O122" s="420"/>
      <c r="P122" s="420"/>
      <c r="Q122" s="420"/>
    </row>
    <row r="123" spans="1:28" s="418" customFormat="1" ht="13.5">
      <c r="A123" s="433" t="s">
        <v>753</v>
      </c>
      <c r="C123" s="420"/>
      <c r="D123" s="420"/>
      <c r="E123" s="420"/>
      <c r="F123" s="429"/>
      <c r="G123" s="429"/>
      <c r="H123" s="429"/>
      <c r="I123" s="432"/>
      <c r="J123" s="444"/>
      <c r="K123" s="444"/>
      <c r="L123" s="432"/>
      <c r="M123" s="432"/>
      <c r="N123" s="424" t="s">
        <v>751</v>
      </c>
      <c r="O123" s="420"/>
      <c r="P123" s="420"/>
      <c r="Q123" s="420"/>
    </row>
    <row r="124" spans="1:28" s="438" customFormat="1" ht="32.25" customHeight="1">
      <c r="A124" s="433" t="s">
        <v>767</v>
      </c>
      <c r="B124" s="433" t="s">
        <v>768</v>
      </c>
      <c r="C124" s="436"/>
      <c r="D124" s="437"/>
      <c r="E124" s="436"/>
      <c r="F124" s="445"/>
      <c r="G124" s="445"/>
      <c r="H124" s="445"/>
      <c r="I124" s="454"/>
      <c r="J124" s="445"/>
      <c r="K124" s="445"/>
      <c r="L124" s="445"/>
      <c r="M124" s="445"/>
      <c r="N124" s="512" t="s">
        <v>768</v>
      </c>
    </row>
    <row r="125" spans="1:28" s="438" customFormat="1" ht="25.15">
      <c r="A125" s="433" t="s">
        <v>769</v>
      </c>
      <c r="B125" s="433" t="s">
        <v>770</v>
      </c>
      <c r="C125" s="436"/>
      <c r="D125" s="437"/>
      <c r="E125" s="436"/>
      <c r="F125" s="445"/>
      <c r="G125" s="445"/>
      <c r="H125" s="432"/>
      <c r="I125" s="454"/>
      <c r="J125" s="445"/>
      <c r="K125" s="445"/>
      <c r="L125" s="445"/>
      <c r="M125" s="445"/>
      <c r="N125" s="512" t="s">
        <v>770</v>
      </c>
    </row>
    <row r="126" spans="1:28" s="438" customFormat="1" ht="25.15">
      <c r="A126" s="433" t="s">
        <v>771</v>
      </c>
      <c r="B126" s="433" t="s">
        <v>772</v>
      </c>
      <c r="C126" s="436"/>
      <c r="D126" s="437"/>
      <c r="E126" s="436"/>
      <c r="F126" s="445"/>
      <c r="G126" s="445"/>
      <c r="H126" s="454"/>
      <c r="I126" s="454"/>
      <c r="J126" s="445"/>
      <c r="K126" s="445"/>
      <c r="L126" s="445"/>
      <c r="M126" s="445"/>
      <c r="N126" s="512" t="s">
        <v>772</v>
      </c>
    </row>
    <row r="127" spans="1:28" s="438" customFormat="1" ht="25.15">
      <c r="A127" s="433" t="s">
        <v>773</v>
      </c>
      <c r="B127" s="433" t="s">
        <v>774</v>
      </c>
      <c r="C127" s="436"/>
      <c r="D127" s="437"/>
      <c r="E127" s="436"/>
      <c r="F127" s="445"/>
      <c r="G127" s="445"/>
      <c r="H127" s="445"/>
      <c r="I127" s="445"/>
      <c r="J127" s="445"/>
      <c r="K127" s="445"/>
      <c r="L127" s="445"/>
      <c r="M127" s="445"/>
      <c r="N127" s="512" t="s">
        <v>774</v>
      </c>
    </row>
    <row r="128" spans="1:28" ht="12.4">
      <c r="N128" s="398"/>
    </row>
    <row r="129" spans="14:14" ht="12.4">
      <c r="N129" s="398"/>
    </row>
    <row r="130" spans="14:14" ht="12.4">
      <c r="N130" s="398"/>
    </row>
    <row r="131" spans="14:14" ht="12.4">
      <c r="N131" s="398"/>
    </row>
    <row r="132" spans="14:14" ht="12.4">
      <c r="N132" s="398"/>
    </row>
    <row r="133" spans="14:14" ht="12.4"/>
    <row r="134" spans="14:14" ht="12.4"/>
    <row r="135" spans="14:14" ht="12.4"/>
    <row r="136" spans="14:14" ht="12.4"/>
    <row r="137" spans="14:14" ht="12.4"/>
    <row r="138" spans="14:14" ht="12.4"/>
    <row r="139" spans="14:14" ht="12.4"/>
    <row r="140" spans="14:14" ht="12.4"/>
    <row r="141" spans="14:14" ht="12.4"/>
    <row r="142" spans="14:14" ht="12.4"/>
    <row r="143" spans="14:14" ht="12.4"/>
    <row r="144" spans="14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60" orientation="portrait" r:id="rId1"/>
  <headerFooter>
    <oddHeader>&amp;C&amp;A</oddHeader>
    <oddFooter>&amp;L&amp;D &amp;T&amp;C&amp;Z&amp;R&amp;F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N1000034"/>
  <sheetViews>
    <sheetView showGridLines="0" topLeftCell="A52" zoomScale="85" zoomScaleNormal="85" workbookViewId="0">
      <selection activeCell="J98" sqref="J98"/>
    </sheetView>
  </sheetViews>
  <sheetFormatPr defaultColWidth="9" defaultRowHeight="12.4"/>
  <cols>
    <col min="1" max="1" width="30.64453125" style="138" customWidth="1"/>
    <col min="2" max="2" width="10.64453125" style="138" customWidth="1"/>
    <col min="3" max="3" width="7.703125" style="138" customWidth="1"/>
    <col min="4" max="4" width="8.703125" style="138" customWidth="1"/>
    <col min="5" max="5" width="15.46875" style="138" customWidth="1"/>
    <col min="6" max="6" width="11.46875" style="138" customWidth="1"/>
    <col min="7" max="9" width="10" style="138" customWidth="1"/>
    <col min="10" max="13" width="9.64453125" style="138" customWidth="1"/>
    <col min="14" max="14" width="6.703125" style="138" customWidth="1"/>
    <col min="15" max="16384" width="9" style="138"/>
  </cols>
  <sheetData>
    <row r="1" spans="1:14" s="149" customFormat="1" ht="14.65">
      <c r="A1" s="158" t="s">
        <v>136</v>
      </c>
      <c r="B1" s="158"/>
      <c r="C1" s="159"/>
      <c r="D1" s="159"/>
      <c r="E1" s="159"/>
    </row>
    <row r="2" spans="1:14" s="149" customFormat="1" ht="14.65">
      <c r="A2" s="158" t="str">
        <f>CompName</f>
        <v>National Grid Electricity Transmission Plc</v>
      </c>
      <c r="B2" s="158"/>
      <c r="C2" s="159"/>
      <c r="D2" s="159"/>
      <c r="E2" s="159"/>
      <c r="I2" s="474"/>
    </row>
    <row r="3" spans="1:14" s="149" customFormat="1">
      <c r="A3" s="160" t="str">
        <f>RegYr</f>
        <v>Regulatory Year ending 31 March 2019</v>
      </c>
      <c r="B3" s="160"/>
      <c r="C3" s="159"/>
      <c r="D3" s="159"/>
      <c r="E3" s="159"/>
    </row>
    <row r="4" spans="1:14" ht="28.5" customHeight="1">
      <c r="B4" s="161"/>
      <c r="C4" s="162" t="s">
        <v>0</v>
      </c>
      <c r="N4" s="129" t="s">
        <v>127</v>
      </c>
    </row>
    <row r="5" spans="1:14" ht="17.649999999999999">
      <c r="C5" s="163"/>
      <c r="D5" s="163"/>
      <c r="E5" s="163"/>
      <c r="F5" s="161" t="s">
        <v>110</v>
      </c>
      <c r="G5" s="163"/>
      <c r="H5" s="163"/>
      <c r="I5" s="163"/>
      <c r="K5" s="265"/>
    </row>
    <row r="6" spans="1:14" ht="14.25" customHeight="1">
      <c r="A6" s="160" t="s">
        <v>518</v>
      </c>
    </row>
    <row r="7" spans="1:14" ht="14.25"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  <c r="N7" s="166"/>
    </row>
    <row r="8" spans="1:14">
      <c r="A8" s="138" t="s">
        <v>19</v>
      </c>
      <c r="B8" s="140" t="s">
        <v>130</v>
      </c>
      <c r="C8" s="138" t="s">
        <v>1</v>
      </c>
      <c r="F8" s="164">
        <f t="shared" ref="F8:M8" si="0">PU</f>
        <v>1342.2809999999999</v>
      </c>
      <c r="G8" s="164">
        <f t="shared" si="0"/>
        <v>1443.829</v>
      </c>
      <c r="H8" s="164">
        <f t="shared" si="0"/>
        <v>1475.5930000000001</v>
      </c>
      <c r="I8" s="164">
        <f t="shared" si="0"/>
        <v>1571.3869999999999</v>
      </c>
      <c r="J8" s="164">
        <f t="shared" si="0"/>
        <v>1554.942</v>
      </c>
      <c r="K8" s="164">
        <f t="shared" si="0"/>
        <v>1587.627</v>
      </c>
      <c r="L8" s="164">
        <f t="shared" si="0"/>
        <v>1585.2280000000001</v>
      </c>
      <c r="M8" s="164">
        <f t="shared" si="0"/>
        <v>1571.5840000000001</v>
      </c>
      <c r="N8" s="166" t="s">
        <v>130</v>
      </c>
    </row>
    <row r="9" spans="1:14">
      <c r="A9" s="138" t="s">
        <v>18</v>
      </c>
      <c r="B9" s="140" t="s">
        <v>331</v>
      </c>
      <c r="C9" s="138" t="s">
        <v>1</v>
      </c>
      <c r="F9" s="164">
        <f t="shared" ref="F9:M9" si="1">MOD</f>
        <v>0</v>
      </c>
      <c r="G9" s="164">
        <f t="shared" si="1"/>
        <v>-5.4</v>
      </c>
      <c r="H9" s="164">
        <f t="shared" si="1"/>
        <v>-114.4</v>
      </c>
      <c r="I9" s="164">
        <f t="shared" si="1"/>
        <v>-185.4</v>
      </c>
      <c r="J9" s="164">
        <f t="shared" si="1"/>
        <v>-253.3</v>
      </c>
      <c r="K9" s="164">
        <f t="shared" si="1"/>
        <v>-310.2</v>
      </c>
      <c r="L9" s="164">
        <f t="shared" si="1"/>
        <v>-378</v>
      </c>
      <c r="M9" s="164">
        <f t="shared" si="1"/>
        <v>0</v>
      </c>
      <c r="N9" s="166" t="s">
        <v>331</v>
      </c>
    </row>
    <row r="10" spans="1:14">
      <c r="A10" s="138" t="s">
        <v>90</v>
      </c>
      <c r="B10" s="140" t="s">
        <v>364</v>
      </c>
      <c r="C10" s="138" t="s">
        <v>1</v>
      </c>
      <c r="F10" s="164">
        <v>0</v>
      </c>
      <c r="G10" s="164">
        <f t="shared" ref="G10:M10" si="2">TRU</f>
        <v>-0.46827259420819323</v>
      </c>
      <c r="H10" s="164">
        <f t="shared" si="2"/>
        <v>5.1210050803981906</v>
      </c>
      <c r="I10" s="164">
        <f t="shared" si="2"/>
        <v>-19.930810897500088</v>
      </c>
      <c r="J10" s="164">
        <f t="shared" si="2"/>
        <v>-28.93963838921141</v>
      </c>
      <c r="K10" s="164">
        <f t="shared" si="2"/>
        <v>-5.6291206544529286</v>
      </c>
      <c r="L10" s="164">
        <f t="shared" si="2"/>
        <v>3.0091309524170518</v>
      </c>
      <c r="M10" s="164">
        <f t="shared" si="2"/>
        <v>-3.8851212991301742</v>
      </c>
      <c r="N10" s="166" t="s">
        <v>364</v>
      </c>
    </row>
    <row r="11" spans="1:14">
      <c r="A11" s="138" t="s">
        <v>78</v>
      </c>
      <c r="B11" s="140" t="s">
        <v>139</v>
      </c>
      <c r="C11" s="138" t="s">
        <v>140</v>
      </c>
      <c r="F11" s="165">
        <f t="shared" ref="F11:M11" si="3">RPIF</f>
        <v>1.163</v>
      </c>
      <c r="G11" s="165">
        <f t="shared" si="3"/>
        <v>1.2050000000000001</v>
      </c>
      <c r="H11" s="165">
        <f t="shared" si="3"/>
        <v>1.2270000000000001</v>
      </c>
      <c r="I11" s="165">
        <f t="shared" si="3"/>
        <v>1.2330000000000001</v>
      </c>
      <c r="J11" s="165">
        <f t="shared" si="3"/>
        <v>1.2709999999999999</v>
      </c>
      <c r="K11" s="165">
        <f t="shared" si="3"/>
        <v>1.3140000000000001</v>
      </c>
      <c r="L11" s="165">
        <f t="shared" si="3"/>
        <v>1.3580000000000001</v>
      </c>
      <c r="M11" s="165">
        <f t="shared" si="3"/>
        <v>1.31</v>
      </c>
      <c r="N11" s="166" t="s">
        <v>139</v>
      </c>
    </row>
    <row r="12" spans="1:14">
      <c r="A12" s="138" t="s">
        <v>13</v>
      </c>
      <c r="B12" s="140" t="s">
        <v>338</v>
      </c>
      <c r="C12" s="138" t="s">
        <v>1</v>
      </c>
      <c r="F12" s="176">
        <f>SUM(F8:F10)*F11</f>
        <v>1561.072803</v>
      </c>
      <c r="G12" s="176">
        <f t="shared" ref="G12:M12" si="4">SUM(G8:G10)*G11</f>
        <v>1732.7426765239791</v>
      </c>
      <c r="H12" s="176">
        <f>SUM(H8:H10)*H11</f>
        <v>1676.4672842336486</v>
      </c>
      <c r="I12" s="176">
        <f t="shared" si="4"/>
        <v>1684.3472811633824</v>
      </c>
      <c r="J12" s="176">
        <f t="shared" si="4"/>
        <v>1617.6047016073121</v>
      </c>
      <c r="K12" s="176">
        <f t="shared" si="4"/>
        <v>1671.1424134600488</v>
      </c>
      <c r="L12" s="176">
        <f t="shared" si="4"/>
        <v>1643.5020238333825</v>
      </c>
      <c r="M12" s="176">
        <f t="shared" si="4"/>
        <v>2053.6855310981396</v>
      </c>
      <c r="N12" s="166" t="s">
        <v>338</v>
      </c>
    </row>
    <row r="13" spans="1:14">
      <c r="F13" s="166"/>
      <c r="G13" s="166"/>
      <c r="H13" s="166"/>
      <c r="I13" s="166"/>
    </row>
    <row r="16" spans="1:14" ht="17.649999999999999">
      <c r="A16" s="160" t="s">
        <v>519</v>
      </c>
      <c r="F16" s="161" t="s">
        <v>111</v>
      </c>
      <c r="K16" s="265"/>
    </row>
    <row r="17" spans="1:14">
      <c r="C17" s="167"/>
      <c r="D17" s="167"/>
      <c r="E17" s="167"/>
    </row>
    <row r="18" spans="1:14" ht="14.25">
      <c r="D18" s="139">
        <v>2012</v>
      </c>
      <c r="E18" s="139">
        <v>2013</v>
      </c>
      <c r="F18" s="139">
        <v>2014</v>
      </c>
      <c r="G18" s="139">
        <v>2015</v>
      </c>
      <c r="H18" s="139">
        <v>2016</v>
      </c>
      <c r="I18" s="139">
        <v>2017</v>
      </c>
      <c r="J18" s="139">
        <v>2018</v>
      </c>
      <c r="K18" s="139">
        <v>2019</v>
      </c>
      <c r="L18" s="139">
        <v>2020</v>
      </c>
      <c r="M18" s="139">
        <v>2021</v>
      </c>
    </row>
    <row r="19" spans="1:14">
      <c r="B19" s="138" t="s">
        <v>363</v>
      </c>
      <c r="D19" s="168">
        <f t="shared" ref="D19:M19" si="5">RPIA</f>
        <v>1.1000000000000001</v>
      </c>
      <c r="E19" s="168">
        <f t="shared" si="5"/>
        <v>1.1339999999999999</v>
      </c>
      <c r="F19" s="168">
        <f t="shared" si="5"/>
        <v>1.167</v>
      </c>
      <c r="G19" s="168">
        <f t="shared" si="5"/>
        <v>1.19</v>
      </c>
      <c r="H19" s="168">
        <f t="shared" si="5"/>
        <v>1.202</v>
      </c>
      <c r="I19" s="168">
        <f t="shared" si="5"/>
        <v>1.228</v>
      </c>
      <c r="J19" s="168">
        <f t="shared" si="5"/>
        <v>1.274</v>
      </c>
      <c r="K19" s="168">
        <f t="shared" si="5"/>
        <v>1.31</v>
      </c>
      <c r="L19" s="168">
        <f t="shared" si="5"/>
        <v>1.3460000000000001</v>
      </c>
      <c r="M19" s="168">
        <f t="shared" si="5"/>
        <v>1.3839999999999999</v>
      </c>
      <c r="N19" s="166" t="s">
        <v>149</v>
      </c>
    </row>
    <row r="20" spans="1:14">
      <c r="B20" s="138" t="s">
        <v>362</v>
      </c>
      <c r="C20" s="138" t="s">
        <v>198</v>
      </c>
      <c r="E20" s="68">
        <f>0.75*'R5 Input page'!D16+0.25*'R5 Input page'!E16</f>
        <v>0.03</v>
      </c>
      <c r="F20" s="68">
        <f>0.75*'R5 Input page'!E16+0.25*'R5 Input page'!F16</f>
        <v>2.6500000000000003E-2</v>
      </c>
    </row>
    <row r="21" spans="1:14">
      <c r="B21" s="138" t="s">
        <v>362</v>
      </c>
      <c r="C21" s="138" t="s">
        <v>199</v>
      </c>
      <c r="F21" s="68">
        <f>0.75*'R5 Input page'!E17+0.25*'R5 Input page'!F17</f>
        <v>3.1E-2</v>
      </c>
      <c r="G21" s="68">
        <f>0.75*'R5 Input page'!F17+0.25*'R5 Input page'!G17</f>
        <v>3.075E-2</v>
      </c>
    </row>
    <row r="22" spans="1:14">
      <c r="B22" s="138" t="s">
        <v>362</v>
      </c>
      <c r="C22" s="138" t="s">
        <v>200</v>
      </c>
      <c r="G22" s="68">
        <f>0.75*'R5 Input page'!F18+0.25*'R5 Input page'!G18</f>
        <v>2.4750000000000001E-2</v>
      </c>
      <c r="H22" s="68">
        <f>0.75*'R5 Input page'!G18+0.25*'R5 Input page'!H18</f>
        <v>2.6000000000000002E-2</v>
      </c>
    </row>
    <row r="23" spans="1:14">
      <c r="B23" s="138" t="s">
        <v>362</v>
      </c>
      <c r="C23" s="138" t="s">
        <v>201</v>
      </c>
      <c r="H23" s="68">
        <f>0.75*'R5 Input page'!G19+0.25*'R5 Input page'!H19</f>
        <v>1.2750000000000001E-2</v>
      </c>
      <c r="I23" s="68">
        <f>0.75*'R5 Input page'!H19+0.25*'R5 Input page'!I19</f>
        <v>2.325E-2</v>
      </c>
    </row>
    <row r="24" spans="1:14">
      <c r="B24" s="138" t="s">
        <v>362</v>
      </c>
      <c r="C24" s="138" t="s">
        <v>202</v>
      </c>
      <c r="I24" s="68">
        <f>0.75*'R5 Input page'!H20+0.25*'R5 Input page'!I20</f>
        <v>2.2249999999999999E-2</v>
      </c>
      <c r="J24" s="68">
        <f>0.75*'R5 Input page'!I20+0.25*'R5 Input page'!J20</f>
        <v>3.4000000000000002E-2</v>
      </c>
    </row>
    <row r="25" spans="1:14">
      <c r="B25" s="138" t="s">
        <v>362</v>
      </c>
      <c r="C25" s="138" t="s">
        <v>203</v>
      </c>
      <c r="J25" s="68">
        <f>0.75*'R5 Input page'!I21+0.25*'R5 Input page'!J21</f>
        <v>3.5499999999999997E-2</v>
      </c>
      <c r="K25" s="68">
        <f>0.75*'R5 Input page'!J21+0.25*'R5 Input page'!K21</f>
        <v>3.3250000000000002E-2</v>
      </c>
    </row>
    <row r="26" spans="1:14">
      <c r="B26" s="138" t="s">
        <v>362</v>
      </c>
      <c r="C26" s="138" t="s">
        <v>204</v>
      </c>
      <c r="K26" s="68">
        <f>0.75*'R5 Input page'!J22+0.25*'R5 Input page'!K22</f>
        <v>3.3500000000000002E-2</v>
      </c>
      <c r="L26" s="68">
        <f>0.75*'R5 Input page'!K22+0.25*'R5 Input page'!L22</f>
        <v>3.175E-2</v>
      </c>
    </row>
    <row r="27" spans="1:14">
      <c r="B27" s="138" t="s">
        <v>362</v>
      </c>
      <c r="C27" s="138" t="s">
        <v>205</v>
      </c>
      <c r="L27" s="68">
        <f>0.75*'R5 Input page'!K23+0.25*'R5 Input page'!L23</f>
        <v>0</v>
      </c>
      <c r="M27" s="68">
        <f>0.75*'R5 Input page'!L23+0.25*'R5 Input page'!M23</f>
        <v>0</v>
      </c>
    </row>
    <row r="28" spans="1:14">
      <c r="B28" s="138" t="s">
        <v>320</v>
      </c>
      <c r="E28" s="402">
        <f>1.1344</f>
        <v>1.1344000000000001</v>
      </c>
      <c r="F28" s="371">
        <f>ROUND(D19*(1+$E$20)*(1+$F$20),3)</f>
        <v>1.163</v>
      </c>
      <c r="G28" s="371">
        <f>ROUND(E19*(1+$F$21)*(1+$G$21),3)</f>
        <v>1.2050000000000001</v>
      </c>
      <c r="H28" s="174">
        <f>ROUND(F19*(1+$G$22)*(1+$H$22),3)</f>
        <v>1.2270000000000001</v>
      </c>
      <c r="I28" s="174">
        <f>ROUND(G19*(1+$H$23)*(1+$I$23),3)</f>
        <v>1.2330000000000001</v>
      </c>
      <c r="J28" s="174">
        <f>ROUND(H19*(1+$I$24)*(1+$J$24),3)</f>
        <v>1.2709999999999999</v>
      </c>
      <c r="K28" s="174">
        <f>ROUND(I19*(1+$J$25)*(1+$K$25),3)</f>
        <v>1.3140000000000001</v>
      </c>
      <c r="L28" s="174">
        <f>ROUND(J19*(1+$K$26)*(1+$L$26),3)</f>
        <v>1.3580000000000001</v>
      </c>
      <c r="M28" s="174">
        <f>ROUND(K19*(1+$L$27)*(1+$M$27),3)</f>
        <v>1.31</v>
      </c>
      <c r="N28" s="170" t="s">
        <v>139</v>
      </c>
    </row>
    <row r="29" spans="1:14">
      <c r="I29" s="166"/>
    </row>
    <row r="32" spans="1:14">
      <c r="A32" s="137" t="s">
        <v>45</v>
      </c>
    </row>
    <row r="33" spans="1:14" ht="13.5">
      <c r="A33" s="160" t="s">
        <v>520</v>
      </c>
      <c r="M33" s="265"/>
    </row>
    <row r="35" spans="1:14" ht="14.25">
      <c r="E35" s="139">
        <v>2013</v>
      </c>
      <c r="F35" s="139">
        <v>2014</v>
      </c>
      <c r="G35" s="139">
        <v>2015</v>
      </c>
      <c r="H35" s="139">
        <v>2016</v>
      </c>
      <c r="I35" s="139">
        <v>2017</v>
      </c>
      <c r="J35" s="139">
        <v>2018</v>
      </c>
      <c r="K35" s="139">
        <v>2019</v>
      </c>
      <c r="L35" s="139">
        <v>2020</v>
      </c>
      <c r="M35" s="139">
        <v>2021</v>
      </c>
    </row>
    <row r="36" spans="1:14">
      <c r="A36" s="138" t="s">
        <v>46</v>
      </c>
      <c r="B36" s="138" t="s">
        <v>365</v>
      </c>
      <c r="C36" s="284" t="s">
        <v>1</v>
      </c>
      <c r="E36" s="164">
        <f t="shared" ref="E36:M36" si="6">REV</f>
        <v>1212.1752933709447</v>
      </c>
      <c r="F36" s="164">
        <f t="shared" si="6"/>
        <v>1368.3592461014616</v>
      </c>
      <c r="G36" s="164">
        <f t="shared" si="6"/>
        <v>1451.2354154057916</v>
      </c>
      <c r="H36" s="164">
        <f t="shared" si="6"/>
        <v>1279.5696998784401</v>
      </c>
      <c r="I36" s="164">
        <f t="shared" si="6"/>
        <v>1273.7972468760254</v>
      </c>
      <c r="J36" s="164">
        <f t="shared" si="6"/>
        <v>1180.5850241085809</v>
      </c>
      <c r="K36" s="164">
        <f t="shared" si="6"/>
        <v>1179.8542790097529</v>
      </c>
      <c r="L36" s="164">
        <f t="shared" si="6"/>
        <v>1118.5037754405928</v>
      </c>
      <c r="M36" s="164">
        <f t="shared" si="6"/>
        <v>1476.3038016098626</v>
      </c>
      <c r="N36" s="166" t="s">
        <v>365</v>
      </c>
    </row>
    <row r="37" spans="1:14">
      <c r="A37" s="138" t="s">
        <v>47</v>
      </c>
      <c r="B37" s="138" t="s">
        <v>153</v>
      </c>
      <c r="C37" s="284" t="s">
        <v>140</v>
      </c>
      <c r="E37" s="169">
        <f t="shared" ref="E37:M37" si="7">PVF</f>
        <v>1.0475000000000001</v>
      </c>
      <c r="F37" s="169">
        <f t="shared" si="7"/>
        <v>1.04552</v>
      </c>
      <c r="G37" s="169">
        <f t="shared" si="7"/>
        <v>1.0443199999999999</v>
      </c>
      <c r="H37" s="169">
        <f t="shared" si="7"/>
        <v>1.0432999999999999</v>
      </c>
      <c r="I37" s="169">
        <f t="shared" si="7"/>
        <v>1.0422800000000001</v>
      </c>
      <c r="J37" s="169">
        <f t="shared" si="7"/>
        <v>1.04132</v>
      </c>
      <c r="K37" s="169">
        <f t="shared" si="7"/>
        <v>1.0394600000000001</v>
      </c>
      <c r="L37" s="169">
        <f t="shared" si="7"/>
        <v>1.03748</v>
      </c>
      <c r="M37" s="169">
        <f t="shared" si="7"/>
        <v>1.03748</v>
      </c>
      <c r="N37" s="166" t="s">
        <v>153</v>
      </c>
    </row>
    <row r="38" spans="1:14" ht="15.4">
      <c r="A38" s="138" t="s">
        <v>90</v>
      </c>
      <c r="B38" s="140" t="s">
        <v>364</v>
      </c>
      <c r="C38" s="284" t="s">
        <v>1</v>
      </c>
      <c r="F38" s="173">
        <f>IFERROR(((D$19-D$28)/D$19)*D$36*D$37*E$37,"-")</f>
        <v>0</v>
      </c>
      <c r="G38" s="173">
        <f>IFERROR(((E$19-E$28)/E$19)*E$36*E$37*F$37,"-")</f>
        <v>-0.46827259420819323</v>
      </c>
      <c r="H38" s="173">
        <f t="shared" ref="H38:M38" si="8">IFERROR(((F$19-F$28)/F$19)*F$36*F$37*G$37,"-")</f>
        <v>5.1210050803981906</v>
      </c>
      <c r="I38" s="173">
        <f t="shared" si="8"/>
        <v>-19.930810897500088</v>
      </c>
      <c r="J38" s="173">
        <f t="shared" si="8"/>
        <v>-28.93963838921141</v>
      </c>
      <c r="K38" s="173">
        <f t="shared" si="8"/>
        <v>-5.6291206544529286</v>
      </c>
      <c r="L38" s="173">
        <f t="shared" si="8"/>
        <v>3.0091309524170518</v>
      </c>
      <c r="M38" s="173">
        <f t="shared" si="8"/>
        <v>-3.8851212991301742</v>
      </c>
      <c r="N38" s="166" t="s">
        <v>290</v>
      </c>
    </row>
    <row r="39" spans="1:14">
      <c r="F39" s="166"/>
      <c r="G39" s="166"/>
      <c r="H39" s="166"/>
      <c r="I39" s="166"/>
    </row>
    <row r="42" spans="1:14">
      <c r="A42" s="137" t="s">
        <v>315</v>
      </c>
    </row>
    <row r="43" spans="1:14">
      <c r="A43" s="137"/>
    </row>
    <row r="44" spans="1:14">
      <c r="A44" s="137" t="s">
        <v>522</v>
      </c>
      <c r="B44" s="166"/>
      <c r="C44" s="284"/>
    </row>
    <row r="45" spans="1:14">
      <c r="A45" s="137"/>
      <c r="B45" s="166"/>
      <c r="C45" s="284"/>
      <c r="D45" s="138" t="s">
        <v>523</v>
      </c>
    </row>
    <row r="46" spans="1:14">
      <c r="A46" s="137"/>
      <c r="B46" s="166"/>
      <c r="C46" s="285"/>
    </row>
    <row r="47" spans="1:14">
      <c r="A47" s="137"/>
      <c r="B47" s="166"/>
      <c r="C47" s="284"/>
    </row>
    <row r="48" spans="1:14" ht="14.25">
      <c r="A48" s="137"/>
      <c r="B48" s="140"/>
      <c r="C48" s="284"/>
      <c r="E48" s="139">
        <v>2013</v>
      </c>
    </row>
    <row r="49" spans="1:13">
      <c r="A49" s="171" t="s">
        <v>524</v>
      </c>
      <c r="B49" s="140" t="s">
        <v>525</v>
      </c>
      <c r="C49" s="284" t="s">
        <v>1</v>
      </c>
      <c r="E49" s="225">
        <f>'R5 Input page'!E33</f>
        <v>1433.655</v>
      </c>
      <c r="F49" s="286"/>
    </row>
    <row r="50" spans="1:13" ht="24.75">
      <c r="A50" s="275" t="s">
        <v>526</v>
      </c>
      <c r="B50" s="140" t="s">
        <v>527</v>
      </c>
      <c r="C50" s="284" t="s">
        <v>1</v>
      </c>
      <c r="E50" s="225">
        <f>'R5 Input page'!E34</f>
        <v>-4.6959999999999997</v>
      </c>
      <c r="F50" s="286"/>
    </row>
    <row r="51" spans="1:13">
      <c r="A51" s="138" t="s">
        <v>528</v>
      </c>
      <c r="B51" s="140" t="s">
        <v>529</v>
      </c>
      <c r="C51" s="284" t="s">
        <v>1</v>
      </c>
      <c r="E51" s="225">
        <f>SUM('R5 Input page'!E37:E39)</f>
        <v>16.14</v>
      </c>
      <c r="F51" s="286"/>
    </row>
    <row r="52" spans="1:13" ht="24.75">
      <c r="A52" s="287" t="s">
        <v>530</v>
      </c>
      <c r="B52" s="140" t="s">
        <v>531</v>
      </c>
      <c r="C52" s="284" t="s">
        <v>1</v>
      </c>
      <c r="E52" s="225">
        <f>'R5 Input page'!E35</f>
        <v>47.984999999999999</v>
      </c>
      <c r="F52" s="286"/>
    </row>
    <row r="53" spans="1:13">
      <c r="A53" s="138" t="s">
        <v>532</v>
      </c>
      <c r="B53" s="140" t="s">
        <v>533</v>
      </c>
      <c r="C53" s="284" t="s">
        <v>140</v>
      </c>
      <c r="E53" s="225">
        <f>RPIF</f>
        <v>1.1344000000000001</v>
      </c>
      <c r="F53" s="286"/>
    </row>
    <row r="54" spans="1:13">
      <c r="A54" s="171" t="s">
        <v>534</v>
      </c>
      <c r="B54" s="140" t="s">
        <v>535</v>
      </c>
      <c r="C54" s="284" t="s">
        <v>1</v>
      </c>
      <c r="E54" s="225">
        <f>'R5 Input page'!E36</f>
        <v>83.218999999999994</v>
      </c>
      <c r="F54" s="286"/>
    </row>
    <row r="55" spans="1:13">
      <c r="A55" s="171" t="s">
        <v>581</v>
      </c>
      <c r="B55" s="140" t="s">
        <v>585</v>
      </c>
      <c r="C55" s="284" t="s">
        <v>1</v>
      </c>
      <c r="E55" s="225">
        <f>'R5 Input page'!E40</f>
        <v>12.794</v>
      </c>
      <c r="F55" s="286"/>
    </row>
    <row r="56" spans="1:13">
      <c r="A56" s="171" t="s">
        <v>584</v>
      </c>
      <c r="B56" s="140" t="s">
        <v>586</v>
      </c>
      <c r="C56" s="284" t="s">
        <v>1</v>
      </c>
      <c r="E56" s="225">
        <f>'R5 Input page'!E41</f>
        <v>8</v>
      </c>
      <c r="F56" s="286"/>
    </row>
    <row r="57" spans="1:13">
      <c r="A57" s="137"/>
      <c r="B57" s="140" t="s">
        <v>587</v>
      </c>
      <c r="C57" s="284" t="s">
        <v>1</v>
      </c>
      <c r="E57" s="288">
        <f>((E49+E50+E51+E52)/E53)-E54-E55-E56</f>
        <v>1212.1752933709447</v>
      </c>
    </row>
    <row r="58" spans="1:13">
      <c r="A58" s="137"/>
      <c r="E58" s="166"/>
      <c r="H58" s="166"/>
    </row>
    <row r="59" spans="1:13">
      <c r="A59" s="137"/>
    </row>
    <row r="60" spans="1:13">
      <c r="A60" s="137"/>
    </row>
    <row r="61" spans="1:13">
      <c r="A61" s="137" t="s">
        <v>521</v>
      </c>
      <c r="B61" s="137"/>
      <c r="D61" s="138" t="s">
        <v>222</v>
      </c>
      <c r="M61" s="170"/>
    </row>
    <row r="63" spans="1:13">
      <c r="C63" s="166"/>
    </row>
    <row r="65" spans="1:14" ht="14.25">
      <c r="E65" s="139">
        <v>2013</v>
      </c>
      <c r="F65" s="139">
        <v>2014</v>
      </c>
      <c r="G65" s="139">
        <v>2015</v>
      </c>
      <c r="H65" s="139">
        <v>2016</v>
      </c>
      <c r="I65" s="139">
        <v>2017</v>
      </c>
      <c r="J65" s="139">
        <v>2018</v>
      </c>
      <c r="K65" s="139">
        <v>2019</v>
      </c>
      <c r="L65" s="139">
        <v>2020</v>
      </c>
      <c r="M65" s="139">
        <v>2021</v>
      </c>
    </row>
    <row r="66" spans="1:14" ht="15.4">
      <c r="A66" s="138" t="s">
        <v>13</v>
      </c>
      <c r="B66" s="140" t="s">
        <v>454</v>
      </c>
      <c r="C66" s="284" t="s">
        <v>1</v>
      </c>
      <c r="E66" s="309"/>
      <c r="F66" s="164">
        <f t="shared" ref="F66:M66" si="9">BRt</f>
        <v>1561.072803</v>
      </c>
      <c r="G66" s="164">
        <f t="shared" si="9"/>
        <v>1732.7426765239791</v>
      </c>
      <c r="H66" s="164">
        <f t="shared" si="9"/>
        <v>1676.4672842336486</v>
      </c>
      <c r="I66" s="164">
        <f t="shared" si="9"/>
        <v>1684.3472811633824</v>
      </c>
      <c r="J66" s="164">
        <f t="shared" si="9"/>
        <v>1617.6047016073121</v>
      </c>
      <c r="K66" s="164">
        <f t="shared" si="9"/>
        <v>1671.1424134600488</v>
      </c>
      <c r="L66" s="164">
        <f t="shared" si="9"/>
        <v>1643.5020238333825</v>
      </c>
      <c r="M66" s="164">
        <f t="shared" si="9"/>
        <v>2053.6855310981396</v>
      </c>
      <c r="N66" s="166" t="s">
        <v>289</v>
      </c>
    </row>
    <row r="67" spans="1:14" ht="15.4">
      <c r="A67" s="138" t="s">
        <v>24</v>
      </c>
      <c r="B67" s="140" t="s">
        <v>455</v>
      </c>
      <c r="C67" s="284" t="s">
        <v>1</v>
      </c>
      <c r="E67" s="307"/>
      <c r="F67" s="164">
        <f t="shared" ref="F67:M67" si="10">RBt</f>
        <v>0</v>
      </c>
      <c r="G67" s="164">
        <f t="shared" si="10"/>
        <v>0</v>
      </c>
      <c r="H67" s="164">
        <f t="shared" si="10"/>
        <v>-98.405651547784359</v>
      </c>
      <c r="I67" s="164">
        <f t="shared" si="10"/>
        <v>-89.852076363114435</v>
      </c>
      <c r="J67" s="164">
        <f t="shared" si="10"/>
        <v>-92.437547338103911</v>
      </c>
      <c r="K67" s="164">
        <f t="shared" si="10"/>
        <v>-95.384920952602926</v>
      </c>
      <c r="L67" s="164">
        <f t="shared" si="10"/>
        <v>-98.310750802268359</v>
      </c>
      <c r="M67" s="164">
        <f t="shared" si="10"/>
        <v>-94.486130186455526</v>
      </c>
      <c r="N67" s="166" t="s">
        <v>316</v>
      </c>
    </row>
    <row r="68" spans="1:14">
      <c r="A68" s="138" t="s">
        <v>25</v>
      </c>
      <c r="B68" s="140" t="s">
        <v>21</v>
      </c>
      <c r="C68" s="284" t="s">
        <v>1</v>
      </c>
      <c r="E68" s="307"/>
      <c r="F68" s="164">
        <f t="shared" ref="F68:M68" si="11">LFt</f>
        <v>0</v>
      </c>
      <c r="G68" s="164">
        <f t="shared" si="11"/>
        <v>0</v>
      </c>
      <c r="H68" s="164">
        <f t="shared" si="11"/>
        <v>-17.140238055659445</v>
      </c>
      <c r="I68" s="164">
        <f t="shared" si="11"/>
        <v>-17.187480787478108</v>
      </c>
      <c r="J68" s="164">
        <f t="shared" si="11"/>
        <v>-17.682574992429974</v>
      </c>
      <c r="K68" s="164">
        <f t="shared" si="11"/>
        <v>-18.246111548040638</v>
      </c>
      <c r="L68" s="164">
        <f t="shared" si="11"/>
        <v>-18.806072572055577</v>
      </c>
      <c r="M68" s="164">
        <f t="shared" si="11"/>
        <v>-18.074452761662513</v>
      </c>
      <c r="N68" s="166" t="s">
        <v>21</v>
      </c>
    </row>
    <row r="69" spans="1:14">
      <c r="A69" s="138" t="s">
        <v>26</v>
      </c>
      <c r="B69" s="140" t="s">
        <v>22</v>
      </c>
      <c r="C69" s="284" t="s">
        <v>1</v>
      </c>
      <c r="E69" s="307"/>
      <c r="F69" s="164">
        <f t="shared" ref="F69:M69" si="12">TPD</f>
        <v>0</v>
      </c>
      <c r="G69" s="164">
        <f t="shared" si="12"/>
        <v>0</v>
      </c>
      <c r="H69" s="164">
        <f t="shared" si="12"/>
        <v>0</v>
      </c>
      <c r="I69" s="164">
        <f t="shared" si="12"/>
        <v>0</v>
      </c>
      <c r="J69" s="164">
        <f t="shared" si="12"/>
        <v>0</v>
      </c>
      <c r="K69" s="164">
        <f t="shared" si="12"/>
        <v>0</v>
      </c>
      <c r="L69" s="164">
        <f t="shared" si="12"/>
        <v>0</v>
      </c>
      <c r="M69" s="164">
        <f t="shared" si="12"/>
        <v>0</v>
      </c>
      <c r="N69" s="166" t="s">
        <v>22</v>
      </c>
    </row>
    <row r="70" spans="1:14">
      <c r="A70" s="138" t="s">
        <v>87</v>
      </c>
      <c r="B70" s="140" t="s">
        <v>23</v>
      </c>
      <c r="C70" s="284" t="s">
        <v>1</v>
      </c>
      <c r="E70" s="307"/>
      <c r="F70" s="164">
        <f t="shared" ref="F70:M70" si="13">ITC</f>
        <v>0</v>
      </c>
      <c r="G70" s="164">
        <f t="shared" si="13"/>
        <v>0</v>
      </c>
      <c r="H70" s="164">
        <f t="shared" si="13"/>
        <v>-10.717672693862401</v>
      </c>
      <c r="I70" s="164">
        <f t="shared" si="13"/>
        <v>-10.747213248383998</v>
      </c>
      <c r="J70" s="164">
        <f t="shared" si="13"/>
        <v>-11.056792241631998</v>
      </c>
      <c r="K70" s="164">
        <f t="shared" si="13"/>
        <v>-11.409167764915203</v>
      </c>
      <c r="L70" s="164">
        <f t="shared" si="13"/>
        <v>-11.759307532940801</v>
      </c>
      <c r="M70" s="164">
        <f t="shared" si="13"/>
        <v>-11.301830709184001</v>
      </c>
      <c r="N70" s="166" t="s">
        <v>23</v>
      </c>
    </row>
    <row r="71" spans="1:14">
      <c r="A71" s="138" t="s">
        <v>35</v>
      </c>
      <c r="B71" s="140" t="s">
        <v>262</v>
      </c>
      <c r="C71" s="284" t="s">
        <v>1</v>
      </c>
      <c r="E71" s="307"/>
      <c r="F71" s="164">
        <f t="shared" ref="F71:M71" si="14">SFI</f>
        <v>0</v>
      </c>
      <c r="G71" s="164">
        <f>SFI</f>
        <v>0</v>
      </c>
      <c r="H71" s="164">
        <f t="shared" si="14"/>
        <v>0</v>
      </c>
      <c r="I71" s="164">
        <f t="shared" si="14"/>
        <v>0</v>
      </c>
      <c r="J71" s="164">
        <f t="shared" si="14"/>
        <v>0</v>
      </c>
      <c r="K71" s="164">
        <f t="shared" si="14"/>
        <v>0</v>
      </c>
      <c r="L71" s="164">
        <f t="shared" si="14"/>
        <v>0</v>
      </c>
      <c r="M71" s="164">
        <f t="shared" si="14"/>
        <v>0</v>
      </c>
      <c r="N71" s="166" t="s">
        <v>262</v>
      </c>
    </row>
    <row r="72" spans="1:14">
      <c r="A72" s="138" t="s">
        <v>319</v>
      </c>
      <c r="B72" s="140" t="s">
        <v>318</v>
      </c>
      <c r="C72" s="284" t="s">
        <v>1</v>
      </c>
      <c r="E72" s="307"/>
      <c r="F72" s="164">
        <f t="shared" ref="F72:M72" si="15">RI</f>
        <v>14.336550000000001</v>
      </c>
      <c r="G72" s="164">
        <f>RI</f>
        <v>0</v>
      </c>
      <c r="H72" s="164">
        <f t="shared" si="15"/>
        <v>4.124839702504044</v>
      </c>
      <c r="I72" s="164">
        <f t="shared" si="15"/>
        <v>4.0314946337338053</v>
      </c>
      <c r="J72" s="164">
        <f t="shared" si="15"/>
        <v>4.0957786068599829</v>
      </c>
      <c r="K72" s="164">
        <f t="shared" si="15"/>
        <v>4.2263094243253025</v>
      </c>
      <c r="L72" s="164">
        <f t="shared" si="15"/>
        <v>4.3022341222072038</v>
      </c>
      <c r="M72" s="164">
        <f t="shared" si="15"/>
        <v>4.1348626680827039</v>
      </c>
      <c r="N72" s="166" t="s">
        <v>318</v>
      </c>
    </row>
    <row r="73" spans="1:14">
      <c r="A73" s="138" t="s">
        <v>330</v>
      </c>
      <c r="B73" s="140" t="s">
        <v>329</v>
      </c>
      <c r="C73" s="284" t="s">
        <v>1</v>
      </c>
      <c r="E73" s="307"/>
      <c r="F73" s="164">
        <f t="shared" ref="F73:M73" si="16">SubTIRG</f>
        <v>15.992450216000002</v>
      </c>
      <c r="G73" s="164">
        <f t="shared" si="16"/>
        <v>15.995999039999997</v>
      </c>
      <c r="H73" s="164">
        <f t="shared" si="16"/>
        <v>15.703460112000002</v>
      </c>
      <c r="I73" s="164">
        <f t="shared" si="16"/>
        <v>0</v>
      </c>
      <c r="J73" s="164">
        <f t="shared" si="16"/>
        <v>0</v>
      </c>
      <c r="K73" s="164">
        <f t="shared" si="16"/>
        <v>0</v>
      </c>
      <c r="L73" s="164">
        <f t="shared" si="16"/>
        <v>0</v>
      </c>
      <c r="M73" s="164">
        <f t="shared" si="16"/>
        <v>0</v>
      </c>
      <c r="N73" s="166" t="s">
        <v>329</v>
      </c>
    </row>
    <row r="74" spans="1:14">
      <c r="A74" s="138" t="s">
        <v>78</v>
      </c>
      <c r="B74" s="140" t="s">
        <v>139</v>
      </c>
      <c r="C74" s="284" t="s">
        <v>140</v>
      </c>
      <c r="E74" s="310"/>
      <c r="F74" s="165">
        <f t="shared" ref="F74:M74" si="17">RPIF</f>
        <v>1.163</v>
      </c>
      <c r="G74" s="165">
        <f t="shared" si="17"/>
        <v>1.2050000000000001</v>
      </c>
      <c r="H74" s="165">
        <f t="shared" si="17"/>
        <v>1.2270000000000001</v>
      </c>
      <c r="I74" s="165">
        <f t="shared" si="17"/>
        <v>1.2330000000000001</v>
      </c>
      <c r="J74" s="165">
        <f t="shared" si="17"/>
        <v>1.2709999999999999</v>
      </c>
      <c r="K74" s="165">
        <f t="shared" si="17"/>
        <v>1.3140000000000001</v>
      </c>
      <c r="L74" s="165">
        <f t="shared" si="17"/>
        <v>1.3580000000000001</v>
      </c>
      <c r="M74" s="165">
        <f t="shared" si="17"/>
        <v>1.31</v>
      </c>
      <c r="N74" s="166" t="s">
        <v>139</v>
      </c>
    </row>
    <row r="75" spans="1:14" ht="15.4">
      <c r="B75" s="140" t="s">
        <v>456</v>
      </c>
      <c r="C75" s="284" t="s">
        <v>1</v>
      </c>
      <c r="E75" s="308">
        <f>E57</f>
        <v>1212.1752933709447</v>
      </c>
      <c r="F75" s="172">
        <f>SUM(F66:F73)/F74</f>
        <v>1368.3592461014616</v>
      </c>
      <c r="G75" s="172">
        <f>SUM(G66:G73)/G74</f>
        <v>1451.2354154057916</v>
      </c>
      <c r="H75" s="172">
        <f>SUM(H66:H73)/H74</f>
        <v>1279.5696998784401</v>
      </c>
      <c r="I75" s="172">
        <f t="shared" ref="I75:M75" si="18">SUM(I66:I73)/I74</f>
        <v>1273.7972468760254</v>
      </c>
      <c r="J75" s="172">
        <f t="shared" si="18"/>
        <v>1180.5850241085809</v>
      </c>
      <c r="K75" s="172">
        <f t="shared" si="18"/>
        <v>1179.8542790097529</v>
      </c>
      <c r="L75" s="172">
        <f t="shared" si="18"/>
        <v>1118.5037754405928</v>
      </c>
      <c r="M75" s="172">
        <f t="shared" si="18"/>
        <v>1476.3038016098626</v>
      </c>
      <c r="N75" s="166" t="s">
        <v>317</v>
      </c>
    </row>
    <row r="76" spans="1:14">
      <c r="C76" s="284"/>
      <c r="E76" s="166"/>
      <c r="F76" s="166"/>
      <c r="G76" s="166"/>
      <c r="H76" s="166"/>
    </row>
    <row r="1000029" spans="1:1">
      <c r="A1000029" s="138" t="s">
        <v>7</v>
      </c>
    </row>
    <row r="1000030" spans="1:1">
      <c r="A1000030" s="138" t="s">
        <v>2</v>
      </c>
    </row>
    <row r="1000031" spans="1:1">
      <c r="A1000031" s="138" t="s">
        <v>6</v>
      </c>
    </row>
    <row r="1000032" spans="1:1">
      <c r="A1000032" s="138" t="s">
        <v>3</v>
      </c>
    </row>
    <row r="1000033" spans="1:1">
      <c r="A1000033" s="138" t="s">
        <v>4</v>
      </c>
    </row>
    <row r="1000034" spans="1:1">
      <c r="A1000034" s="138" t="s">
        <v>5</v>
      </c>
    </row>
  </sheetData>
  <pageMargins left="0.15748031496062992" right="0.15748031496062992" top="0.39370078740157483" bottom="0.47244094488188981" header="0.19685039370078741" footer="0.23622047244094491"/>
  <pageSetup paperSize="8" scale="79" orientation="portrait" r:id="rId1"/>
  <headerFooter>
    <oddFooter>&amp;C&amp;D&amp;R&amp;F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21"/>
  <sheetViews>
    <sheetView showGridLines="0" zoomScale="85" zoomScaleNormal="85" workbookViewId="0">
      <selection activeCell="I18" sqref="I18:M18"/>
    </sheetView>
  </sheetViews>
  <sheetFormatPr defaultColWidth="9" defaultRowHeight="12.4"/>
  <cols>
    <col min="1" max="1" width="39.3515625" style="138" customWidth="1"/>
    <col min="2" max="2" width="8.1171875" style="138" customWidth="1"/>
    <col min="3" max="4" width="7.17578125" style="138" customWidth="1"/>
    <col min="5" max="5" width="8.3515625" style="138" customWidth="1"/>
    <col min="6" max="7" width="9" style="138"/>
    <col min="8" max="8" width="9.5859375" style="138" bestFit="1" customWidth="1"/>
    <col min="9" max="13" width="10.703125" style="138" bestFit="1" customWidth="1"/>
    <col min="14" max="14" width="6" style="138" customWidth="1"/>
    <col min="15" max="16384" width="9" style="138"/>
  </cols>
  <sheetData>
    <row r="1" spans="1:19" s="149" customFormat="1" ht="14.65">
      <c r="A1" s="158" t="s">
        <v>137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7.649999999999999">
      <c r="A5" s="178" t="s">
        <v>32</v>
      </c>
      <c r="B5" s="163"/>
      <c r="C5" s="163"/>
      <c r="D5" s="163"/>
      <c r="E5" s="163"/>
      <c r="G5" s="163"/>
      <c r="H5" s="163"/>
      <c r="I5" s="163"/>
    </row>
    <row r="6" spans="1:19" ht="17.649999999999999">
      <c r="A6" s="161" t="s">
        <v>225</v>
      </c>
      <c r="B6" s="163"/>
      <c r="C6" s="163"/>
      <c r="D6" s="163"/>
      <c r="E6" s="163"/>
      <c r="F6" s="163"/>
      <c r="G6" s="163"/>
      <c r="H6" s="265"/>
      <c r="I6" s="475"/>
    </row>
    <row r="7" spans="1:19" ht="13.5">
      <c r="A7" s="289" t="s">
        <v>536</v>
      </c>
      <c r="B7" s="163"/>
      <c r="C7" s="163"/>
      <c r="D7" s="163"/>
      <c r="E7" s="163"/>
      <c r="F7" s="163"/>
      <c r="G7" s="163"/>
      <c r="H7" s="163"/>
      <c r="I7" s="163"/>
    </row>
    <row r="8" spans="1:19" ht="14.25" customHeight="1">
      <c r="B8" s="143"/>
      <c r="C8" s="143"/>
      <c r="D8" s="143"/>
      <c r="F8" s="139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 ht="12" customHeight="1">
      <c r="A9" s="140" t="s">
        <v>24</v>
      </c>
      <c r="B9" s="140" t="s">
        <v>342</v>
      </c>
      <c r="C9" s="140" t="s">
        <v>1</v>
      </c>
      <c r="D9" s="140"/>
      <c r="F9" s="179">
        <f t="shared" ref="F9:M9" si="0">RB</f>
        <v>0</v>
      </c>
      <c r="G9" s="179">
        <f t="shared" si="0"/>
        <v>0</v>
      </c>
      <c r="H9" s="179">
        <f t="shared" si="0"/>
        <v>-98.405651547784359</v>
      </c>
      <c r="I9" s="179">
        <f t="shared" si="0"/>
        <v>-89.852076363114435</v>
      </c>
      <c r="J9" s="179">
        <f t="shared" si="0"/>
        <v>-92.437547338103911</v>
      </c>
      <c r="K9" s="179">
        <f t="shared" si="0"/>
        <v>-95.384920952602926</v>
      </c>
      <c r="L9" s="179">
        <f t="shared" si="0"/>
        <v>-98.310750802268359</v>
      </c>
      <c r="M9" s="179">
        <f t="shared" si="0"/>
        <v>-94.486130186455526</v>
      </c>
      <c r="N9" s="166" t="s">
        <v>342</v>
      </c>
      <c r="O9" s="180"/>
    </row>
    <row r="10" spans="1:19" ht="12" customHeight="1">
      <c r="A10" s="140" t="s">
        <v>25</v>
      </c>
      <c r="B10" s="140" t="s">
        <v>163</v>
      </c>
      <c r="C10" s="140" t="s">
        <v>1</v>
      </c>
      <c r="D10" s="140"/>
      <c r="F10" s="179">
        <f t="shared" ref="F10:M10" si="1">LF</f>
        <v>0</v>
      </c>
      <c r="G10" s="179">
        <f t="shared" si="1"/>
        <v>0</v>
      </c>
      <c r="H10" s="179">
        <f t="shared" si="1"/>
        <v>-17.140238055659445</v>
      </c>
      <c r="I10" s="179">
        <f t="shared" si="1"/>
        <v>-17.187480787478108</v>
      </c>
      <c r="J10" s="179">
        <f t="shared" si="1"/>
        <v>-17.682574992429974</v>
      </c>
      <c r="K10" s="179">
        <f t="shared" si="1"/>
        <v>-18.246111548040638</v>
      </c>
      <c r="L10" s="179">
        <f t="shared" si="1"/>
        <v>-18.806072572055577</v>
      </c>
      <c r="M10" s="179">
        <f t="shared" si="1"/>
        <v>-18.074452761662513</v>
      </c>
      <c r="N10" s="166" t="s">
        <v>163</v>
      </c>
      <c r="O10" s="180"/>
    </row>
    <row r="11" spans="1:19" ht="12" customHeight="1">
      <c r="A11" s="140" t="s">
        <v>26</v>
      </c>
      <c r="B11" s="140" t="s">
        <v>160</v>
      </c>
      <c r="C11" s="140" t="s">
        <v>1</v>
      </c>
      <c r="D11" s="140"/>
      <c r="F11" s="165">
        <f t="shared" ref="F11:M11" si="2">TPD</f>
        <v>0</v>
      </c>
      <c r="G11" s="165">
        <f t="shared" si="2"/>
        <v>0</v>
      </c>
      <c r="H11" s="165">
        <f t="shared" si="2"/>
        <v>0</v>
      </c>
      <c r="I11" s="165">
        <f t="shared" si="2"/>
        <v>0</v>
      </c>
      <c r="J11" s="165">
        <f t="shared" si="2"/>
        <v>0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6" t="s">
        <v>160</v>
      </c>
      <c r="O11" s="180"/>
    </row>
    <row r="12" spans="1:19" ht="12" customHeight="1">
      <c r="A12" s="140" t="s">
        <v>87</v>
      </c>
      <c r="B12" s="140" t="s">
        <v>157</v>
      </c>
      <c r="C12" s="140" t="s">
        <v>1</v>
      </c>
      <c r="D12" s="140"/>
      <c r="F12" s="165">
        <f t="shared" ref="F12:M12" si="3">ITC</f>
        <v>0</v>
      </c>
      <c r="G12" s="165">
        <f t="shared" si="3"/>
        <v>0</v>
      </c>
      <c r="H12" s="165">
        <f t="shared" si="3"/>
        <v>-10.717672693862401</v>
      </c>
      <c r="I12" s="165">
        <f t="shared" si="3"/>
        <v>-10.747213248383998</v>
      </c>
      <c r="J12" s="165">
        <f t="shared" si="3"/>
        <v>-11.056792241631998</v>
      </c>
      <c r="K12" s="165">
        <f t="shared" si="3"/>
        <v>-11.409167764915203</v>
      </c>
      <c r="L12" s="165">
        <f t="shared" si="3"/>
        <v>-11.759307532940801</v>
      </c>
      <c r="M12" s="165">
        <f t="shared" si="3"/>
        <v>-11.301830709184001</v>
      </c>
      <c r="N12" s="166" t="s">
        <v>157</v>
      </c>
      <c r="O12" s="180"/>
    </row>
    <row r="13" spans="1:19">
      <c r="A13" s="140" t="s">
        <v>31</v>
      </c>
      <c r="B13" s="140" t="s">
        <v>343</v>
      </c>
      <c r="C13" s="140" t="s">
        <v>1</v>
      </c>
      <c r="D13" s="140"/>
      <c r="F13" s="165">
        <f t="shared" ref="F13:M13" si="4">TERMt</f>
        <v>0</v>
      </c>
      <c r="G13" s="165">
        <f t="shared" si="4"/>
        <v>0</v>
      </c>
      <c r="H13" s="165">
        <f t="shared" si="4"/>
        <v>0</v>
      </c>
      <c r="I13" s="165">
        <f t="shared" si="4"/>
        <v>0</v>
      </c>
      <c r="J13" s="165">
        <f t="shared" si="4"/>
        <v>0</v>
      </c>
      <c r="K13" s="165">
        <f t="shared" si="4"/>
        <v>0</v>
      </c>
      <c r="L13" s="165">
        <f t="shared" si="4"/>
        <v>0</v>
      </c>
      <c r="M13" s="165">
        <f t="shared" si="4"/>
        <v>0</v>
      </c>
      <c r="N13" s="166" t="s">
        <v>343</v>
      </c>
      <c r="O13" s="180"/>
    </row>
    <row r="14" spans="1:19" ht="12" customHeight="1">
      <c r="A14" s="140" t="s">
        <v>28</v>
      </c>
      <c r="B14" s="140" t="s">
        <v>344</v>
      </c>
      <c r="C14" s="140" t="s">
        <v>1</v>
      </c>
      <c r="D14" s="140"/>
      <c r="F14" s="165">
        <f t="shared" ref="F14:M14" si="5">TSP</f>
        <v>0</v>
      </c>
      <c r="G14" s="165">
        <f t="shared" si="5"/>
        <v>0</v>
      </c>
      <c r="H14" s="165">
        <f t="shared" si="5"/>
        <v>0</v>
      </c>
      <c r="I14" s="165">
        <f t="shared" si="5"/>
        <v>0</v>
      </c>
      <c r="J14" s="165">
        <f t="shared" si="5"/>
        <v>0</v>
      </c>
      <c r="K14" s="165">
        <f t="shared" si="5"/>
        <v>0</v>
      </c>
      <c r="L14" s="165">
        <f t="shared" si="5"/>
        <v>0</v>
      </c>
      <c r="M14" s="165">
        <f t="shared" si="5"/>
        <v>0</v>
      </c>
      <c r="N14" s="166" t="s">
        <v>344</v>
      </c>
      <c r="O14" s="180"/>
    </row>
    <row r="15" spans="1:19" ht="12" customHeight="1">
      <c r="A15" s="140" t="s">
        <v>29</v>
      </c>
      <c r="B15" s="140" t="s">
        <v>345</v>
      </c>
      <c r="C15" s="140" t="s">
        <v>1</v>
      </c>
      <c r="D15" s="140"/>
      <c r="F15" s="165">
        <f t="shared" ref="F15:M15" si="6">TSH</f>
        <v>0</v>
      </c>
      <c r="G15" s="165">
        <f t="shared" si="6"/>
        <v>0</v>
      </c>
      <c r="H15" s="165">
        <f t="shared" si="6"/>
        <v>0</v>
      </c>
      <c r="I15" s="165">
        <f t="shared" si="6"/>
        <v>0</v>
      </c>
      <c r="J15" s="165">
        <f t="shared" si="6"/>
        <v>0</v>
      </c>
      <c r="K15" s="165">
        <f t="shared" si="6"/>
        <v>0</v>
      </c>
      <c r="L15" s="165">
        <f t="shared" si="6"/>
        <v>0</v>
      </c>
      <c r="M15" s="165">
        <f t="shared" si="6"/>
        <v>0</v>
      </c>
      <c r="N15" s="166" t="s">
        <v>345</v>
      </c>
      <c r="O15" s="180"/>
    </row>
    <row r="16" spans="1:19" ht="12" customHeight="1">
      <c r="A16" s="140" t="s">
        <v>27</v>
      </c>
      <c r="B16" s="140" t="s">
        <v>346</v>
      </c>
      <c r="C16" s="140" t="s">
        <v>1</v>
      </c>
      <c r="D16" s="140"/>
      <c r="F16" s="165">
        <f t="shared" ref="F16:M16" si="7">TOFTO</f>
        <v>0</v>
      </c>
      <c r="G16" s="165">
        <f t="shared" si="7"/>
        <v>0</v>
      </c>
      <c r="H16" s="165">
        <f t="shared" si="7"/>
        <v>0</v>
      </c>
      <c r="I16" s="165">
        <f t="shared" si="7"/>
        <v>0</v>
      </c>
      <c r="J16" s="165">
        <f t="shared" si="7"/>
        <v>0</v>
      </c>
      <c r="K16" s="165">
        <f t="shared" si="7"/>
        <v>0</v>
      </c>
      <c r="L16" s="165">
        <f t="shared" si="7"/>
        <v>0</v>
      </c>
      <c r="M16" s="165">
        <f t="shared" si="7"/>
        <v>0</v>
      </c>
      <c r="N16" s="166" t="s">
        <v>346</v>
      </c>
      <c r="O16" s="180"/>
    </row>
    <row r="17" spans="1:15" ht="12" customHeight="1">
      <c r="A17" s="140" t="s">
        <v>30</v>
      </c>
      <c r="B17" s="140" t="s">
        <v>347</v>
      </c>
      <c r="C17" s="140" t="s">
        <v>1</v>
      </c>
      <c r="D17" s="140"/>
      <c r="F17" s="165">
        <f t="shared" ref="F17:M17" si="8">OFET</f>
        <v>0</v>
      </c>
      <c r="G17" s="165">
        <f t="shared" si="8"/>
        <v>0</v>
      </c>
      <c r="H17" s="165">
        <f t="shared" si="8"/>
        <v>0</v>
      </c>
      <c r="I17" s="165">
        <f t="shared" si="8"/>
        <v>0</v>
      </c>
      <c r="J17" s="165">
        <f t="shared" si="8"/>
        <v>0</v>
      </c>
      <c r="K17" s="165">
        <f t="shared" si="8"/>
        <v>0</v>
      </c>
      <c r="L17" s="165">
        <f t="shared" si="8"/>
        <v>0</v>
      </c>
      <c r="M17" s="165">
        <f t="shared" si="8"/>
        <v>0</v>
      </c>
      <c r="N17" s="166" t="s">
        <v>347</v>
      </c>
      <c r="O17" s="180"/>
    </row>
    <row r="18" spans="1:15">
      <c r="A18" s="140" t="s">
        <v>20</v>
      </c>
      <c r="B18" s="140" t="s">
        <v>348</v>
      </c>
      <c r="C18" s="140" t="s">
        <v>1</v>
      </c>
      <c r="D18" s="140"/>
      <c r="F18" s="175">
        <f>SUM(F9:F17)</f>
        <v>0</v>
      </c>
      <c r="G18" s="175">
        <f>SUM(G9:G17)</f>
        <v>0</v>
      </c>
      <c r="H18" s="175">
        <f>SUM(H9:H17)</f>
        <v>-126.26356229730621</v>
      </c>
      <c r="I18" s="175">
        <f>SUM(I9:I17)</f>
        <v>-117.78677039897654</v>
      </c>
      <c r="J18" s="175">
        <f>SUM(J9:J17)</f>
        <v>-121.17691457216588</v>
      </c>
      <c r="K18" s="175">
        <f t="shared" ref="K18:M18" si="9">SUM(K9:K17)</f>
        <v>-125.04020026555875</v>
      </c>
      <c r="L18" s="175">
        <f t="shared" si="9"/>
        <v>-128.87613090726472</v>
      </c>
      <c r="M18" s="175">
        <f t="shared" si="9"/>
        <v>-123.86241365730204</v>
      </c>
      <c r="N18" s="166" t="s">
        <v>348</v>
      </c>
    </row>
    <row r="19" spans="1:15">
      <c r="A19" s="140"/>
      <c r="B19" s="140"/>
      <c r="C19" s="140"/>
      <c r="D19" s="140"/>
      <c r="F19" s="166"/>
      <c r="G19" s="166"/>
      <c r="H19" s="166"/>
      <c r="I19" s="166"/>
    </row>
    <row r="20" spans="1:15">
      <c r="A20" s="140"/>
      <c r="B20" s="140"/>
      <c r="C20" s="140"/>
      <c r="D20" s="140"/>
    </row>
    <row r="21" spans="1:15" ht="14.25" customHeight="1">
      <c r="A21" s="144" t="s">
        <v>86</v>
      </c>
      <c r="B21" s="140"/>
      <c r="C21" s="140"/>
      <c r="D21" s="140"/>
      <c r="G21" s="161"/>
      <c r="L21" s="265"/>
    </row>
    <row r="22" spans="1:15" ht="20.25" customHeight="1">
      <c r="A22" s="289" t="s">
        <v>537</v>
      </c>
      <c r="B22" s="140"/>
      <c r="C22" s="140"/>
      <c r="D22" s="140"/>
    </row>
    <row r="23" spans="1:15" ht="14.25">
      <c r="A23" s="140"/>
      <c r="B23" s="140"/>
      <c r="C23" s="140"/>
      <c r="D23" s="140"/>
      <c r="F23" s="139">
        <v>2014</v>
      </c>
      <c r="G23" s="139">
        <v>2015</v>
      </c>
      <c r="H23" s="139">
        <v>2016</v>
      </c>
      <c r="I23" s="139">
        <v>2017</v>
      </c>
      <c r="J23" s="139">
        <v>2018</v>
      </c>
      <c r="K23" s="139">
        <v>2019</v>
      </c>
      <c r="L23" s="139">
        <v>2020</v>
      </c>
      <c r="M23" s="139">
        <v>2021</v>
      </c>
    </row>
    <row r="24" spans="1:15">
      <c r="A24" s="140" t="s">
        <v>85</v>
      </c>
      <c r="B24" s="140" t="s">
        <v>145</v>
      </c>
      <c r="C24" s="140" t="s">
        <v>1</v>
      </c>
      <c r="D24" s="140"/>
      <c r="F24" s="165">
        <f t="shared" ref="F24:M24" si="10">RBA</f>
        <v>0</v>
      </c>
      <c r="G24" s="165">
        <f t="shared" si="10"/>
        <v>0</v>
      </c>
      <c r="H24" s="165">
        <f t="shared" si="10"/>
        <v>0</v>
      </c>
      <c r="I24" s="165">
        <f t="shared" si="10"/>
        <v>0</v>
      </c>
      <c r="J24" s="165">
        <f t="shared" si="10"/>
        <v>0</v>
      </c>
      <c r="K24" s="165">
        <f t="shared" si="10"/>
        <v>0</v>
      </c>
      <c r="L24" s="165">
        <f t="shared" si="10"/>
        <v>0</v>
      </c>
      <c r="M24" s="165">
        <f t="shared" si="10"/>
        <v>0</v>
      </c>
      <c r="N24" s="166" t="s">
        <v>145</v>
      </c>
    </row>
    <row r="25" spans="1:15">
      <c r="A25" s="140" t="s">
        <v>150</v>
      </c>
      <c r="B25" s="140" t="s">
        <v>149</v>
      </c>
      <c r="C25" s="140" t="s">
        <v>538</v>
      </c>
      <c r="D25" s="140"/>
      <c r="F25" s="165">
        <f t="shared" ref="F25:M25" si="11">RPIA</f>
        <v>1.167</v>
      </c>
      <c r="G25" s="165">
        <f t="shared" si="11"/>
        <v>1.19</v>
      </c>
      <c r="H25" s="165">
        <f t="shared" si="11"/>
        <v>1.202</v>
      </c>
      <c r="I25" s="165">
        <f t="shared" si="11"/>
        <v>1.228</v>
      </c>
      <c r="J25" s="165">
        <f t="shared" si="11"/>
        <v>1.274</v>
      </c>
      <c r="K25" s="165">
        <f t="shared" si="11"/>
        <v>1.31</v>
      </c>
      <c r="L25" s="165">
        <f t="shared" si="11"/>
        <v>1.3460000000000001</v>
      </c>
      <c r="M25" s="165">
        <f t="shared" si="11"/>
        <v>1.3839999999999999</v>
      </c>
      <c r="N25" s="166" t="s">
        <v>149</v>
      </c>
    </row>
    <row r="26" spans="1:15">
      <c r="A26" s="140" t="s">
        <v>84</v>
      </c>
      <c r="B26" s="140" t="s">
        <v>144</v>
      </c>
      <c r="C26" s="140" t="s">
        <v>1</v>
      </c>
      <c r="D26" s="140"/>
      <c r="F26" s="165">
        <f t="shared" ref="F26:M26" si="12">RBE</f>
        <v>73.453000000000003</v>
      </c>
      <c r="G26" s="165">
        <f t="shared" si="12"/>
        <v>66.884</v>
      </c>
      <c r="H26" s="165">
        <f t="shared" si="12"/>
        <v>66.882000000000005</v>
      </c>
      <c r="I26" s="165">
        <f t="shared" si="12"/>
        <v>66.882999999999996</v>
      </c>
      <c r="J26" s="165">
        <f t="shared" si="12"/>
        <v>66.882000000000005</v>
      </c>
      <c r="K26" s="165">
        <f t="shared" si="12"/>
        <v>66.882000000000005</v>
      </c>
      <c r="L26" s="165">
        <f t="shared" si="12"/>
        <v>66.882000000000005</v>
      </c>
      <c r="M26" s="165">
        <f t="shared" si="12"/>
        <v>66.882000000000005</v>
      </c>
      <c r="N26" s="166" t="s">
        <v>144</v>
      </c>
    </row>
    <row r="27" spans="1:15">
      <c r="A27" s="140" t="s">
        <v>154</v>
      </c>
      <c r="B27" s="140" t="s">
        <v>153</v>
      </c>
      <c r="C27" s="140" t="s">
        <v>140</v>
      </c>
      <c r="D27" s="140"/>
      <c r="F27" s="165">
        <f t="shared" ref="F27:M27" si="13">PVF</f>
        <v>1.04552</v>
      </c>
      <c r="G27" s="165">
        <f t="shared" si="13"/>
        <v>1.0443199999999999</v>
      </c>
      <c r="H27" s="165">
        <f>PVF</f>
        <v>1.0432999999999999</v>
      </c>
      <c r="I27" s="165">
        <f t="shared" si="13"/>
        <v>1.0422800000000001</v>
      </c>
      <c r="J27" s="165">
        <f t="shared" si="13"/>
        <v>1.04132</v>
      </c>
      <c r="K27" s="165">
        <f t="shared" si="13"/>
        <v>1.0394600000000001</v>
      </c>
      <c r="L27" s="165">
        <f t="shared" si="13"/>
        <v>1.03748</v>
      </c>
      <c r="M27" s="165">
        <f t="shared" si="13"/>
        <v>1.03748</v>
      </c>
      <c r="N27" s="166" t="s">
        <v>153</v>
      </c>
    </row>
    <row r="28" spans="1:15">
      <c r="A28" s="140" t="s">
        <v>78</v>
      </c>
      <c r="B28" s="140" t="s">
        <v>139</v>
      </c>
      <c r="C28" s="140" t="s">
        <v>538</v>
      </c>
      <c r="D28" s="140"/>
      <c r="F28" s="165">
        <f t="shared" ref="F28:M28" si="14">RPIF</f>
        <v>1.163</v>
      </c>
      <c r="G28" s="165">
        <f t="shared" si="14"/>
        <v>1.2050000000000001</v>
      </c>
      <c r="H28" s="165">
        <f t="shared" si="14"/>
        <v>1.2270000000000001</v>
      </c>
      <c r="I28" s="165">
        <f t="shared" si="14"/>
        <v>1.2330000000000001</v>
      </c>
      <c r="J28" s="165">
        <f t="shared" si="14"/>
        <v>1.2709999999999999</v>
      </c>
      <c r="K28" s="165">
        <f t="shared" si="14"/>
        <v>1.3140000000000001</v>
      </c>
      <c r="L28" s="165">
        <f t="shared" si="14"/>
        <v>1.3580000000000001</v>
      </c>
      <c r="M28" s="165">
        <f t="shared" si="14"/>
        <v>1.31</v>
      </c>
      <c r="N28" s="166" t="s">
        <v>139</v>
      </c>
    </row>
    <row r="29" spans="1:15">
      <c r="A29" s="140" t="s">
        <v>24</v>
      </c>
      <c r="B29" s="140" t="s">
        <v>342</v>
      </c>
      <c r="C29" s="140" t="s">
        <v>1</v>
      </c>
      <c r="D29" s="140"/>
      <c r="F29" s="175">
        <f>IFERROR(((D24/D25)-D26)*D27*E27*F28,0)</f>
        <v>0</v>
      </c>
      <c r="G29" s="175">
        <f t="shared" ref="G29" si="15">IFERROR(((E24/E25)-E26)*E27*F27*G28,0)</f>
        <v>0</v>
      </c>
      <c r="H29" s="175">
        <f>IFERROR(((F24/F25)-F26)*F27*G27*H28,0)</f>
        <v>-98.405651547784359</v>
      </c>
      <c r="I29" s="175">
        <f>IFERROR(((G24/G25)-G26)*G27*H27*I28,0)</f>
        <v>-89.852076363114435</v>
      </c>
      <c r="J29" s="175">
        <f t="shared" ref="J29:M29" si="16">IFERROR(((H24/H25)-H26)*H27*I27*J28,0)</f>
        <v>-92.437547338103911</v>
      </c>
      <c r="K29" s="175">
        <f t="shared" si="16"/>
        <v>-95.384920952602926</v>
      </c>
      <c r="L29" s="175">
        <f t="shared" si="16"/>
        <v>-98.310750802268359</v>
      </c>
      <c r="M29" s="175">
        <f t="shared" si="16"/>
        <v>-94.486130186455526</v>
      </c>
      <c r="N29" s="166" t="s">
        <v>342</v>
      </c>
    </row>
    <row r="30" spans="1:15" ht="13.5">
      <c r="A30" s="143"/>
      <c r="B30" s="143"/>
      <c r="C30" s="143"/>
      <c r="D30" s="143"/>
      <c r="F30" s="166"/>
      <c r="G30" s="166"/>
      <c r="H30" s="166"/>
      <c r="I30" s="166"/>
      <c r="J30" s="181"/>
      <c r="K30" s="181"/>
      <c r="L30" s="181"/>
      <c r="M30" s="181"/>
    </row>
    <row r="31" spans="1:15" ht="13.5">
      <c r="A31" s="143"/>
      <c r="B31" s="143"/>
      <c r="C31" s="143"/>
      <c r="D31" s="143"/>
      <c r="F31" s="181"/>
      <c r="G31" s="181"/>
      <c r="H31" s="181"/>
      <c r="I31" s="181"/>
      <c r="J31" s="181"/>
      <c r="K31" s="181"/>
      <c r="L31" s="181"/>
      <c r="M31" s="181"/>
    </row>
    <row r="32" spans="1:15" ht="15.4">
      <c r="A32" s="144" t="s">
        <v>393</v>
      </c>
      <c r="B32" s="140"/>
      <c r="C32" s="140"/>
      <c r="D32" s="140"/>
      <c r="G32" s="161"/>
      <c r="L32" s="265"/>
    </row>
    <row r="33" spans="1:14" ht="17.25" customHeight="1">
      <c r="A33" s="289" t="s">
        <v>539</v>
      </c>
      <c r="B33" s="140"/>
      <c r="C33" s="140"/>
      <c r="D33" s="140"/>
    </row>
    <row r="34" spans="1:14" ht="17.25" customHeight="1">
      <c r="A34" s="140"/>
      <c r="B34" s="140"/>
      <c r="C34" s="140"/>
      <c r="D34" s="140"/>
      <c r="F34" s="139">
        <v>2014</v>
      </c>
      <c r="G34" s="139">
        <v>2015</v>
      </c>
      <c r="H34" s="139">
        <v>2016</v>
      </c>
      <c r="I34" s="139">
        <v>2017</v>
      </c>
      <c r="J34" s="139">
        <v>2018</v>
      </c>
      <c r="K34" s="139">
        <v>2019</v>
      </c>
      <c r="L34" s="139">
        <v>2020</v>
      </c>
      <c r="M34" s="139">
        <v>2021</v>
      </c>
    </row>
    <row r="35" spans="1:14">
      <c r="A35" s="140" t="s">
        <v>77</v>
      </c>
      <c r="B35" s="140" t="s">
        <v>147</v>
      </c>
      <c r="C35" s="140" t="s">
        <v>1</v>
      </c>
      <c r="D35" s="140"/>
      <c r="F35" s="165">
        <f t="shared" ref="F35:M35" si="17">LFA</f>
        <v>0</v>
      </c>
      <c r="G35" s="165">
        <f t="shared" si="17"/>
        <v>0</v>
      </c>
      <c r="H35" s="165">
        <f>LFA</f>
        <v>0</v>
      </c>
      <c r="I35" s="165">
        <f t="shared" si="17"/>
        <v>0</v>
      </c>
      <c r="J35" s="165">
        <f t="shared" si="17"/>
        <v>0</v>
      </c>
      <c r="K35" s="165">
        <f t="shared" si="17"/>
        <v>0</v>
      </c>
      <c r="L35" s="165">
        <f t="shared" si="17"/>
        <v>0</v>
      </c>
      <c r="M35" s="165">
        <f t="shared" si="17"/>
        <v>0</v>
      </c>
      <c r="N35" s="166" t="s">
        <v>147</v>
      </c>
    </row>
    <row r="36" spans="1:14">
      <c r="A36" s="140" t="s">
        <v>150</v>
      </c>
      <c r="B36" s="140" t="s">
        <v>149</v>
      </c>
      <c r="C36" s="140" t="s">
        <v>538</v>
      </c>
      <c r="D36" s="140"/>
      <c r="F36" s="165">
        <f t="shared" ref="F36:M36" si="18">RPIA</f>
        <v>1.167</v>
      </c>
      <c r="G36" s="165">
        <f t="shared" si="18"/>
        <v>1.19</v>
      </c>
      <c r="H36" s="165">
        <f>RPIA</f>
        <v>1.202</v>
      </c>
      <c r="I36" s="165">
        <f t="shared" si="18"/>
        <v>1.228</v>
      </c>
      <c r="J36" s="165">
        <f t="shared" si="18"/>
        <v>1.274</v>
      </c>
      <c r="K36" s="165">
        <f t="shared" si="18"/>
        <v>1.31</v>
      </c>
      <c r="L36" s="165">
        <f t="shared" si="18"/>
        <v>1.3460000000000001</v>
      </c>
      <c r="M36" s="165">
        <f t="shared" si="18"/>
        <v>1.3839999999999999</v>
      </c>
      <c r="N36" s="166" t="s">
        <v>149</v>
      </c>
    </row>
    <row r="37" spans="1:14">
      <c r="A37" s="140" t="s">
        <v>155</v>
      </c>
      <c r="B37" s="140" t="s">
        <v>146</v>
      </c>
      <c r="C37" s="140" t="s">
        <v>1</v>
      </c>
      <c r="D37" s="140"/>
      <c r="F37" s="165">
        <f t="shared" ref="F37:M37" si="19">LFE</f>
        <v>12.794</v>
      </c>
      <c r="G37" s="165">
        <f t="shared" si="19"/>
        <v>12.794</v>
      </c>
      <c r="H37" s="165">
        <f>LFE</f>
        <v>12.794</v>
      </c>
      <c r="I37" s="165">
        <f t="shared" si="19"/>
        <v>12.794</v>
      </c>
      <c r="J37" s="165">
        <f t="shared" si="19"/>
        <v>12.794</v>
      </c>
      <c r="K37" s="165">
        <f t="shared" si="19"/>
        <v>12.794</v>
      </c>
      <c r="L37" s="165">
        <f t="shared" si="19"/>
        <v>12.794</v>
      </c>
      <c r="M37" s="165">
        <f t="shared" si="19"/>
        <v>12.794</v>
      </c>
      <c r="N37" s="166" t="s">
        <v>146</v>
      </c>
    </row>
    <row r="38" spans="1:14">
      <c r="A38" s="140" t="s">
        <v>154</v>
      </c>
      <c r="B38" s="140" t="s">
        <v>153</v>
      </c>
      <c r="C38" s="140" t="s">
        <v>140</v>
      </c>
      <c r="D38" s="140"/>
      <c r="F38" s="165">
        <f t="shared" ref="F38:M38" si="20">PVF</f>
        <v>1.04552</v>
      </c>
      <c r="G38" s="165">
        <f t="shared" si="20"/>
        <v>1.0443199999999999</v>
      </c>
      <c r="H38" s="165">
        <f t="shared" si="20"/>
        <v>1.0432999999999999</v>
      </c>
      <c r="I38" s="165">
        <f t="shared" si="20"/>
        <v>1.0422800000000001</v>
      </c>
      <c r="J38" s="165">
        <f t="shared" si="20"/>
        <v>1.04132</v>
      </c>
      <c r="K38" s="165">
        <f t="shared" si="20"/>
        <v>1.0394600000000001</v>
      </c>
      <c r="L38" s="165">
        <f t="shared" si="20"/>
        <v>1.03748</v>
      </c>
      <c r="M38" s="165">
        <f t="shared" si="20"/>
        <v>1.03748</v>
      </c>
      <c r="N38" s="166" t="s">
        <v>153</v>
      </c>
    </row>
    <row r="39" spans="1:14">
      <c r="A39" s="140" t="s">
        <v>78</v>
      </c>
      <c r="B39" s="140" t="s">
        <v>139</v>
      </c>
      <c r="C39" s="140" t="s">
        <v>538</v>
      </c>
      <c r="D39" s="140"/>
      <c r="F39" s="165">
        <f t="shared" ref="F39:M39" si="21">RPIF</f>
        <v>1.163</v>
      </c>
      <c r="G39" s="165">
        <f t="shared" si="21"/>
        <v>1.2050000000000001</v>
      </c>
      <c r="H39" s="165">
        <f t="shared" si="21"/>
        <v>1.2270000000000001</v>
      </c>
      <c r="I39" s="165">
        <f t="shared" si="21"/>
        <v>1.2330000000000001</v>
      </c>
      <c r="J39" s="165">
        <f t="shared" si="21"/>
        <v>1.2709999999999999</v>
      </c>
      <c r="K39" s="165">
        <f t="shared" si="21"/>
        <v>1.3140000000000001</v>
      </c>
      <c r="L39" s="165">
        <f t="shared" si="21"/>
        <v>1.3580000000000001</v>
      </c>
      <c r="M39" s="165">
        <f t="shared" si="21"/>
        <v>1.31</v>
      </c>
      <c r="N39" s="166" t="s">
        <v>139</v>
      </c>
    </row>
    <row r="40" spans="1:14">
      <c r="A40" s="140" t="s">
        <v>25</v>
      </c>
      <c r="B40" s="140" t="s">
        <v>163</v>
      </c>
      <c r="C40" s="140" t="s">
        <v>1</v>
      </c>
      <c r="D40" s="140"/>
      <c r="F40" s="175">
        <f t="shared" ref="F40:G40" si="22">IFERROR(((D35/D36)-D37)*D38*E38*F39,0)</f>
        <v>0</v>
      </c>
      <c r="G40" s="175">
        <f t="shared" si="22"/>
        <v>0</v>
      </c>
      <c r="H40" s="175">
        <f>IFERROR(((F35/F36)-F37)*F38*G38*H39,0)</f>
        <v>-17.140238055659445</v>
      </c>
      <c r="I40" s="175">
        <f t="shared" ref="I40:M40" si="23">IFERROR(((G35/G36)-G37)*G38*H38*I39,0)</f>
        <v>-17.187480787478108</v>
      </c>
      <c r="J40" s="175">
        <f t="shared" si="23"/>
        <v>-17.682574992429974</v>
      </c>
      <c r="K40" s="175">
        <f t="shared" si="23"/>
        <v>-18.246111548040638</v>
      </c>
      <c r="L40" s="175">
        <f t="shared" si="23"/>
        <v>-18.806072572055577</v>
      </c>
      <c r="M40" s="175">
        <f t="shared" si="23"/>
        <v>-18.074452761662513</v>
      </c>
      <c r="N40" s="166" t="s">
        <v>163</v>
      </c>
    </row>
    <row r="41" spans="1:14">
      <c r="A41" s="140"/>
      <c r="B41" s="140"/>
      <c r="C41" s="140"/>
      <c r="D41" s="140"/>
      <c r="F41" s="166"/>
      <c r="G41" s="166"/>
      <c r="H41" s="166"/>
      <c r="I41" s="166"/>
    </row>
    <row r="42" spans="1:14">
      <c r="A42" s="140"/>
      <c r="B42" s="140"/>
      <c r="C42" s="140"/>
      <c r="D42" s="140"/>
    </row>
    <row r="43" spans="1:14" ht="15.4">
      <c r="A43" s="144" t="s">
        <v>156</v>
      </c>
      <c r="B43" s="140"/>
      <c r="C43" s="140"/>
      <c r="D43" s="140"/>
      <c r="G43" s="161"/>
      <c r="K43" s="265"/>
    </row>
    <row r="44" spans="1:14" ht="13.5">
      <c r="A44" s="289" t="s">
        <v>540</v>
      </c>
      <c r="B44" s="140"/>
      <c r="C44" s="140"/>
      <c r="D44" s="140"/>
    </row>
    <row r="45" spans="1:14" ht="14.25">
      <c r="A45" s="140"/>
      <c r="B45" s="140"/>
      <c r="C45" s="140"/>
      <c r="D45" s="140"/>
      <c r="E45" s="139">
        <v>2013</v>
      </c>
      <c r="F45" s="139">
        <v>2014</v>
      </c>
      <c r="G45" s="139">
        <v>2015</v>
      </c>
      <c r="H45" s="139">
        <v>2016</v>
      </c>
      <c r="I45" s="139">
        <v>2017</v>
      </c>
      <c r="J45" s="139">
        <v>2018</v>
      </c>
      <c r="K45" s="139">
        <v>2019</v>
      </c>
      <c r="L45" s="139">
        <v>2020</v>
      </c>
      <c r="M45" s="139">
        <v>2021</v>
      </c>
    </row>
    <row r="46" spans="1:14">
      <c r="A46" s="140" t="s">
        <v>162</v>
      </c>
      <c r="B46" s="140" t="s">
        <v>161</v>
      </c>
      <c r="C46" s="140" t="s">
        <v>1</v>
      </c>
      <c r="D46" s="140"/>
      <c r="E46" s="165">
        <f>TPA</f>
        <v>0</v>
      </c>
      <c r="F46" s="165">
        <f>TPA</f>
        <v>0</v>
      </c>
      <c r="G46" s="165">
        <f t="shared" ref="G46:M46" si="24">TPA</f>
        <v>0</v>
      </c>
      <c r="H46" s="165">
        <f t="shared" si="24"/>
        <v>0</v>
      </c>
      <c r="I46" s="165">
        <f t="shared" si="24"/>
        <v>0</v>
      </c>
      <c r="J46" s="165">
        <f t="shared" si="24"/>
        <v>0</v>
      </c>
      <c r="K46" s="165">
        <f t="shared" si="24"/>
        <v>0</v>
      </c>
      <c r="L46" s="165">
        <f t="shared" si="24"/>
        <v>0</v>
      </c>
      <c r="M46" s="165">
        <f t="shared" si="24"/>
        <v>0</v>
      </c>
      <c r="N46" s="166" t="s">
        <v>161</v>
      </c>
    </row>
    <row r="47" spans="1:14">
      <c r="A47" s="140" t="s">
        <v>150</v>
      </c>
      <c r="B47" s="140" t="s">
        <v>149</v>
      </c>
      <c r="C47" s="140" t="s">
        <v>538</v>
      </c>
      <c r="D47" s="140"/>
      <c r="E47" s="165">
        <f t="shared" ref="E47:M47" si="25">RPIA</f>
        <v>1.1339999999999999</v>
      </c>
      <c r="F47" s="165">
        <f t="shared" si="25"/>
        <v>1.167</v>
      </c>
      <c r="G47" s="165">
        <f t="shared" si="25"/>
        <v>1.19</v>
      </c>
      <c r="H47" s="165">
        <f t="shared" si="25"/>
        <v>1.202</v>
      </c>
      <c r="I47" s="165">
        <f t="shared" si="25"/>
        <v>1.228</v>
      </c>
      <c r="J47" s="165">
        <f t="shared" si="25"/>
        <v>1.274</v>
      </c>
      <c r="K47" s="165">
        <f t="shared" si="25"/>
        <v>1.31</v>
      </c>
      <c r="L47" s="165">
        <f t="shared" si="25"/>
        <v>1.3460000000000001</v>
      </c>
      <c r="M47" s="165">
        <f t="shared" si="25"/>
        <v>1.3839999999999999</v>
      </c>
      <c r="N47" s="166" t="s">
        <v>149</v>
      </c>
    </row>
    <row r="48" spans="1:14">
      <c r="A48" s="140" t="s">
        <v>154</v>
      </c>
      <c r="B48" s="140" t="s">
        <v>153</v>
      </c>
      <c r="C48" s="140" t="s">
        <v>140</v>
      </c>
      <c r="D48" s="140"/>
      <c r="E48" s="165">
        <f t="shared" ref="E48:M48" si="26">PVF</f>
        <v>1.0475000000000001</v>
      </c>
      <c r="F48" s="165">
        <f t="shared" si="26"/>
        <v>1.04552</v>
      </c>
      <c r="G48" s="165">
        <f t="shared" si="26"/>
        <v>1.0443199999999999</v>
      </c>
      <c r="H48" s="165">
        <f t="shared" si="26"/>
        <v>1.0432999999999999</v>
      </c>
      <c r="I48" s="165">
        <f t="shared" si="26"/>
        <v>1.0422800000000001</v>
      </c>
      <c r="J48" s="165">
        <f t="shared" si="26"/>
        <v>1.04132</v>
      </c>
      <c r="K48" s="165">
        <f t="shared" si="26"/>
        <v>1.0394600000000001</v>
      </c>
      <c r="L48" s="165">
        <f t="shared" si="26"/>
        <v>1.03748</v>
      </c>
      <c r="M48" s="165">
        <f t="shared" si="26"/>
        <v>1.03748</v>
      </c>
      <c r="N48" s="166" t="s">
        <v>153</v>
      </c>
    </row>
    <row r="49" spans="1:14">
      <c r="A49" s="140" t="s">
        <v>78</v>
      </c>
      <c r="B49" s="140" t="s">
        <v>139</v>
      </c>
      <c r="C49" s="140" t="s">
        <v>538</v>
      </c>
      <c r="D49" s="140"/>
      <c r="E49" s="165">
        <f t="shared" ref="E49:M49" si="27">RPIF</f>
        <v>1.1344000000000001</v>
      </c>
      <c r="F49" s="165">
        <f t="shared" si="27"/>
        <v>1.163</v>
      </c>
      <c r="G49" s="165">
        <f t="shared" si="27"/>
        <v>1.2050000000000001</v>
      </c>
      <c r="H49" s="165">
        <f t="shared" si="27"/>
        <v>1.2270000000000001</v>
      </c>
      <c r="I49" s="165">
        <f t="shared" si="27"/>
        <v>1.2330000000000001</v>
      </c>
      <c r="J49" s="165">
        <f t="shared" si="27"/>
        <v>1.2709999999999999</v>
      </c>
      <c r="K49" s="165">
        <f t="shared" si="27"/>
        <v>1.3140000000000001</v>
      </c>
      <c r="L49" s="165">
        <f t="shared" si="27"/>
        <v>1.3580000000000001</v>
      </c>
      <c r="M49" s="165">
        <f t="shared" si="27"/>
        <v>1.31</v>
      </c>
      <c r="N49" s="166" t="s">
        <v>139</v>
      </c>
    </row>
    <row r="50" spans="1:14">
      <c r="A50" s="140" t="s">
        <v>156</v>
      </c>
      <c r="B50" s="140" t="s">
        <v>160</v>
      </c>
      <c r="C50" s="140" t="s">
        <v>1</v>
      </c>
      <c r="D50" s="140"/>
      <c r="F50" s="175">
        <f>IFERROR(((D46/D47))*D48*E48*F49,0)</f>
        <v>0</v>
      </c>
      <c r="G50" s="175">
        <f>IFERROR(((E46/E47))*E48*F48*G49,0)</f>
        <v>0</v>
      </c>
      <c r="H50" s="175">
        <f>IFERROR(((F46/F47))*F48*G48*H49,0)</f>
        <v>0</v>
      </c>
      <c r="I50" s="175">
        <f t="shared" ref="I50:M50" si="28">IFERROR(((G46/G47))*G48*H48*I49,0)</f>
        <v>0</v>
      </c>
      <c r="J50" s="175">
        <f t="shared" si="28"/>
        <v>0</v>
      </c>
      <c r="K50" s="175">
        <f t="shared" si="28"/>
        <v>0</v>
      </c>
      <c r="L50" s="175">
        <f t="shared" si="28"/>
        <v>0</v>
      </c>
      <c r="M50" s="175">
        <f t="shared" si="28"/>
        <v>0</v>
      </c>
      <c r="N50" s="166" t="s">
        <v>160</v>
      </c>
    </row>
    <row r="51" spans="1:14" ht="13.5">
      <c r="A51" s="140"/>
      <c r="B51" s="140"/>
      <c r="D51" s="140"/>
      <c r="F51" s="166"/>
      <c r="G51" s="166"/>
      <c r="H51" s="166"/>
      <c r="I51" s="166"/>
      <c r="J51" s="143"/>
      <c r="K51" s="143"/>
      <c r="L51" s="143"/>
      <c r="M51" s="143"/>
      <c r="N51" s="166"/>
    </row>
    <row r="52" spans="1:14" ht="13.5">
      <c r="A52" s="143"/>
      <c r="B52" s="143"/>
      <c r="C52" s="143"/>
      <c r="D52" s="143"/>
      <c r="F52" s="181"/>
      <c r="G52" s="181"/>
      <c r="H52" s="181"/>
      <c r="I52" s="181"/>
      <c r="J52" s="181"/>
      <c r="K52" s="181"/>
      <c r="L52" s="181"/>
      <c r="M52" s="181"/>
    </row>
    <row r="53" spans="1:14" ht="13.9">
      <c r="A53" s="144" t="s">
        <v>148</v>
      </c>
      <c r="B53" s="140"/>
      <c r="C53" s="140"/>
      <c r="D53" s="140"/>
      <c r="L53" s="265"/>
    </row>
    <row r="54" spans="1:14" ht="13.5">
      <c r="A54" s="289" t="s">
        <v>541</v>
      </c>
      <c r="B54" s="140"/>
      <c r="C54" s="140"/>
      <c r="D54" s="140"/>
    </row>
    <row r="55" spans="1:14" ht="14.25">
      <c r="A55" s="289"/>
      <c r="B55" s="140"/>
      <c r="C55" s="140"/>
      <c r="D55" s="140"/>
      <c r="E55" s="139">
        <v>2013</v>
      </c>
      <c r="F55" s="139">
        <v>2014</v>
      </c>
      <c r="G55" s="139">
        <v>2015</v>
      </c>
      <c r="H55" s="139">
        <v>2016</v>
      </c>
      <c r="I55" s="139">
        <v>2017</v>
      </c>
      <c r="J55" s="139">
        <v>2018</v>
      </c>
      <c r="K55" s="139">
        <v>2019</v>
      </c>
      <c r="L55" s="139">
        <v>2020</v>
      </c>
      <c r="M55" s="139">
        <v>2021</v>
      </c>
    </row>
    <row r="56" spans="1:14">
      <c r="A56" s="140" t="s">
        <v>88</v>
      </c>
      <c r="B56" s="140" t="s">
        <v>158</v>
      </c>
      <c r="C56" s="140" t="s">
        <v>1</v>
      </c>
      <c r="D56" s="140"/>
      <c r="E56" s="165">
        <f t="shared" ref="E56:M56" si="29">ITP</f>
        <v>0</v>
      </c>
      <c r="F56" s="165">
        <f t="shared" si="29"/>
        <v>0</v>
      </c>
      <c r="G56" s="165">
        <f t="shared" si="29"/>
        <v>0</v>
      </c>
      <c r="H56" s="165">
        <f t="shared" si="29"/>
        <v>0</v>
      </c>
      <c r="I56" s="165">
        <f t="shared" si="29"/>
        <v>0</v>
      </c>
      <c r="J56" s="165">
        <f t="shared" si="29"/>
        <v>0</v>
      </c>
      <c r="K56" s="165">
        <f t="shared" si="29"/>
        <v>0</v>
      </c>
      <c r="L56" s="165">
        <f t="shared" si="29"/>
        <v>0</v>
      </c>
      <c r="M56" s="165">
        <f t="shared" si="29"/>
        <v>0</v>
      </c>
      <c r="N56" s="166" t="s">
        <v>158</v>
      </c>
    </row>
    <row r="57" spans="1:14">
      <c r="A57" s="140" t="s">
        <v>113</v>
      </c>
      <c r="B57" s="140" t="s">
        <v>149</v>
      </c>
      <c r="C57" s="140" t="s">
        <v>538</v>
      </c>
      <c r="D57" s="140"/>
      <c r="E57" s="165">
        <f t="shared" ref="E57:M57" si="30">RPIA</f>
        <v>1.1339999999999999</v>
      </c>
      <c r="F57" s="165">
        <f t="shared" si="30"/>
        <v>1.167</v>
      </c>
      <c r="G57" s="165">
        <f t="shared" si="30"/>
        <v>1.19</v>
      </c>
      <c r="H57" s="165">
        <f t="shared" si="30"/>
        <v>1.202</v>
      </c>
      <c r="I57" s="165">
        <f t="shared" si="30"/>
        <v>1.228</v>
      </c>
      <c r="J57" s="165">
        <f t="shared" si="30"/>
        <v>1.274</v>
      </c>
      <c r="K57" s="165">
        <f t="shared" si="30"/>
        <v>1.31</v>
      </c>
      <c r="L57" s="165">
        <f t="shared" si="30"/>
        <v>1.3460000000000001</v>
      </c>
      <c r="M57" s="165">
        <f t="shared" si="30"/>
        <v>1.3839999999999999</v>
      </c>
      <c r="N57" s="166" t="s">
        <v>149</v>
      </c>
    </row>
    <row r="58" spans="1:14">
      <c r="A58" s="140" t="s">
        <v>89</v>
      </c>
      <c r="B58" s="140" t="s">
        <v>159</v>
      </c>
      <c r="C58" s="140" t="s">
        <v>1</v>
      </c>
      <c r="D58" s="140"/>
      <c r="E58" s="165">
        <f t="shared" ref="E58:M58" si="31">ITA</f>
        <v>0</v>
      </c>
      <c r="F58" s="165">
        <f t="shared" si="31"/>
        <v>8</v>
      </c>
      <c r="G58" s="165">
        <f t="shared" si="31"/>
        <v>8</v>
      </c>
      <c r="H58" s="165">
        <f t="shared" si="31"/>
        <v>8</v>
      </c>
      <c r="I58" s="165">
        <f t="shared" si="31"/>
        <v>8</v>
      </c>
      <c r="J58" s="165">
        <f t="shared" si="31"/>
        <v>8</v>
      </c>
      <c r="K58" s="165">
        <f t="shared" si="31"/>
        <v>8</v>
      </c>
      <c r="L58" s="165">
        <f t="shared" si="31"/>
        <v>8</v>
      </c>
      <c r="M58" s="165">
        <f t="shared" si="31"/>
        <v>8</v>
      </c>
      <c r="N58" s="166" t="s">
        <v>159</v>
      </c>
    </row>
    <row r="59" spans="1:14">
      <c r="A59" s="140" t="s">
        <v>112</v>
      </c>
      <c r="B59" s="140" t="s">
        <v>153</v>
      </c>
      <c r="C59" s="140" t="s">
        <v>140</v>
      </c>
      <c r="D59" s="140"/>
      <c r="E59" s="165">
        <f t="shared" ref="E59:M59" si="32">PVF</f>
        <v>1.0475000000000001</v>
      </c>
      <c r="F59" s="165">
        <f t="shared" si="32"/>
        <v>1.04552</v>
      </c>
      <c r="G59" s="165">
        <f t="shared" si="32"/>
        <v>1.0443199999999999</v>
      </c>
      <c r="H59" s="165">
        <f t="shared" si="32"/>
        <v>1.0432999999999999</v>
      </c>
      <c r="I59" s="165">
        <f t="shared" si="32"/>
        <v>1.0422800000000001</v>
      </c>
      <c r="J59" s="165">
        <f t="shared" si="32"/>
        <v>1.04132</v>
      </c>
      <c r="K59" s="165">
        <f t="shared" si="32"/>
        <v>1.0394600000000001</v>
      </c>
      <c r="L59" s="165">
        <f t="shared" si="32"/>
        <v>1.03748</v>
      </c>
      <c r="M59" s="165">
        <f t="shared" si="32"/>
        <v>1.03748</v>
      </c>
      <c r="N59" s="166" t="s">
        <v>153</v>
      </c>
    </row>
    <row r="60" spans="1:14">
      <c r="A60" s="140" t="s">
        <v>78</v>
      </c>
      <c r="B60" s="140" t="s">
        <v>139</v>
      </c>
      <c r="C60" s="140" t="s">
        <v>538</v>
      </c>
      <c r="D60" s="140"/>
      <c r="E60" s="165">
        <f t="shared" ref="E60:M60" si="33">RPIF</f>
        <v>1.1344000000000001</v>
      </c>
      <c r="F60" s="165">
        <f t="shared" si="33"/>
        <v>1.163</v>
      </c>
      <c r="G60" s="165">
        <f t="shared" si="33"/>
        <v>1.2050000000000001</v>
      </c>
      <c r="H60" s="165">
        <f t="shared" si="33"/>
        <v>1.2270000000000001</v>
      </c>
      <c r="I60" s="165">
        <f t="shared" si="33"/>
        <v>1.2330000000000001</v>
      </c>
      <c r="J60" s="165">
        <f t="shared" si="33"/>
        <v>1.2709999999999999</v>
      </c>
      <c r="K60" s="165">
        <f t="shared" si="33"/>
        <v>1.3140000000000001</v>
      </c>
      <c r="L60" s="165">
        <f t="shared" si="33"/>
        <v>1.3580000000000001</v>
      </c>
      <c r="M60" s="165">
        <f t="shared" si="33"/>
        <v>1.31</v>
      </c>
      <c r="N60" s="166" t="s">
        <v>139</v>
      </c>
    </row>
    <row r="61" spans="1:14">
      <c r="A61" s="140" t="s">
        <v>87</v>
      </c>
      <c r="B61" s="140" t="s">
        <v>157</v>
      </c>
      <c r="C61" s="140" t="s">
        <v>1</v>
      </c>
      <c r="D61" s="140"/>
      <c r="F61" s="175">
        <f t="shared" ref="F61" si="34">IFERROR(((D56/D57)-D58)*D59*E59*F60,0)</f>
        <v>0</v>
      </c>
      <c r="G61" s="175">
        <f>IFERROR(((E56/E57)-E58)*E59*F59*G60,0)</f>
        <v>0</v>
      </c>
      <c r="H61" s="175">
        <f>IFERROR(((F56/F57)-F58)*F59*G59*H60,0)</f>
        <v>-10.717672693862401</v>
      </c>
      <c r="I61" s="175">
        <f t="shared" ref="I61:M61" si="35">IFERROR(((G56/G57)-G58)*G59*H59*I60,0)</f>
        <v>-10.747213248383998</v>
      </c>
      <c r="J61" s="175">
        <f t="shared" si="35"/>
        <v>-11.056792241631998</v>
      </c>
      <c r="K61" s="175">
        <f t="shared" si="35"/>
        <v>-11.409167764915203</v>
      </c>
      <c r="L61" s="175">
        <f t="shared" si="35"/>
        <v>-11.759307532940801</v>
      </c>
      <c r="M61" s="175">
        <f t="shared" si="35"/>
        <v>-11.301830709184001</v>
      </c>
      <c r="N61" s="166" t="s">
        <v>157</v>
      </c>
    </row>
    <row r="62" spans="1:14" ht="13.5">
      <c r="A62" s="140"/>
      <c r="B62" s="140"/>
      <c r="C62" s="140"/>
      <c r="D62" s="140"/>
      <c r="F62" s="166"/>
      <c r="G62" s="166"/>
      <c r="H62" s="166"/>
      <c r="I62" s="166"/>
      <c r="J62" s="143"/>
    </row>
    <row r="1000016" spans="1:1">
      <c r="A1000016" s="138" t="s">
        <v>7</v>
      </c>
    </row>
    <row r="1000017" spans="1:1">
      <c r="A1000017" s="138" t="s">
        <v>2</v>
      </c>
    </row>
    <row r="1000018" spans="1:1">
      <c r="A1000018" s="138" t="s">
        <v>6</v>
      </c>
    </row>
    <row r="1000019" spans="1:1">
      <c r="A1000019" s="138" t="s">
        <v>3</v>
      </c>
    </row>
    <row r="1000020" spans="1:1">
      <c r="A1000020" s="138" t="s">
        <v>4</v>
      </c>
    </row>
    <row r="1000021" spans="1:1">
      <c r="A1000021" s="138" t="s">
        <v>5</v>
      </c>
    </row>
  </sheetData>
  <pageMargins left="0.17" right="0.16" top="0.5" bottom="0.74803149606299213" header="0.31496062992125984" footer="0.31496062992125984"/>
  <pageSetup paperSize="9" scale="60" orientation="portrait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30"/>
  <sheetViews>
    <sheetView showGridLines="0" zoomScale="85" zoomScaleNormal="85" workbookViewId="0"/>
  </sheetViews>
  <sheetFormatPr defaultColWidth="9" defaultRowHeight="12.4"/>
  <cols>
    <col min="1" max="1" width="37.46875" style="140" customWidth="1"/>
    <col min="2" max="2" width="10.87890625" style="140" customWidth="1"/>
    <col min="3" max="3" width="7.64453125" style="138" customWidth="1"/>
    <col min="4" max="4" width="9" style="138"/>
    <col min="5" max="5" width="14.17578125" style="138" customWidth="1"/>
    <col min="6" max="6" width="11.703125" style="140" customWidth="1"/>
    <col min="7" max="7" width="11.703125" style="138" customWidth="1"/>
    <col min="8" max="8" width="12" style="138" customWidth="1"/>
    <col min="9" max="13" width="13.1171875" style="138" bestFit="1" customWidth="1"/>
    <col min="14" max="16384" width="9" style="138"/>
  </cols>
  <sheetData>
    <row r="1" spans="1:19" s="149" customFormat="1" ht="14.65">
      <c r="A1" s="182" t="s">
        <v>138</v>
      </c>
    </row>
    <row r="2" spans="1:19" s="149" customFormat="1" ht="14.65">
      <c r="A2" s="182" t="str">
        <f>CompName</f>
        <v>National Grid Electricity Transmission Plc</v>
      </c>
    </row>
    <row r="3" spans="1:19" s="149" customFormat="1">
      <c r="A3" s="183" t="str">
        <f>RegYr</f>
        <v>Regulatory Year ending 31 March 2019</v>
      </c>
    </row>
    <row r="4" spans="1:19">
      <c r="A4" s="184"/>
      <c r="B4" s="184"/>
      <c r="C4" s="177"/>
      <c r="D4" s="177"/>
      <c r="E4" s="177"/>
      <c r="F4" s="185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24" customHeight="1">
      <c r="A5" s="186" t="s">
        <v>350</v>
      </c>
    </row>
    <row r="6" spans="1:19" ht="17.649999999999999">
      <c r="B6" s="163"/>
      <c r="C6" s="163"/>
      <c r="D6" s="163"/>
      <c r="E6" s="163"/>
      <c r="F6" s="163"/>
      <c r="G6" s="163"/>
      <c r="H6" s="161" t="s">
        <v>883</v>
      </c>
      <c r="I6" s="163"/>
      <c r="L6" s="166"/>
    </row>
    <row r="7" spans="1:19" ht="15" customHeight="1">
      <c r="A7" s="185" t="s">
        <v>542</v>
      </c>
      <c r="C7" s="143"/>
      <c r="D7" s="143"/>
      <c r="E7" s="183"/>
    </row>
    <row r="8" spans="1:19" ht="14.25">
      <c r="B8" s="143"/>
      <c r="C8" s="143"/>
      <c r="D8" s="143"/>
      <c r="E8" s="143"/>
      <c r="F8" s="187">
        <v>2014</v>
      </c>
      <c r="G8" s="139">
        <v>2015</v>
      </c>
      <c r="H8" s="139">
        <v>2016</v>
      </c>
      <c r="I8" s="139">
        <v>2017</v>
      </c>
      <c r="J8" s="139">
        <v>2018</v>
      </c>
      <c r="K8" s="139">
        <v>2019</v>
      </c>
      <c r="L8" s="139">
        <v>2020</v>
      </c>
      <c r="M8" s="139">
        <v>2021</v>
      </c>
    </row>
    <row r="9" spans="1:19">
      <c r="A9" s="140" t="s">
        <v>33</v>
      </c>
      <c r="B9" s="140" t="s">
        <v>318</v>
      </c>
      <c r="C9" s="138" t="s">
        <v>1</v>
      </c>
      <c r="F9" s="179">
        <f t="shared" ref="F9:M9" si="0">RI</f>
        <v>14.336550000000001</v>
      </c>
      <c r="G9" s="179">
        <f t="shared" si="0"/>
        <v>0</v>
      </c>
      <c r="H9" s="179">
        <f t="shared" si="0"/>
        <v>4.124839702504044</v>
      </c>
      <c r="I9" s="179">
        <f t="shared" si="0"/>
        <v>4.0314946337338053</v>
      </c>
      <c r="J9" s="179">
        <f t="shared" si="0"/>
        <v>4.0957786068599829</v>
      </c>
      <c r="K9" s="179">
        <f t="shared" si="0"/>
        <v>4.2263094243253025</v>
      </c>
      <c r="L9" s="179">
        <f t="shared" si="0"/>
        <v>4.3022341222072038</v>
      </c>
      <c r="M9" s="179">
        <f t="shared" si="0"/>
        <v>4.1348626680827039</v>
      </c>
      <c r="N9" s="166" t="s">
        <v>318</v>
      </c>
    </row>
    <row r="10" spans="1:19">
      <c r="A10" s="140" t="s">
        <v>34</v>
      </c>
      <c r="B10" s="140" t="s">
        <v>355</v>
      </c>
      <c r="C10" s="138" t="s">
        <v>1</v>
      </c>
      <c r="F10" s="179">
        <f t="shared" ref="F10:M10" si="1">SSO</f>
        <v>0</v>
      </c>
      <c r="G10" s="179">
        <f t="shared" si="1"/>
        <v>0</v>
      </c>
      <c r="H10" s="179">
        <f t="shared" si="1"/>
        <v>-11.150127326656428</v>
      </c>
      <c r="I10" s="179">
        <f t="shared" si="1"/>
        <v>-12.363888465505552</v>
      </c>
      <c r="J10" s="179">
        <f t="shared" si="1"/>
        <v>-11.944896218505638</v>
      </c>
      <c r="K10" s="179">
        <f t="shared" si="1"/>
        <v>-16.959893211360555</v>
      </c>
      <c r="L10" s="179">
        <f t="shared" si="1"/>
        <v>-16.341422023939593</v>
      </c>
      <c r="M10" s="179">
        <f t="shared" si="1"/>
        <v>-16.82339067630231</v>
      </c>
      <c r="N10" s="166" t="s">
        <v>355</v>
      </c>
    </row>
    <row r="11" spans="1:19">
      <c r="A11" s="140" t="s">
        <v>795</v>
      </c>
      <c r="B11" s="140" t="s">
        <v>262</v>
      </c>
      <c r="C11" s="140" t="s">
        <v>1</v>
      </c>
      <c r="D11" s="140"/>
      <c r="E11" s="140"/>
      <c r="F11" s="179">
        <f t="shared" ref="F11:M11" si="2">SFI</f>
        <v>0</v>
      </c>
      <c r="G11" s="179">
        <f t="shared" si="2"/>
        <v>0</v>
      </c>
      <c r="H11" s="179">
        <f t="shared" si="2"/>
        <v>0</v>
      </c>
      <c r="I11" s="179">
        <f t="shared" si="2"/>
        <v>0</v>
      </c>
      <c r="J11" s="179">
        <f t="shared" si="2"/>
        <v>0</v>
      </c>
      <c r="K11" s="179">
        <f t="shared" si="2"/>
        <v>0</v>
      </c>
      <c r="L11" s="179">
        <f t="shared" si="2"/>
        <v>0</v>
      </c>
      <c r="M11" s="179">
        <f t="shared" si="2"/>
        <v>0</v>
      </c>
      <c r="N11" s="166" t="s">
        <v>262</v>
      </c>
    </row>
    <row r="12" spans="1:19">
      <c r="A12" s="140" t="s">
        <v>36</v>
      </c>
      <c r="B12" s="140" t="s">
        <v>356</v>
      </c>
      <c r="C12" s="138" t="s">
        <v>1</v>
      </c>
      <c r="F12" s="179">
        <f t="shared" ref="F12:M12" si="3">EDR</f>
        <v>0</v>
      </c>
      <c r="G12" s="165">
        <f t="shared" si="3"/>
        <v>0</v>
      </c>
      <c r="H12" s="165">
        <f t="shared" si="3"/>
        <v>0</v>
      </c>
      <c r="I12" s="165">
        <f t="shared" si="3"/>
        <v>0</v>
      </c>
      <c r="J12" s="165">
        <f t="shared" si="3"/>
        <v>0</v>
      </c>
      <c r="K12" s="165">
        <f t="shared" si="3"/>
        <v>0</v>
      </c>
      <c r="L12" s="165">
        <f t="shared" si="3"/>
        <v>0</v>
      </c>
      <c r="M12" s="165">
        <f t="shared" si="3"/>
        <v>0</v>
      </c>
      <c r="N12" s="166" t="s">
        <v>356</v>
      </c>
    </row>
    <row r="13" spans="1:19">
      <c r="A13" s="140" t="s">
        <v>14</v>
      </c>
      <c r="B13" s="140" t="s">
        <v>218</v>
      </c>
      <c r="C13" s="138" t="s">
        <v>1</v>
      </c>
      <c r="F13" s="216">
        <f>SUM(F9:F12)</f>
        <v>14.336550000000001</v>
      </c>
      <c r="G13" s="175">
        <f t="shared" ref="G13:M13" si="4">SUM(G9:G12)</f>
        <v>0</v>
      </c>
      <c r="H13" s="175">
        <f t="shared" si="4"/>
        <v>-7.0252876241523836</v>
      </c>
      <c r="I13" s="175">
        <f t="shared" si="4"/>
        <v>-8.3323938317717463</v>
      </c>
      <c r="J13" s="175">
        <f t="shared" si="4"/>
        <v>-7.8491176116456556</v>
      </c>
      <c r="K13" s="175">
        <f t="shared" si="4"/>
        <v>-12.733583787035252</v>
      </c>
      <c r="L13" s="175">
        <f t="shared" si="4"/>
        <v>-12.03918790173239</v>
      </c>
      <c r="M13" s="175">
        <f t="shared" si="4"/>
        <v>-12.688528008219606</v>
      </c>
      <c r="N13" s="166" t="s">
        <v>218</v>
      </c>
    </row>
    <row r="14" spans="1:19">
      <c r="F14" s="166"/>
      <c r="G14" s="166"/>
      <c r="H14" s="166"/>
      <c r="I14" s="166"/>
    </row>
    <row r="16" spans="1:19" ht="13.5">
      <c r="A16" s="147" t="s">
        <v>33</v>
      </c>
    </row>
    <row r="17" spans="1:15" ht="24" customHeight="1">
      <c r="E17" s="560" t="s">
        <v>44</v>
      </c>
      <c r="F17" s="560"/>
      <c r="G17" s="559"/>
      <c r="H17" s="559"/>
      <c r="I17" s="559"/>
      <c r="J17" s="559"/>
      <c r="K17" s="559"/>
      <c r="L17" s="559"/>
      <c r="M17" s="559"/>
      <c r="O17" s="166"/>
    </row>
    <row r="18" spans="1:15">
      <c r="A18" s="185" t="s">
        <v>351</v>
      </c>
      <c r="B18" s="140" t="s">
        <v>226</v>
      </c>
    </row>
    <row r="20" spans="1:15" ht="14.25">
      <c r="F20" s="187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5">
      <c r="A21" s="140" t="s">
        <v>83</v>
      </c>
      <c r="B21" s="140" t="s">
        <v>227</v>
      </c>
      <c r="C21" s="284" t="s">
        <v>1</v>
      </c>
      <c r="D21" s="142"/>
      <c r="E21" s="142"/>
      <c r="F21" s="179">
        <f>F52</f>
        <v>14.336550000000001</v>
      </c>
      <c r="G21" s="188">
        <v>0</v>
      </c>
      <c r="H21" s="140"/>
      <c r="I21" s="140"/>
      <c r="J21" s="140"/>
      <c r="K21" s="140"/>
      <c r="L21" s="140"/>
      <c r="M21" s="140"/>
    </row>
    <row r="22" spans="1:15" s="142" customFormat="1">
      <c r="A22" s="140" t="s">
        <v>79</v>
      </c>
      <c r="B22" s="140" t="s">
        <v>230</v>
      </c>
      <c r="C22" s="284" t="s">
        <v>796</v>
      </c>
      <c r="F22" s="189">
        <f>'R4 Licence Condition Values'!F22</f>
        <v>1.6E-2</v>
      </c>
      <c r="G22" s="189">
        <f>'R4 Licence Condition Values'!G22</f>
        <v>1.6E-2</v>
      </c>
      <c r="H22" s="189">
        <f>'R4 Licence Condition Values'!H22</f>
        <v>1.6E-2</v>
      </c>
      <c r="I22" s="189">
        <f>'R4 Licence Condition Values'!I22</f>
        <v>1.6E-2</v>
      </c>
      <c r="J22" s="189">
        <f>'R4 Licence Condition Values'!J22</f>
        <v>1.6E-2</v>
      </c>
      <c r="K22" s="189">
        <f>'R4 Licence Condition Values'!K22</f>
        <v>1.6E-2</v>
      </c>
      <c r="L22" s="189">
        <f>'R4 Licence Condition Values'!L22</f>
        <v>1.6E-2</v>
      </c>
      <c r="M22" s="189">
        <f>'R4 Licence Condition Values'!M22</f>
        <v>1.6E-2</v>
      </c>
      <c r="N22" s="166" t="s">
        <v>230</v>
      </c>
    </row>
    <row r="23" spans="1:15">
      <c r="A23" s="140" t="s">
        <v>81</v>
      </c>
      <c r="B23" s="140" t="s">
        <v>232</v>
      </c>
      <c r="C23" s="284" t="s">
        <v>231</v>
      </c>
      <c r="F23" s="190">
        <f>'R4 Licence Condition Values'!F23</f>
        <v>316</v>
      </c>
      <c r="G23" s="191">
        <f>'R4 Licence Condition Values'!G23</f>
        <v>316</v>
      </c>
      <c r="H23" s="191">
        <f>'R4 Licence Condition Values'!H23</f>
        <v>316</v>
      </c>
      <c r="I23" s="191">
        <f>'R4 Licence Condition Values'!I23</f>
        <v>316</v>
      </c>
      <c r="J23" s="191">
        <f>'R4 Licence Condition Values'!J23</f>
        <v>316</v>
      </c>
      <c r="K23" s="191">
        <f>'R4 Licence Condition Values'!K23</f>
        <v>316</v>
      </c>
      <c r="L23" s="191">
        <f>'R4 Licence Condition Values'!L23</f>
        <v>316</v>
      </c>
      <c r="M23" s="191">
        <f>'R4 Licence Condition Values'!M23</f>
        <v>316</v>
      </c>
      <c r="N23" s="166" t="s">
        <v>232</v>
      </c>
    </row>
    <row r="24" spans="1:15">
      <c r="A24" s="140" t="s">
        <v>82</v>
      </c>
      <c r="B24" s="140" t="s">
        <v>234</v>
      </c>
      <c r="C24" s="284" t="s">
        <v>231</v>
      </c>
      <c r="F24" s="190">
        <f t="shared" ref="F24:M24" si="5">ENSA</f>
        <v>0</v>
      </c>
      <c r="G24" s="191">
        <f t="shared" si="5"/>
        <v>0</v>
      </c>
      <c r="H24" s="191">
        <f t="shared" si="5"/>
        <v>0</v>
      </c>
      <c r="I24" s="191">
        <f t="shared" si="5"/>
        <v>0</v>
      </c>
      <c r="J24" s="191">
        <f t="shared" si="5"/>
        <v>0</v>
      </c>
      <c r="K24" s="191">
        <f t="shared" si="5"/>
        <v>0</v>
      </c>
      <c r="L24" s="191">
        <f t="shared" si="5"/>
        <v>0</v>
      </c>
      <c r="M24" s="191">
        <f t="shared" si="5"/>
        <v>0</v>
      </c>
      <c r="N24" s="166" t="s">
        <v>234</v>
      </c>
    </row>
    <row r="25" spans="1:15">
      <c r="A25" s="140" t="s">
        <v>352</v>
      </c>
      <c r="B25" s="140" t="s">
        <v>245</v>
      </c>
      <c r="C25" s="284" t="s">
        <v>128</v>
      </c>
      <c r="F25" s="179">
        <f t="shared" ref="F25:M25" si="6">PTIS</f>
        <v>0.60896103896103893</v>
      </c>
      <c r="G25" s="165">
        <f t="shared" si="6"/>
        <v>0.59354430379746825</v>
      </c>
      <c r="H25" s="165">
        <f t="shared" si="6"/>
        <v>0.5861249999999999</v>
      </c>
      <c r="I25" s="165">
        <f t="shared" si="6"/>
        <v>0.5861249999999999</v>
      </c>
      <c r="J25" s="165">
        <f t="shared" si="6"/>
        <v>0.57888888888888879</v>
      </c>
      <c r="K25" s="165">
        <f t="shared" si="6"/>
        <v>0.57888888888888879</v>
      </c>
      <c r="L25" s="165">
        <f t="shared" si="6"/>
        <v>0.57888888888888879</v>
      </c>
      <c r="M25" s="165">
        <f t="shared" si="6"/>
        <v>0.56493975903614457</v>
      </c>
      <c r="N25" s="166" t="s">
        <v>245</v>
      </c>
    </row>
    <row r="26" spans="1:15">
      <c r="A26" s="140" t="s">
        <v>80</v>
      </c>
      <c r="B26" s="140" t="s">
        <v>233</v>
      </c>
      <c r="C26" s="284" t="s">
        <v>128</v>
      </c>
      <c r="F26" s="192">
        <f t="shared" ref="F26:M26" si="7">RIDPA</f>
        <v>0.03</v>
      </c>
      <c r="G26" s="193">
        <f t="shared" si="7"/>
        <v>0.03</v>
      </c>
      <c r="H26" s="193">
        <f t="shared" si="7"/>
        <v>0.03</v>
      </c>
      <c r="I26" s="193">
        <f t="shared" si="7"/>
        <v>0.03</v>
      </c>
      <c r="J26" s="193">
        <f t="shared" si="7"/>
        <v>0.03</v>
      </c>
      <c r="K26" s="193">
        <f t="shared" si="7"/>
        <v>0.03</v>
      </c>
      <c r="L26" s="193">
        <f t="shared" si="7"/>
        <v>0.03</v>
      </c>
      <c r="M26" s="193">
        <f t="shared" si="7"/>
        <v>0.03</v>
      </c>
      <c r="N26" s="166" t="s">
        <v>233</v>
      </c>
    </row>
    <row r="27" spans="1:15">
      <c r="A27" s="140" t="s">
        <v>67</v>
      </c>
      <c r="B27" s="140" t="s">
        <v>338</v>
      </c>
      <c r="C27" s="284" t="s">
        <v>1</v>
      </c>
      <c r="F27" s="194">
        <f>BRt</f>
        <v>1561.072803</v>
      </c>
      <c r="G27" s="164">
        <f t="shared" ref="G27:M27" si="8">BRt</f>
        <v>1732.7426765239791</v>
      </c>
      <c r="H27" s="164">
        <f t="shared" si="8"/>
        <v>1676.4672842336486</v>
      </c>
      <c r="I27" s="164">
        <f t="shared" si="8"/>
        <v>1684.3472811633824</v>
      </c>
      <c r="J27" s="164">
        <f t="shared" si="8"/>
        <v>1617.6047016073121</v>
      </c>
      <c r="K27" s="164">
        <f t="shared" si="8"/>
        <v>1671.1424134600488</v>
      </c>
      <c r="L27" s="164">
        <f t="shared" si="8"/>
        <v>1643.5020238333825</v>
      </c>
      <c r="M27" s="164">
        <f t="shared" si="8"/>
        <v>2053.6855310981396</v>
      </c>
      <c r="N27" s="166" t="s">
        <v>338</v>
      </c>
    </row>
    <row r="28" spans="1:15">
      <c r="A28" s="140" t="s">
        <v>168</v>
      </c>
      <c r="B28" s="140" t="s">
        <v>168</v>
      </c>
      <c r="C28" s="284" t="s">
        <v>1</v>
      </c>
      <c r="F28" s="179">
        <f t="shared" ref="F28:M28" si="9">TIRG</f>
        <v>15.992450216000002</v>
      </c>
      <c r="G28" s="165">
        <f t="shared" si="9"/>
        <v>15.995999039999997</v>
      </c>
      <c r="H28" s="165">
        <f t="shared" si="9"/>
        <v>15.703460112000002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6" t="s">
        <v>168</v>
      </c>
    </row>
    <row r="29" spans="1:15">
      <c r="A29" s="140" t="s">
        <v>353</v>
      </c>
      <c r="B29" s="140" t="s">
        <v>149</v>
      </c>
      <c r="C29" s="284" t="s">
        <v>1</v>
      </c>
      <c r="F29" s="179">
        <f t="shared" ref="F29:M29" si="10">RPIA</f>
        <v>1.167</v>
      </c>
      <c r="G29" s="165">
        <f t="shared" si="10"/>
        <v>1.19</v>
      </c>
      <c r="H29" s="165">
        <f t="shared" si="10"/>
        <v>1.202</v>
      </c>
      <c r="I29" s="165">
        <f t="shared" si="10"/>
        <v>1.228</v>
      </c>
      <c r="J29" s="165">
        <f t="shared" si="10"/>
        <v>1.274</v>
      </c>
      <c r="K29" s="165">
        <f t="shared" si="10"/>
        <v>1.31</v>
      </c>
      <c r="L29" s="165">
        <f t="shared" si="10"/>
        <v>1.3460000000000001</v>
      </c>
      <c r="M29" s="165">
        <f t="shared" si="10"/>
        <v>1.3839999999999999</v>
      </c>
      <c r="N29" s="166" t="s">
        <v>149</v>
      </c>
    </row>
    <row r="30" spans="1:15">
      <c r="A30" s="140" t="s">
        <v>221</v>
      </c>
      <c r="B30" s="140" t="s">
        <v>153</v>
      </c>
      <c r="C30" s="284" t="s">
        <v>140</v>
      </c>
      <c r="F30" s="179">
        <f t="shared" ref="F30:M30" si="11">PVF</f>
        <v>1.04552</v>
      </c>
      <c r="G30" s="165">
        <f t="shared" si="11"/>
        <v>1.0443199999999999</v>
      </c>
      <c r="H30" s="165">
        <f t="shared" si="11"/>
        <v>1.0432999999999999</v>
      </c>
      <c r="I30" s="165">
        <f t="shared" si="11"/>
        <v>1.0422800000000001</v>
      </c>
      <c r="J30" s="165">
        <f t="shared" si="11"/>
        <v>1.04132</v>
      </c>
      <c r="K30" s="165">
        <f t="shared" si="11"/>
        <v>1.0394600000000001</v>
      </c>
      <c r="L30" s="165">
        <f t="shared" si="11"/>
        <v>1.03748</v>
      </c>
      <c r="M30" s="165">
        <f t="shared" si="11"/>
        <v>1.03748</v>
      </c>
      <c r="N30" s="166" t="s">
        <v>153</v>
      </c>
    </row>
    <row r="31" spans="1:15">
      <c r="A31" s="140" t="s">
        <v>354</v>
      </c>
      <c r="B31" s="140" t="s">
        <v>139</v>
      </c>
      <c r="C31" s="284" t="s">
        <v>140</v>
      </c>
      <c r="F31" s="179">
        <f t="shared" ref="F31:M31" si="12">RPIF</f>
        <v>1.163</v>
      </c>
      <c r="G31" s="165">
        <f t="shared" si="12"/>
        <v>1.2050000000000001</v>
      </c>
      <c r="H31" s="165">
        <f t="shared" si="12"/>
        <v>1.2270000000000001</v>
      </c>
      <c r="I31" s="165">
        <f t="shared" si="12"/>
        <v>1.2330000000000001</v>
      </c>
      <c r="J31" s="165">
        <f t="shared" si="12"/>
        <v>1.2709999999999999</v>
      </c>
      <c r="K31" s="165">
        <f t="shared" si="12"/>
        <v>1.3140000000000001</v>
      </c>
      <c r="L31" s="165">
        <f t="shared" si="12"/>
        <v>1.3580000000000001</v>
      </c>
      <c r="M31" s="165">
        <f t="shared" si="12"/>
        <v>1.31</v>
      </c>
      <c r="N31" s="166" t="s">
        <v>139</v>
      </c>
    </row>
    <row r="32" spans="1:15">
      <c r="A32" s="140" t="s">
        <v>33</v>
      </c>
      <c r="B32" s="140" t="s">
        <v>318</v>
      </c>
      <c r="C32" s="284" t="s">
        <v>1</v>
      </c>
      <c r="F32" s="175">
        <f>F21</f>
        <v>14.336550000000001</v>
      </c>
      <c r="H32" s="175">
        <f>MAX(H22*(F23-F24)*F25,-H26*(F27+F28)/F29)*F30*G30*H31</f>
        <v>4.124839702504044</v>
      </c>
      <c r="I32" s="175">
        <f t="shared" ref="I32:M32" si="13">MAX(I22*(G23-G24)*G25,-I26*(G27+G28)/G29)*G30*H30*I31</f>
        <v>4.0314946337338053</v>
      </c>
      <c r="J32" s="175">
        <f t="shared" si="13"/>
        <v>4.0957786068599829</v>
      </c>
      <c r="K32" s="175">
        <f t="shared" si="13"/>
        <v>4.2263094243253025</v>
      </c>
      <c r="L32" s="175">
        <f t="shared" si="13"/>
        <v>4.3022341222072038</v>
      </c>
      <c r="M32" s="175">
        <f t="shared" si="13"/>
        <v>4.1348626680827039</v>
      </c>
      <c r="N32" s="166" t="s">
        <v>318</v>
      </c>
    </row>
    <row r="33" spans="1:9">
      <c r="F33" s="166"/>
      <c r="G33" s="166"/>
      <c r="H33" s="166"/>
      <c r="I33" s="166"/>
    </row>
    <row r="34" spans="1:9">
      <c r="G34" s="166"/>
    </row>
    <row r="35" spans="1:9">
      <c r="A35" s="140" t="s">
        <v>475</v>
      </c>
      <c r="G35" s="166"/>
    </row>
    <row r="36" spans="1:9" ht="14.25">
      <c r="F36" s="187">
        <v>2014</v>
      </c>
      <c r="G36" s="166"/>
    </row>
    <row r="37" spans="1:9" ht="13.5">
      <c r="A37" s="146" t="s">
        <v>67</v>
      </c>
      <c r="B37" s="146" t="s">
        <v>466</v>
      </c>
      <c r="C37" s="282" t="s">
        <v>1</v>
      </c>
      <c r="D37" s="195"/>
      <c r="F37" s="196">
        <f>'R6 Base revenue'!F12</f>
        <v>1561.072803</v>
      </c>
      <c r="G37" s="143"/>
      <c r="H37" s="143"/>
    </row>
    <row r="38" spans="1:9" ht="13.5">
      <c r="A38" s="146" t="s">
        <v>467</v>
      </c>
      <c r="B38" s="146" t="s">
        <v>468</v>
      </c>
      <c r="C38" s="282" t="s">
        <v>1</v>
      </c>
      <c r="D38" s="195"/>
      <c r="F38" s="196">
        <f>'R6 Base revenue'!E49</f>
        <v>1433.655</v>
      </c>
      <c r="G38" s="143"/>
      <c r="H38" s="143"/>
    </row>
    <row r="39" spans="1:9" ht="13.5">
      <c r="A39" s="146"/>
      <c r="B39" s="146"/>
      <c r="C39" s="282"/>
      <c r="D39" s="195"/>
      <c r="F39" s="143"/>
      <c r="G39" s="143"/>
      <c r="H39" s="143"/>
    </row>
    <row r="40" spans="1:9" ht="13.5">
      <c r="A40" s="197" t="s">
        <v>469</v>
      </c>
      <c r="B40" s="146"/>
      <c r="C40" s="282"/>
      <c r="D40" s="195"/>
      <c r="F40" s="143"/>
      <c r="G40" s="143"/>
      <c r="H40" s="143"/>
    </row>
    <row r="41" spans="1:9" ht="13.5">
      <c r="A41" s="146"/>
      <c r="B41" s="146"/>
      <c r="C41" s="282"/>
      <c r="D41" s="195"/>
      <c r="F41" s="143"/>
      <c r="G41" s="143"/>
      <c r="H41" s="143"/>
    </row>
    <row r="42" spans="1:9" ht="13.5">
      <c r="A42" s="146" t="s">
        <v>478</v>
      </c>
      <c r="B42" s="146" t="s">
        <v>461</v>
      </c>
      <c r="C42" s="282" t="s">
        <v>128</v>
      </c>
      <c r="D42" s="195"/>
      <c r="F42" s="539">
        <f>'R4 Licence Condition Values'!F32</f>
        <v>0.01</v>
      </c>
      <c r="G42" s="143"/>
      <c r="H42" s="143"/>
    </row>
    <row r="43" spans="1:9" ht="13.5">
      <c r="A43" s="146" t="s">
        <v>479</v>
      </c>
      <c r="B43" s="146" t="s">
        <v>233</v>
      </c>
      <c r="C43" s="282" t="s">
        <v>128</v>
      </c>
      <c r="D43" s="195"/>
      <c r="F43" s="539">
        <f>'R4 Licence Condition Values'!F33</f>
        <v>-1.4999999999999999E-2</v>
      </c>
      <c r="G43" s="143"/>
      <c r="H43" s="143"/>
    </row>
    <row r="44" spans="1:9" ht="13.5">
      <c r="A44" s="146" t="s">
        <v>480</v>
      </c>
      <c r="B44" s="146" t="s">
        <v>460</v>
      </c>
      <c r="C44" s="282" t="s">
        <v>544</v>
      </c>
      <c r="D44" s="195"/>
      <c r="F44" s="198">
        <f>'R4 Licence Condition Values'!F30</f>
        <v>263</v>
      </c>
      <c r="G44" s="143"/>
      <c r="H44" s="143"/>
    </row>
    <row r="45" spans="1:9" ht="13.5">
      <c r="A45" s="146" t="s">
        <v>481</v>
      </c>
      <c r="B45" s="146" t="s">
        <v>463</v>
      </c>
      <c r="C45" s="282" t="s">
        <v>544</v>
      </c>
      <c r="D45" s="195"/>
      <c r="F45" s="198">
        <f>'R4 Licence Condition Values'!F35</f>
        <v>619</v>
      </c>
      <c r="G45" s="143"/>
      <c r="H45" s="143"/>
    </row>
    <row r="46" spans="1:9" ht="13.5">
      <c r="A46" s="146" t="s">
        <v>509</v>
      </c>
      <c r="B46" s="146" t="s">
        <v>470</v>
      </c>
      <c r="C46" s="282" t="s">
        <v>510</v>
      </c>
      <c r="F46" s="198">
        <f>'R5 Input page'!F74</f>
        <v>0</v>
      </c>
      <c r="G46" s="143"/>
      <c r="H46" s="143"/>
    </row>
    <row r="47" spans="1:9" ht="13.5">
      <c r="A47" s="146" t="s">
        <v>482</v>
      </c>
      <c r="B47" s="146" t="s">
        <v>459</v>
      </c>
      <c r="C47" s="282" t="s">
        <v>544</v>
      </c>
      <c r="D47" s="195"/>
      <c r="F47" s="198">
        <f>'R4 Licence Condition Values'!F29</f>
        <v>237</v>
      </c>
      <c r="G47" s="143"/>
      <c r="H47" s="143"/>
    </row>
    <row r="48" spans="1:9" ht="13.5">
      <c r="A48" s="146"/>
      <c r="B48" s="146"/>
      <c r="C48" s="290"/>
      <c r="D48" s="195"/>
      <c r="F48" s="143"/>
      <c r="G48" s="143"/>
      <c r="H48" s="143"/>
    </row>
    <row r="49" spans="1:14" ht="13.5">
      <c r="A49" s="146"/>
      <c r="B49" s="146"/>
      <c r="C49" s="282"/>
      <c r="D49" s="195"/>
      <c r="F49" s="143"/>
      <c r="G49" s="143"/>
      <c r="H49" s="143"/>
    </row>
    <row r="50" spans="1:14" ht="13.9">
      <c r="A50" s="146" t="s">
        <v>471</v>
      </c>
      <c r="B50" s="146" t="s">
        <v>472</v>
      </c>
      <c r="C50" s="282" t="s">
        <v>128</v>
      </c>
      <c r="D50" s="195"/>
      <c r="F50" s="540">
        <f>IF(F46&lt;F47,F42*((F47-F46)/F47),IF(F46&gt;F44,MAX(F43,F43*((F46-F44)/(F45-F44))),0))</f>
        <v>0.01</v>
      </c>
      <c r="G50" s="143"/>
      <c r="H50" s="143"/>
    </row>
    <row r="51" spans="1:14" ht="13.5">
      <c r="A51" s="146"/>
      <c r="B51" s="146"/>
      <c r="C51" s="140"/>
      <c r="D51" s="195"/>
      <c r="E51" s="143"/>
      <c r="G51" s="143"/>
      <c r="H51" s="143"/>
    </row>
    <row r="52" spans="1:14" ht="13.9">
      <c r="A52" s="146" t="s">
        <v>458</v>
      </c>
      <c r="B52" s="146" t="s">
        <v>318</v>
      </c>
      <c r="C52" s="282" t="s">
        <v>1</v>
      </c>
      <c r="D52" s="195"/>
      <c r="F52" s="218">
        <f>F38*F50</f>
        <v>14.336550000000001</v>
      </c>
      <c r="G52" s="143"/>
      <c r="H52" s="143"/>
    </row>
    <row r="53" spans="1:14">
      <c r="F53" s="166"/>
      <c r="G53" s="166"/>
      <c r="H53" s="166"/>
      <c r="I53" s="166"/>
    </row>
    <row r="54" spans="1:14">
      <c r="G54" s="166"/>
    </row>
    <row r="55" spans="1:14" ht="13.5">
      <c r="A55" s="147" t="s">
        <v>34</v>
      </c>
      <c r="G55" s="166"/>
    </row>
    <row r="57" spans="1:14">
      <c r="A57" s="185" t="s">
        <v>357</v>
      </c>
      <c r="M57" s="166"/>
    </row>
    <row r="58" spans="1:14">
      <c r="A58" s="185" t="s">
        <v>543</v>
      </c>
    </row>
    <row r="59" spans="1:14" ht="14.25">
      <c r="F59" s="187">
        <v>2014</v>
      </c>
      <c r="G59" s="139">
        <v>2015</v>
      </c>
      <c r="H59" s="139">
        <v>2016</v>
      </c>
      <c r="I59" s="139">
        <v>2017</v>
      </c>
      <c r="J59" s="139">
        <v>2018</v>
      </c>
      <c r="K59" s="139">
        <v>2019</v>
      </c>
      <c r="L59" s="139">
        <v>2020</v>
      </c>
      <c r="M59" s="139">
        <v>2021</v>
      </c>
    </row>
    <row r="60" spans="1:14">
      <c r="A60" s="140" t="s">
        <v>48</v>
      </c>
      <c r="B60" s="140" t="s">
        <v>243</v>
      </c>
      <c r="C60" s="284" t="s">
        <v>1</v>
      </c>
      <c r="F60" s="179">
        <f>IF(SER&lt;F73*SERLIMIT,SER,F73*SERLIMIT)</f>
        <v>0</v>
      </c>
      <c r="G60" s="179">
        <f>IF(SER&lt;G73*SERLIMIT,SER,G73*SERLIMIT)</f>
        <v>0</v>
      </c>
      <c r="H60" s="179">
        <f t="shared" ref="H60:M60" si="14">IF(SER&lt;H73*SERLIMIT,SER,H73*SERLIMIT)</f>
        <v>0</v>
      </c>
      <c r="I60" s="179">
        <f t="shared" si="14"/>
        <v>0</v>
      </c>
      <c r="J60" s="179">
        <f t="shared" si="14"/>
        <v>0</v>
      </c>
      <c r="K60" s="179">
        <f t="shared" si="14"/>
        <v>0</v>
      </c>
      <c r="L60" s="179">
        <f t="shared" si="14"/>
        <v>0</v>
      </c>
      <c r="M60" s="179">
        <f t="shared" si="14"/>
        <v>0</v>
      </c>
      <c r="N60" s="166" t="s">
        <v>243</v>
      </c>
    </row>
    <row r="61" spans="1:14">
      <c r="A61" s="140" t="s">
        <v>49</v>
      </c>
      <c r="B61" s="140" t="s">
        <v>341</v>
      </c>
      <c r="C61" s="284" t="s">
        <v>1</v>
      </c>
      <c r="F61" s="179">
        <f t="shared" ref="F61:M61" si="15">SSS</f>
        <v>-11.039456772511999</v>
      </c>
      <c r="G61" s="179">
        <f t="shared" si="15"/>
        <v>-12.241170728947852</v>
      </c>
      <c r="H61" s="179">
        <f t="shared" si="15"/>
        <v>-11.845195210419538</v>
      </c>
      <c r="I61" s="179">
        <f t="shared" si="15"/>
        <v>-16.843472811633823</v>
      </c>
      <c r="J61" s="179">
        <f t="shared" si="15"/>
        <v>-16.17604701607312</v>
      </c>
      <c r="K61" s="179">
        <f t="shared" si="15"/>
        <v>-16.711424134600488</v>
      </c>
      <c r="L61" s="179">
        <f t="shared" si="15"/>
        <v>-16.435020238333827</v>
      </c>
      <c r="M61" s="179">
        <f t="shared" si="15"/>
        <v>-20.536855310981394</v>
      </c>
      <c r="N61" s="166" t="s">
        <v>341</v>
      </c>
    </row>
    <row r="62" spans="1:14">
      <c r="A62" s="140" t="s">
        <v>241</v>
      </c>
      <c r="B62" s="140" t="s">
        <v>361</v>
      </c>
      <c r="C62" s="290" t="s">
        <v>128</v>
      </c>
      <c r="F62" s="179">
        <f t="shared" ref="F62:M62" si="16">It</f>
        <v>0.5</v>
      </c>
      <c r="G62" s="165">
        <f t="shared" si="16"/>
        <v>0.5</v>
      </c>
      <c r="H62" s="165">
        <f t="shared" si="16"/>
        <v>0.5</v>
      </c>
      <c r="I62" s="165">
        <f t="shared" si="16"/>
        <v>0.34</v>
      </c>
      <c r="J62" s="165">
        <f t="shared" si="16"/>
        <v>0.35</v>
      </c>
      <c r="K62" s="165">
        <f t="shared" si="16"/>
        <v>0.67</v>
      </c>
      <c r="L62" s="165">
        <f t="shared" si="16"/>
        <v>0</v>
      </c>
      <c r="M62" s="165">
        <f t="shared" si="16"/>
        <v>0</v>
      </c>
      <c r="N62" s="166" t="s">
        <v>361</v>
      </c>
    </row>
    <row r="63" spans="1:14">
      <c r="A63" s="140" t="s">
        <v>34</v>
      </c>
      <c r="B63" s="140" t="s">
        <v>355</v>
      </c>
      <c r="C63" s="284" t="s">
        <v>1</v>
      </c>
      <c r="F63" s="561"/>
      <c r="G63" s="562"/>
      <c r="H63" s="175">
        <f>SUM(F60:F61)*(1+F62/100)*(1+G62/100)</f>
        <v>-11.150127326656428</v>
      </c>
      <c r="I63" s="175">
        <f t="shared" ref="I63:M63" si="17">SUM(G60:G61)*(1+G62/100)*(1+H62/100)</f>
        <v>-12.363888465505552</v>
      </c>
      <c r="J63" s="175">
        <f>SUM(H60:H61)*(1+H62/100)*(1+I62/100)</f>
        <v>-11.944896218505638</v>
      </c>
      <c r="K63" s="175">
        <f t="shared" si="17"/>
        <v>-16.959893211360555</v>
      </c>
      <c r="L63" s="175">
        <f t="shared" si="17"/>
        <v>-16.341422023939593</v>
      </c>
      <c r="M63" s="175">
        <f t="shared" si="17"/>
        <v>-16.82339067630231</v>
      </c>
      <c r="N63" s="166" t="s">
        <v>355</v>
      </c>
    </row>
    <row r="64" spans="1:14">
      <c r="F64" s="166"/>
      <c r="G64" s="166"/>
      <c r="H64" s="166"/>
      <c r="I64" s="166"/>
    </row>
    <row r="66" spans="1:14" ht="13.5">
      <c r="E66" s="199"/>
    </row>
    <row r="67" spans="1:14" ht="14.65">
      <c r="A67" s="403" t="s">
        <v>358</v>
      </c>
      <c r="F67" s="393" t="s">
        <v>797</v>
      </c>
    </row>
    <row r="68" spans="1:14">
      <c r="A68" s="200"/>
      <c r="M68" s="166"/>
    </row>
    <row r="69" spans="1:14">
      <c r="A69" s="200"/>
    </row>
    <row r="70" spans="1:14" ht="14.25">
      <c r="A70" s="200"/>
      <c r="F70" s="187">
        <v>2014</v>
      </c>
      <c r="G70" s="139">
        <v>2015</v>
      </c>
      <c r="H70" s="139">
        <v>2016</v>
      </c>
      <c r="I70" s="139">
        <v>2017</v>
      </c>
      <c r="J70" s="139">
        <v>2018</v>
      </c>
      <c r="K70" s="139">
        <v>2019</v>
      </c>
      <c r="L70" s="139">
        <v>2020</v>
      </c>
      <c r="M70" s="139">
        <v>2021</v>
      </c>
    </row>
    <row r="71" spans="1:14">
      <c r="A71" s="200" t="s">
        <v>235</v>
      </c>
      <c r="B71" s="140" t="s">
        <v>338</v>
      </c>
      <c r="C71" s="284" t="s">
        <v>1</v>
      </c>
      <c r="F71" s="194">
        <f t="shared" ref="F71:M71" si="18">BRt</f>
        <v>1561.072803</v>
      </c>
      <c r="G71" s="164">
        <f t="shared" si="18"/>
        <v>1732.7426765239791</v>
      </c>
      <c r="H71" s="164">
        <f t="shared" si="18"/>
        <v>1676.4672842336486</v>
      </c>
      <c r="I71" s="164">
        <f t="shared" si="18"/>
        <v>1684.3472811633824</v>
      </c>
      <c r="J71" s="164">
        <f t="shared" si="18"/>
        <v>1617.6047016073121</v>
      </c>
      <c r="K71" s="164">
        <f t="shared" si="18"/>
        <v>1671.1424134600488</v>
      </c>
      <c r="L71" s="164">
        <f t="shared" si="18"/>
        <v>1643.5020238333825</v>
      </c>
      <c r="M71" s="164">
        <f t="shared" si="18"/>
        <v>2053.6855310981396</v>
      </c>
      <c r="N71" s="166" t="s">
        <v>338</v>
      </c>
    </row>
    <row r="72" spans="1:14">
      <c r="A72" s="200" t="s">
        <v>236</v>
      </c>
      <c r="B72" s="140" t="s">
        <v>168</v>
      </c>
      <c r="C72" s="284" t="s">
        <v>1</v>
      </c>
      <c r="F72" s="194">
        <f t="shared" ref="F72:M72" si="19">TIRG</f>
        <v>15.992450216000002</v>
      </c>
      <c r="G72" s="164">
        <f t="shared" si="19"/>
        <v>15.995999039999997</v>
      </c>
      <c r="H72" s="164">
        <f t="shared" si="19"/>
        <v>15.703460112000002</v>
      </c>
      <c r="I72" s="164">
        <f t="shared" si="19"/>
        <v>0</v>
      </c>
      <c r="J72" s="164">
        <f t="shared" si="19"/>
        <v>0</v>
      </c>
      <c r="K72" s="164">
        <f t="shared" si="19"/>
        <v>0</v>
      </c>
      <c r="L72" s="164">
        <f t="shared" si="19"/>
        <v>0</v>
      </c>
      <c r="M72" s="164">
        <f t="shared" si="19"/>
        <v>0</v>
      </c>
      <c r="N72" s="166" t="s">
        <v>168</v>
      </c>
    </row>
    <row r="73" spans="1:14">
      <c r="A73" s="200"/>
      <c r="B73" s="140" t="s">
        <v>107</v>
      </c>
      <c r="C73" s="284" t="s">
        <v>1</v>
      </c>
      <c r="F73" s="217">
        <f>F71+F72</f>
        <v>1577.065253216</v>
      </c>
      <c r="G73" s="217">
        <f t="shared" ref="G73:M73" si="20">G71+G72</f>
        <v>1748.7386755639791</v>
      </c>
      <c r="H73" s="217">
        <f>H71+H72</f>
        <v>1692.1707443456485</v>
      </c>
      <c r="I73" s="217">
        <f t="shared" si="20"/>
        <v>1684.3472811633824</v>
      </c>
      <c r="J73" s="217">
        <f t="shared" si="20"/>
        <v>1617.6047016073121</v>
      </c>
      <c r="K73" s="217">
        <f t="shared" si="20"/>
        <v>1671.1424134600488</v>
      </c>
      <c r="L73" s="217">
        <f t="shared" si="20"/>
        <v>1643.5020238333825</v>
      </c>
      <c r="M73" s="217">
        <f t="shared" si="20"/>
        <v>2053.6855310981396</v>
      </c>
      <c r="N73" s="166"/>
    </row>
    <row r="74" spans="1:14">
      <c r="A74" s="200" t="s">
        <v>237</v>
      </c>
      <c r="B74" s="140" t="s">
        <v>339</v>
      </c>
      <c r="C74" s="284" t="s">
        <v>140</v>
      </c>
      <c r="D74" s="142"/>
      <c r="E74" s="142"/>
      <c r="F74" s="194">
        <f>F95</f>
        <v>-0.01</v>
      </c>
      <c r="G74" s="194">
        <f t="shared" ref="G74:M74" si="21">G95</f>
        <v>-0.01</v>
      </c>
      <c r="H74" s="194">
        <f t="shared" si="21"/>
        <v>-0.01</v>
      </c>
      <c r="I74" s="194">
        <f t="shared" si="21"/>
        <v>-0.01</v>
      </c>
      <c r="J74" s="194">
        <f t="shared" si="21"/>
        <v>-0.01</v>
      </c>
      <c r="K74" s="194">
        <f t="shared" si="21"/>
        <v>-0.01</v>
      </c>
      <c r="L74" s="194">
        <f t="shared" si="21"/>
        <v>-0.01</v>
      </c>
      <c r="M74" s="194">
        <f t="shared" si="21"/>
        <v>-0.01</v>
      </c>
      <c r="N74" s="166" t="s">
        <v>339</v>
      </c>
    </row>
    <row r="75" spans="1:14">
      <c r="A75" s="200" t="s">
        <v>712</v>
      </c>
      <c r="B75" s="140" t="s">
        <v>265</v>
      </c>
      <c r="C75" s="284" t="s">
        <v>140</v>
      </c>
      <c r="F75" s="194">
        <f t="shared" ref="F75:M75" si="22">CSSPRO</f>
        <v>0.7</v>
      </c>
      <c r="G75" s="194">
        <f t="shared" si="22"/>
        <v>0.7</v>
      </c>
      <c r="H75" s="194">
        <f t="shared" si="22"/>
        <v>0.7</v>
      </c>
      <c r="I75" s="194">
        <f t="shared" si="22"/>
        <v>0.7</v>
      </c>
      <c r="J75" s="194">
        <f t="shared" si="22"/>
        <v>0.7</v>
      </c>
      <c r="K75" s="194">
        <f t="shared" si="22"/>
        <v>0.7</v>
      </c>
      <c r="L75" s="194">
        <f t="shared" si="22"/>
        <v>0.7</v>
      </c>
      <c r="M75" s="194">
        <f t="shared" si="22"/>
        <v>0.7</v>
      </c>
      <c r="N75" s="166" t="s">
        <v>265</v>
      </c>
    </row>
    <row r="76" spans="1:14">
      <c r="A76" s="200"/>
      <c r="B76" s="140" t="s">
        <v>240</v>
      </c>
      <c r="C76" s="284" t="s">
        <v>140</v>
      </c>
      <c r="F76" s="216">
        <f>F74*F75</f>
        <v>-6.9999999999999993E-3</v>
      </c>
      <c r="G76" s="216">
        <f t="shared" ref="G76:M76" si="23">G74*G75</f>
        <v>-6.9999999999999993E-3</v>
      </c>
      <c r="H76" s="216">
        <f t="shared" si="23"/>
        <v>-6.9999999999999993E-3</v>
      </c>
      <c r="I76" s="216">
        <f t="shared" si="23"/>
        <v>-6.9999999999999993E-3</v>
      </c>
      <c r="J76" s="216">
        <f t="shared" si="23"/>
        <v>-6.9999999999999993E-3</v>
      </c>
      <c r="K76" s="216">
        <f t="shared" si="23"/>
        <v>-6.9999999999999993E-3</v>
      </c>
      <c r="L76" s="216">
        <f t="shared" si="23"/>
        <v>-6.9999999999999993E-3</v>
      </c>
      <c r="M76" s="216">
        <f t="shared" si="23"/>
        <v>-6.9999999999999993E-3</v>
      </c>
      <c r="N76" s="166"/>
    </row>
    <row r="77" spans="1:14">
      <c r="A77" s="200" t="s">
        <v>237</v>
      </c>
      <c r="B77" s="140" t="s">
        <v>340</v>
      </c>
      <c r="C77" s="284" t="s">
        <v>140</v>
      </c>
      <c r="D77" s="142"/>
      <c r="E77" s="142"/>
      <c r="F77" s="194">
        <f>F108</f>
        <v>-0.01</v>
      </c>
      <c r="G77" s="194">
        <f t="shared" ref="G77:M77" si="24">G108</f>
        <v>-0.01</v>
      </c>
      <c r="H77" s="194">
        <f t="shared" si="24"/>
        <v>-0.01</v>
      </c>
      <c r="I77" s="194">
        <f t="shared" si="24"/>
        <v>-0.01</v>
      </c>
      <c r="J77" s="194">
        <f t="shared" si="24"/>
        <v>-0.01</v>
      </c>
      <c r="K77" s="194">
        <f t="shared" si="24"/>
        <v>-0.01</v>
      </c>
      <c r="L77" s="194">
        <f t="shared" si="24"/>
        <v>-0.01</v>
      </c>
      <c r="M77" s="194">
        <f t="shared" si="24"/>
        <v>-0.01</v>
      </c>
      <c r="N77" s="166" t="s">
        <v>340</v>
      </c>
    </row>
    <row r="78" spans="1:14">
      <c r="A78" s="200" t="s">
        <v>712</v>
      </c>
      <c r="B78" s="140" t="s">
        <v>711</v>
      </c>
      <c r="C78" s="284" t="s">
        <v>140</v>
      </c>
      <c r="F78" s="194">
        <f t="shared" ref="F78:M78" si="25">SSSPRO</f>
        <v>0</v>
      </c>
      <c r="G78" s="194">
        <f t="shared" si="25"/>
        <v>0</v>
      </c>
      <c r="H78" s="194">
        <f t="shared" si="25"/>
        <v>0</v>
      </c>
      <c r="I78" s="194">
        <f t="shared" si="25"/>
        <v>0.30000000000000004</v>
      </c>
      <c r="J78" s="194">
        <f t="shared" si="25"/>
        <v>0.30000000000000004</v>
      </c>
      <c r="K78" s="194">
        <f t="shared" si="25"/>
        <v>0.30000000000000004</v>
      </c>
      <c r="L78" s="194">
        <f t="shared" si="25"/>
        <v>0.30000000000000004</v>
      </c>
      <c r="M78" s="194">
        <f t="shared" si="25"/>
        <v>0.30000000000000004</v>
      </c>
      <c r="N78" s="166" t="s">
        <v>711</v>
      </c>
    </row>
    <row r="79" spans="1:14">
      <c r="A79" s="200"/>
      <c r="B79" s="140" t="s">
        <v>240</v>
      </c>
      <c r="C79" s="284" t="s">
        <v>140</v>
      </c>
      <c r="F79" s="216">
        <f>F77*F78</f>
        <v>0</v>
      </c>
      <c r="G79" s="216">
        <f t="shared" ref="G79:M79" si="26">G77*G78</f>
        <v>0</v>
      </c>
      <c r="H79" s="216">
        <f t="shared" si="26"/>
        <v>0</v>
      </c>
      <c r="I79" s="216">
        <f>I77*I78</f>
        <v>-3.0000000000000005E-3</v>
      </c>
      <c r="J79" s="216">
        <f t="shared" si="26"/>
        <v>-3.0000000000000005E-3</v>
      </c>
      <c r="K79" s="216">
        <f t="shared" si="26"/>
        <v>-3.0000000000000005E-3</v>
      </c>
      <c r="L79" s="216">
        <f t="shared" si="26"/>
        <v>-3.0000000000000005E-3</v>
      </c>
      <c r="M79" s="216">
        <f t="shared" si="26"/>
        <v>-3.0000000000000005E-3</v>
      </c>
    </row>
    <row r="80" spans="1:14">
      <c r="A80" s="200" t="s">
        <v>49</v>
      </c>
      <c r="B80" s="140" t="s">
        <v>341</v>
      </c>
      <c r="C80" s="284" t="s">
        <v>1</v>
      </c>
      <c r="F80" s="216">
        <f>F73*(F76+F79)</f>
        <v>-11.039456772511999</v>
      </c>
      <c r="G80" s="216">
        <f t="shared" ref="G80:M80" si="27">G73*(G76+G79)</f>
        <v>-12.241170728947852</v>
      </c>
      <c r="H80" s="216">
        <f>H73*(H76+H79)</f>
        <v>-11.845195210419538</v>
      </c>
      <c r="I80" s="216">
        <f t="shared" si="27"/>
        <v>-16.843472811633823</v>
      </c>
      <c r="J80" s="216">
        <f t="shared" si="27"/>
        <v>-16.17604701607312</v>
      </c>
      <c r="K80" s="216">
        <f>K73*(K76+K79)</f>
        <v>-16.711424134600488</v>
      </c>
      <c r="L80" s="216">
        <f t="shared" si="27"/>
        <v>-16.435020238333827</v>
      </c>
      <c r="M80" s="216">
        <f t="shared" si="27"/>
        <v>-20.536855310981394</v>
      </c>
      <c r="N80" s="166" t="s">
        <v>341</v>
      </c>
    </row>
    <row r="81" spans="1:14">
      <c r="C81" s="284"/>
      <c r="F81" s="166"/>
      <c r="G81" s="166"/>
      <c r="H81" s="166"/>
      <c r="I81" s="166"/>
      <c r="N81" s="166"/>
    </row>
    <row r="82" spans="1:14">
      <c r="C82" s="284"/>
      <c r="N82" s="166"/>
    </row>
    <row r="83" spans="1:14">
      <c r="A83" s="185" t="s">
        <v>238</v>
      </c>
      <c r="N83" s="166"/>
    </row>
    <row r="84" spans="1:14" s="205" customFormat="1" ht="17.649999999999999">
      <c r="A84" s="185" t="s">
        <v>483</v>
      </c>
      <c r="B84" s="200" t="s">
        <v>438</v>
      </c>
      <c r="C84" s="201"/>
      <c r="D84" s="201"/>
      <c r="E84" s="201"/>
      <c r="F84" s="200"/>
      <c r="G84" s="202" t="s">
        <v>489</v>
      </c>
      <c r="H84" s="203"/>
      <c r="I84" s="203"/>
      <c r="J84" s="203"/>
      <c r="K84" s="203"/>
      <c r="L84" s="203"/>
      <c r="M84" s="203"/>
      <c r="N84" s="204"/>
    </row>
    <row r="85" spans="1:14" s="205" customFormat="1">
      <c r="A85" s="185" t="s">
        <v>545</v>
      </c>
      <c r="B85" s="200"/>
      <c r="F85" s="203"/>
      <c r="G85" s="203"/>
      <c r="H85" s="203"/>
      <c r="I85" s="203"/>
      <c r="J85" s="203"/>
      <c r="K85" s="203"/>
      <c r="L85" s="166"/>
      <c r="M85" s="203"/>
      <c r="N85" s="204"/>
    </row>
    <row r="86" spans="1:14" s="205" customFormat="1">
      <c r="A86" s="185"/>
      <c r="B86" s="200"/>
      <c r="F86" s="203"/>
      <c r="G86" s="203"/>
      <c r="H86" s="203"/>
      <c r="I86" s="203"/>
      <c r="J86" s="203"/>
      <c r="K86" s="203"/>
      <c r="L86" s="203"/>
      <c r="M86" s="203"/>
      <c r="N86" s="204"/>
    </row>
    <row r="87" spans="1:14" s="205" customFormat="1">
      <c r="A87" s="185"/>
      <c r="B87" s="200"/>
      <c r="F87" s="203"/>
      <c r="G87" s="203"/>
      <c r="H87" s="203"/>
      <c r="I87" s="203"/>
      <c r="J87" s="203"/>
      <c r="K87" s="203"/>
      <c r="L87" s="203"/>
      <c r="M87" s="203"/>
      <c r="N87" s="204"/>
    </row>
    <row r="88" spans="1:14" s="205" customFormat="1" ht="14.25">
      <c r="A88" s="185"/>
      <c r="B88" s="200"/>
      <c r="F88" s="187">
        <v>2014</v>
      </c>
      <c r="G88" s="139">
        <v>2015</v>
      </c>
      <c r="H88" s="139">
        <v>2016</v>
      </c>
      <c r="I88" s="139">
        <v>2017</v>
      </c>
      <c r="J88" s="139">
        <v>2018</v>
      </c>
      <c r="K88" s="139">
        <v>2019</v>
      </c>
      <c r="L88" s="139">
        <v>2020</v>
      </c>
      <c r="M88" s="139">
        <v>2021</v>
      </c>
      <c r="N88" s="204"/>
    </row>
    <row r="89" spans="1:14" s="154" customFormat="1" ht="12.75" customHeight="1">
      <c r="A89" s="149" t="s">
        <v>804</v>
      </c>
      <c r="B89" s="149" t="s">
        <v>427</v>
      </c>
      <c r="C89" s="138" t="s">
        <v>502</v>
      </c>
      <c r="D89" s="157"/>
      <c r="E89" s="157"/>
      <c r="F89" s="206">
        <f t="shared" ref="F89:M89" si="28">CSST</f>
        <v>6.9</v>
      </c>
      <c r="G89" s="206">
        <f t="shared" si="28"/>
        <v>6.9</v>
      </c>
      <c r="H89" s="206">
        <f t="shared" si="28"/>
        <v>6.9</v>
      </c>
      <c r="I89" s="206">
        <f t="shared" si="28"/>
        <v>6.9</v>
      </c>
      <c r="J89" s="206">
        <f t="shared" si="28"/>
        <v>6.9</v>
      </c>
      <c r="K89" s="206">
        <f t="shared" si="28"/>
        <v>6.9</v>
      </c>
      <c r="L89" s="206">
        <f t="shared" si="28"/>
        <v>6.9</v>
      </c>
      <c r="M89" s="206">
        <f t="shared" si="28"/>
        <v>6.9</v>
      </c>
      <c r="N89" s="207" t="s">
        <v>427</v>
      </c>
    </row>
    <row r="90" spans="1:14" s="154" customFormat="1" ht="12.75" customHeight="1">
      <c r="A90" s="149" t="s">
        <v>423</v>
      </c>
      <c r="B90" s="149" t="s">
        <v>428</v>
      </c>
      <c r="C90" s="138" t="s">
        <v>502</v>
      </c>
      <c r="D90" s="157"/>
      <c r="E90" s="157"/>
      <c r="F90" s="206">
        <f t="shared" ref="F90:M90" si="29">CSSCAP</f>
        <v>8.5</v>
      </c>
      <c r="G90" s="206">
        <f t="shared" si="29"/>
        <v>8.5</v>
      </c>
      <c r="H90" s="206">
        <f t="shared" si="29"/>
        <v>8.5</v>
      </c>
      <c r="I90" s="206">
        <f t="shared" si="29"/>
        <v>8.5</v>
      </c>
      <c r="J90" s="206">
        <f t="shared" si="29"/>
        <v>8.5</v>
      </c>
      <c r="K90" s="206">
        <f t="shared" si="29"/>
        <v>8.5</v>
      </c>
      <c r="L90" s="206">
        <f t="shared" si="29"/>
        <v>8.5</v>
      </c>
      <c r="M90" s="206">
        <f t="shared" si="29"/>
        <v>8.5</v>
      </c>
      <c r="N90" s="207" t="s">
        <v>428</v>
      </c>
    </row>
    <row r="91" spans="1:14" s="154" customFormat="1" ht="12.75" customHeight="1">
      <c r="A91" s="149" t="s">
        <v>425</v>
      </c>
      <c r="B91" s="149" t="s">
        <v>430</v>
      </c>
      <c r="C91" s="138" t="s">
        <v>128</v>
      </c>
      <c r="D91" s="157"/>
      <c r="E91" s="157"/>
      <c r="F91" s="208">
        <f t="shared" ref="F91:M91" si="30">CSSUPA</f>
        <v>0.01</v>
      </c>
      <c r="G91" s="208">
        <f t="shared" si="30"/>
        <v>0.01</v>
      </c>
      <c r="H91" s="208">
        <f t="shared" si="30"/>
        <v>0.01</v>
      </c>
      <c r="I91" s="208">
        <f t="shared" si="30"/>
        <v>0.01</v>
      </c>
      <c r="J91" s="208">
        <f t="shared" si="30"/>
        <v>0.01</v>
      </c>
      <c r="K91" s="208">
        <f t="shared" si="30"/>
        <v>0.01</v>
      </c>
      <c r="L91" s="208">
        <f t="shared" si="30"/>
        <v>0.01</v>
      </c>
      <c r="M91" s="208">
        <f t="shared" si="30"/>
        <v>0.01</v>
      </c>
      <c r="N91" s="207" t="s">
        <v>430</v>
      </c>
    </row>
    <row r="92" spans="1:14" s="154" customFormat="1" ht="12.75" customHeight="1">
      <c r="A92" s="149" t="s">
        <v>424</v>
      </c>
      <c r="B92" s="149" t="s">
        <v>429</v>
      </c>
      <c r="C92" s="138" t="s">
        <v>502</v>
      </c>
      <c r="D92" s="157"/>
      <c r="E92" s="157"/>
      <c r="F92" s="206">
        <f t="shared" ref="F92:M92" si="31">CSSCOL</f>
        <v>5.3</v>
      </c>
      <c r="G92" s="206">
        <f t="shared" si="31"/>
        <v>5.3</v>
      </c>
      <c r="H92" s="206">
        <f t="shared" si="31"/>
        <v>5.3</v>
      </c>
      <c r="I92" s="206">
        <f t="shared" si="31"/>
        <v>5.3</v>
      </c>
      <c r="J92" s="206">
        <f t="shared" si="31"/>
        <v>5.3</v>
      </c>
      <c r="K92" s="206">
        <f t="shared" si="31"/>
        <v>5.3</v>
      </c>
      <c r="L92" s="206">
        <f t="shared" si="31"/>
        <v>5.3</v>
      </c>
      <c r="M92" s="206">
        <f t="shared" si="31"/>
        <v>5.3</v>
      </c>
      <c r="N92" s="207" t="s">
        <v>429</v>
      </c>
    </row>
    <row r="93" spans="1:14" s="154" customFormat="1" ht="12.75" customHeight="1">
      <c r="A93" s="149" t="s">
        <v>426</v>
      </c>
      <c r="B93" s="149" t="s">
        <v>431</v>
      </c>
      <c r="C93" s="138" t="s">
        <v>128</v>
      </c>
      <c r="D93" s="157"/>
      <c r="E93" s="157"/>
      <c r="F93" s="208">
        <f t="shared" ref="F93:M93" si="32">CSSDPA</f>
        <v>-0.01</v>
      </c>
      <c r="G93" s="208">
        <f t="shared" si="32"/>
        <v>-0.01</v>
      </c>
      <c r="H93" s="208">
        <f t="shared" si="32"/>
        <v>-0.01</v>
      </c>
      <c r="I93" s="208">
        <f t="shared" si="32"/>
        <v>-0.01</v>
      </c>
      <c r="J93" s="208">
        <f t="shared" si="32"/>
        <v>-0.01</v>
      </c>
      <c r="K93" s="208">
        <f t="shared" si="32"/>
        <v>-0.01</v>
      </c>
      <c r="L93" s="208">
        <f t="shared" si="32"/>
        <v>-0.01</v>
      </c>
      <c r="M93" s="208">
        <f t="shared" si="32"/>
        <v>-0.01</v>
      </c>
      <c r="N93" s="207" t="s">
        <v>431</v>
      </c>
    </row>
    <row r="94" spans="1:14" s="205" customFormat="1">
      <c r="A94" s="140" t="s">
        <v>439</v>
      </c>
      <c r="B94" s="149" t="s">
        <v>239</v>
      </c>
      <c r="C94" s="138" t="s">
        <v>502</v>
      </c>
      <c r="F94" s="179">
        <f>CSSP</f>
        <v>0</v>
      </c>
      <c r="G94" s="179">
        <f t="shared" ref="G94:M94" si="33">CSSP</f>
        <v>0</v>
      </c>
      <c r="H94" s="179">
        <f t="shared" si="33"/>
        <v>0</v>
      </c>
      <c r="I94" s="179">
        <f t="shared" si="33"/>
        <v>0</v>
      </c>
      <c r="J94" s="179">
        <f t="shared" si="33"/>
        <v>0</v>
      </c>
      <c r="K94" s="179">
        <f t="shared" si="33"/>
        <v>0</v>
      </c>
      <c r="L94" s="179">
        <f t="shared" si="33"/>
        <v>0</v>
      </c>
      <c r="M94" s="179">
        <f t="shared" si="33"/>
        <v>0</v>
      </c>
      <c r="N94" s="207" t="s">
        <v>239</v>
      </c>
    </row>
    <row r="95" spans="1:14">
      <c r="A95" s="138" t="s">
        <v>237</v>
      </c>
      <c r="B95" s="149" t="s">
        <v>339</v>
      </c>
      <c r="C95" s="138" t="s">
        <v>140</v>
      </c>
      <c r="F95" s="291">
        <f>IF(F94&gt;F89,MIN(F91,F91*(F94-F89)/(F90-F89)),IF(F94&lt;F89,MAX(F93,F93*(F89-F94)/(F89-F92)),0))</f>
        <v>-0.01</v>
      </c>
      <c r="G95" s="291">
        <f t="shared" ref="G95:M95" si="34">IF(G94&gt;G89,MIN(G91,G91*(G94-G89)/(G90-G89)),IF(G94&lt;G89,MAX(G93,G93*(G89-G94)/(G89-G92)),0))</f>
        <v>-0.01</v>
      </c>
      <c r="H95" s="291">
        <f>IF(H94&gt;H89,MIN(H91,H91*(H94-H89)/(H90-H89)),IF(H94&lt;H89,MAX(H93,H93*(H89-H94)/(H89-H92)),0))</f>
        <v>-0.01</v>
      </c>
      <c r="I95" s="291">
        <f t="shared" si="34"/>
        <v>-0.01</v>
      </c>
      <c r="J95" s="291">
        <f t="shared" si="34"/>
        <v>-0.01</v>
      </c>
      <c r="K95" s="291">
        <f t="shared" si="34"/>
        <v>-0.01</v>
      </c>
      <c r="L95" s="291">
        <f t="shared" si="34"/>
        <v>-0.01</v>
      </c>
      <c r="M95" s="291">
        <f t="shared" si="34"/>
        <v>-0.01</v>
      </c>
      <c r="N95" s="207" t="s">
        <v>339</v>
      </c>
    </row>
    <row r="96" spans="1:14">
      <c r="F96" s="138"/>
      <c r="G96" s="166"/>
      <c r="H96" s="166"/>
      <c r="I96" s="166"/>
      <c r="J96" s="166"/>
      <c r="K96" s="140"/>
      <c r="L96" s="140"/>
      <c r="M96" s="140"/>
    </row>
    <row r="98" spans="1:14" ht="17.649999999999999">
      <c r="A98" s="403" t="s">
        <v>484</v>
      </c>
      <c r="B98" s="140" t="s">
        <v>485</v>
      </c>
      <c r="H98" s="209" t="s">
        <v>271</v>
      </c>
    </row>
    <row r="99" spans="1:14">
      <c r="A99" s="403" t="s">
        <v>545</v>
      </c>
    </row>
    <row r="100" spans="1:14">
      <c r="A100" s="200"/>
    </row>
    <row r="101" spans="1:14" ht="14.25">
      <c r="A101" s="200"/>
      <c r="F101" s="187">
        <v>2014</v>
      </c>
      <c r="G101" s="139">
        <v>2015</v>
      </c>
      <c r="H101" s="139">
        <v>2016</v>
      </c>
      <c r="I101" s="139">
        <v>2017</v>
      </c>
      <c r="J101" s="139">
        <v>2018</v>
      </c>
      <c r="K101" s="139">
        <v>2019</v>
      </c>
      <c r="L101" s="139">
        <v>2020</v>
      </c>
      <c r="M101" s="139">
        <v>2021</v>
      </c>
      <c r="N101" s="166"/>
    </row>
    <row r="102" spans="1:14">
      <c r="A102" s="200" t="s">
        <v>805</v>
      </c>
      <c r="B102" s="149" t="s">
        <v>266</v>
      </c>
      <c r="C102" s="138" t="s">
        <v>502</v>
      </c>
      <c r="F102" s="179">
        <f t="shared" ref="F102:M102" si="35">SSST</f>
        <v>7.4</v>
      </c>
      <c r="G102" s="165">
        <f t="shared" si="35"/>
        <v>7.4</v>
      </c>
      <c r="H102" s="165">
        <f t="shared" si="35"/>
        <v>7.4</v>
      </c>
      <c r="I102" s="165">
        <f t="shared" si="35"/>
        <v>7.4</v>
      </c>
      <c r="J102" s="165">
        <f t="shared" si="35"/>
        <v>7.4</v>
      </c>
      <c r="K102" s="165">
        <f t="shared" si="35"/>
        <v>7.4</v>
      </c>
      <c r="L102" s="165">
        <f t="shared" si="35"/>
        <v>7.4</v>
      </c>
      <c r="M102" s="165">
        <f t="shared" si="35"/>
        <v>7.4</v>
      </c>
      <c r="N102" s="422" t="s">
        <v>266</v>
      </c>
    </row>
    <row r="103" spans="1:14">
      <c r="A103" s="200" t="s">
        <v>273</v>
      </c>
      <c r="B103" s="149" t="s">
        <v>267</v>
      </c>
      <c r="C103" s="138" t="s">
        <v>502</v>
      </c>
      <c r="F103" s="179">
        <f>'R4 Licence Condition Values'!F55</f>
        <v>9</v>
      </c>
      <c r="G103" s="165">
        <f t="shared" ref="G103:M103" si="36">SSSCAP</f>
        <v>9</v>
      </c>
      <c r="H103" s="165">
        <f t="shared" si="36"/>
        <v>9</v>
      </c>
      <c r="I103" s="165">
        <f t="shared" si="36"/>
        <v>9</v>
      </c>
      <c r="J103" s="165">
        <f t="shared" si="36"/>
        <v>9</v>
      </c>
      <c r="K103" s="165">
        <f t="shared" si="36"/>
        <v>9</v>
      </c>
      <c r="L103" s="165">
        <f t="shared" si="36"/>
        <v>9</v>
      </c>
      <c r="M103" s="165">
        <f t="shared" si="36"/>
        <v>9</v>
      </c>
      <c r="N103" s="422" t="s">
        <v>267</v>
      </c>
    </row>
    <row r="104" spans="1:14">
      <c r="A104" s="200" t="s">
        <v>275</v>
      </c>
      <c r="B104" s="140" t="s">
        <v>268</v>
      </c>
      <c r="C104" s="138" t="s">
        <v>128</v>
      </c>
      <c r="F104" s="210">
        <f>'R4 Licence Condition Values'!F57</f>
        <v>0.01</v>
      </c>
      <c r="G104" s="211">
        <f t="shared" ref="G104:M104" si="37">SSSUPA</f>
        <v>0.01</v>
      </c>
      <c r="H104" s="211">
        <f t="shared" si="37"/>
        <v>0.01</v>
      </c>
      <c r="I104" s="211">
        <f t="shared" si="37"/>
        <v>0.01</v>
      </c>
      <c r="J104" s="211">
        <f t="shared" si="37"/>
        <v>0.01</v>
      </c>
      <c r="K104" s="211">
        <f t="shared" si="37"/>
        <v>0.01</v>
      </c>
      <c r="L104" s="211">
        <f t="shared" si="37"/>
        <v>0.01</v>
      </c>
      <c r="M104" s="211">
        <f t="shared" si="37"/>
        <v>0.01</v>
      </c>
      <c r="N104" s="422" t="s">
        <v>268</v>
      </c>
    </row>
    <row r="105" spans="1:14">
      <c r="A105" s="200" t="s">
        <v>274</v>
      </c>
      <c r="B105" s="149" t="s">
        <v>269</v>
      </c>
      <c r="C105" s="138" t="s">
        <v>502</v>
      </c>
      <c r="F105" s="179">
        <f>'R4 Licence Condition Values'!F56</f>
        <v>5.8</v>
      </c>
      <c r="G105" s="165">
        <f t="shared" ref="G105:M105" si="38">SSSCOL</f>
        <v>5.8</v>
      </c>
      <c r="H105" s="165">
        <f t="shared" si="38"/>
        <v>5.8</v>
      </c>
      <c r="I105" s="165">
        <f t="shared" si="38"/>
        <v>5.8</v>
      </c>
      <c r="J105" s="165">
        <f t="shared" si="38"/>
        <v>5.8</v>
      </c>
      <c r="K105" s="165">
        <f t="shared" si="38"/>
        <v>5.8</v>
      </c>
      <c r="L105" s="165">
        <f t="shared" si="38"/>
        <v>5.8</v>
      </c>
      <c r="M105" s="165">
        <f t="shared" si="38"/>
        <v>5.8</v>
      </c>
      <c r="N105" s="422" t="s">
        <v>269</v>
      </c>
    </row>
    <row r="106" spans="1:14">
      <c r="A106" s="200" t="s">
        <v>276</v>
      </c>
      <c r="B106" s="149" t="s">
        <v>270</v>
      </c>
      <c r="C106" s="138" t="s">
        <v>128</v>
      </c>
      <c r="F106" s="210">
        <f>'R4 Licence Condition Values'!F58</f>
        <v>-0.01</v>
      </c>
      <c r="G106" s="211">
        <f t="shared" ref="G106:M106" si="39">SSSDPA</f>
        <v>-0.01</v>
      </c>
      <c r="H106" s="211">
        <f t="shared" si="39"/>
        <v>-0.01</v>
      </c>
      <c r="I106" s="211">
        <f t="shared" si="39"/>
        <v>-0.01</v>
      </c>
      <c r="J106" s="211">
        <f t="shared" si="39"/>
        <v>-0.01</v>
      </c>
      <c r="K106" s="211">
        <f t="shared" si="39"/>
        <v>-0.01</v>
      </c>
      <c r="L106" s="211">
        <f t="shared" si="39"/>
        <v>-0.01</v>
      </c>
      <c r="M106" s="211">
        <f t="shared" si="39"/>
        <v>-0.01</v>
      </c>
      <c r="N106" s="422" t="s">
        <v>270</v>
      </c>
    </row>
    <row r="107" spans="1:14">
      <c r="A107" s="200" t="s">
        <v>278</v>
      </c>
      <c r="B107" s="149" t="s">
        <v>277</v>
      </c>
      <c r="C107" s="138" t="s">
        <v>502</v>
      </c>
      <c r="F107" s="179">
        <f t="shared" ref="F107:M107" si="40">SSSP</f>
        <v>0</v>
      </c>
      <c r="G107" s="165">
        <f t="shared" si="40"/>
        <v>0</v>
      </c>
      <c r="H107" s="165">
        <f t="shared" si="40"/>
        <v>0</v>
      </c>
      <c r="I107" s="165">
        <f t="shared" si="40"/>
        <v>0</v>
      </c>
      <c r="J107" s="165">
        <f t="shared" si="40"/>
        <v>0</v>
      </c>
      <c r="K107" s="165">
        <f t="shared" si="40"/>
        <v>0</v>
      </c>
      <c r="L107" s="165">
        <f t="shared" si="40"/>
        <v>0</v>
      </c>
      <c r="M107" s="165">
        <f t="shared" si="40"/>
        <v>0</v>
      </c>
      <c r="N107" s="422" t="s">
        <v>277</v>
      </c>
    </row>
    <row r="108" spans="1:14" s="142" customFormat="1">
      <c r="A108" s="418" t="s">
        <v>237</v>
      </c>
      <c r="B108" s="149" t="s">
        <v>340</v>
      </c>
      <c r="C108" s="138" t="s">
        <v>140</v>
      </c>
      <c r="F108" s="291">
        <f t="shared" ref="F108:H108" si="41">IF(F107&gt;F102,MIN(F104,F104*(F107-F102)/(F103-F102)),IF(F107&lt;F102,MAX(F106,F106*(F102-F107)/(F102-F105)),0))</f>
        <v>-0.01</v>
      </c>
      <c r="G108" s="291">
        <f t="shared" si="41"/>
        <v>-0.01</v>
      </c>
      <c r="H108" s="291">
        <f t="shared" si="41"/>
        <v>-0.01</v>
      </c>
      <c r="I108" s="291">
        <f t="shared" ref="I108:M108" si="42">IF(I107&gt;I102,MIN(I104,I104*(I107-I102)/(I103-I102)),IF(I107&lt;I102,MAX(I106,I106*(I102-I107)/(I102-I105)),0))</f>
        <v>-0.01</v>
      </c>
      <c r="J108" s="291">
        <f>IF(J107&gt;J102,MIN(J104,J104*(J107-J102)/(J103-J102)),IF(J107&lt;J102,MAX(J106,J106*(J102-J107)/(J102-J105)),0))</f>
        <v>-0.01</v>
      </c>
      <c r="K108" s="291">
        <f t="shared" si="42"/>
        <v>-0.01</v>
      </c>
      <c r="L108" s="291">
        <f t="shared" si="42"/>
        <v>-0.01</v>
      </c>
      <c r="M108" s="291">
        <f t="shared" si="42"/>
        <v>-0.01</v>
      </c>
      <c r="N108" s="166" t="s">
        <v>340</v>
      </c>
    </row>
    <row r="109" spans="1:14">
      <c r="A109" s="200"/>
      <c r="F109" s="138"/>
      <c r="G109" s="166"/>
      <c r="H109" s="166"/>
      <c r="I109" s="166"/>
      <c r="J109" s="166"/>
    </row>
    <row r="110" spans="1:14">
      <c r="A110" s="200"/>
      <c r="F110" s="138"/>
    </row>
    <row r="112" spans="1:14" ht="13.5">
      <c r="A112" s="147" t="s">
        <v>244</v>
      </c>
    </row>
    <row r="113" spans="1:14">
      <c r="A113" s="185"/>
    </row>
    <row r="114" spans="1:14" ht="17.649999999999999">
      <c r="A114" s="185" t="s">
        <v>50</v>
      </c>
      <c r="F114" s="212" t="s">
        <v>488</v>
      </c>
      <c r="N114" s="166"/>
    </row>
    <row r="115" spans="1:14" ht="14.25">
      <c r="A115" s="185" t="s">
        <v>546</v>
      </c>
      <c r="F115" s="187">
        <v>2014</v>
      </c>
      <c r="G115" s="139">
        <v>2015</v>
      </c>
      <c r="H115" s="139">
        <v>2016</v>
      </c>
      <c r="I115" s="139">
        <v>2017</v>
      </c>
      <c r="J115" s="139">
        <v>2018</v>
      </c>
      <c r="K115" s="139">
        <v>2019</v>
      </c>
      <c r="L115" s="139">
        <v>2020</v>
      </c>
      <c r="M115" s="139">
        <v>2021</v>
      </c>
    </row>
    <row r="116" spans="1:14">
      <c r="A116" s="140" t="s">
        <v>52</v>
      </c>
      <c r="B116" s="140" t="s">
        <v>337</v>
      </c>
      <c r="C116" s="138" t="s">
        <v>547</v>
      </c>
      <c r="F116" s="179">
        <f t="shared" ref="F116:M116" si="43">F153</f>
        <v>0</v>
      </c>
      <c r="G116" s="179">
        <f t="shared" si="43"/>
        <v>0</v>
      </c>
      <c r="H116" s="179">
        <f t="shared" si="43"/>
        <v>0</v>
      </c>
      <c r="I116" s="316">
        <f t="shared" si="43"/>
        <v>0</v>
      </c>
      <c r="J116" s="316">
        <f t="shared" si="43"/>
        <v>0</v>
      </c>
      <c r="K116" s="316">
        <f t="shared" si="43"/>
        <v>0</v>
      </c>
      <c r="L116" s="316">
        <f t="shared" si="43"/>
        <v>0</v>
      </c>
      <c r="M116" s="316">
        <f t="shared" si="43"/>
        <v>0</v>
      </c>
      <c r="N116" s="166" t="s">
        <v>337</v>
      </c>
    </row>
    <row r="117" spans="1:14">
      <c r="A117" s="140" t="s">
        <v>53</v>
      </c>
      <c r="B117" s="140" t="s">
        <v>259</v>
      </c>
      <c r="C117" s="138" t="s">
        <v>547</v>
      </c>
      <c r="F117" s="383">
        <f t="shared" ref="F117:M117" si="44">ALE</f>
        <v>0</v>
      </c>
      <c r="G117" s="383">
        <f t="shared" si="44"/>
        <v>0</v>
      </c>
      <c r="H117" s="383">
        <f t="shared" si="44"/>
        <v>0</v>
      </c>
      <c r="I117" s="179">
        <f t="shared" si="44"/>
        <v>0</v>
      </c>
      <c r="J117" s="179">
        <f t="shared" si="44"/>
        <v>0</v>
      </c>
      <c r="K117" s="179">
        <f t="shared" si="44"/>
        <v>0</v>
      </c>
      <c r="L117" s="179">
        <f t="shared" si="44"/>
        <v>0</v>
      </c>
      <c r="M117" s="179">
        <f t="shared" si="44"/>
        <v>0</v>
      </c>
      <c r="N117" s="166" t="s">
        <v>259</v>
      </c>
    </row>
    <row r="118" spans="1:14">
      <c r="A118" s="140" t="s">
        <v>54</v>
      </c>
      <c r="B118" s="140" t="s">
        <v>51</v>
      </c>
      <c r="C118" s="138" t="s">
        <v>140</v>
      </c>
      <c r="F118" s="188">
        <f t="shared" ref="F118:M118" si="45">CF</f>
        <v>23.9</v>
      </c>
      <c r="G118" s="188">
        <f t="shared" si="45"/>
        <v>23.9</v>
      </c>
      <c r="H118" s="188">
        <f t="shared" si="45"/>
        <v>23.9</v>
      </c>
      <c r="I118" s="188">
        <f t="shared" si="45"/>
        <v>23.9</v>
      </c>
      <c r="J118" s="188">
        <f t="shared" si="45"/>
        <v>23.9</v>
      </c>
      <c r="K118" s="188">
        <f t="shared" si="45"/>
        <v>23.9</v>
      </c>
      <c r="L118" s="188">
        <f t="shared" si="45"/>
        <v>23.9</v>
      </c>
      <c r="M118" s="188">
        <f t="shared" si="45"/>
        <v>23.9</v>
      </c>
      <c r="N118" s="204" t="s">
        <v>51</v>
      </c>
    </row>
    <row r="119" spans="1:14">
      <c r="A119" s="140" t="s">
        <v>55</v>
      </c>
      <c r="B119" s="140" t="s">
        <v>260</v>
      </c>
      <c r="C119" s="138" t="s">
        <v>571</v>
      </c>
      <c r="F119" s="471">
        <f t="shared" ref="F119:M119" si="46">NTPC/1000000</f>
        <v>5.0000000000000002E-5</v>
      </c>
      <c r="G119" s="471">
        <f t="shared" si="46"/>
        <v>5.1E-5</v>
      </c>
      <c r="H119" s="471">
        <f t="shared" si="46"/>
        <v>5.1999999999999997E-5</v>
      </c>
      <c r="I119" s="471">
        <f t="shared" si="46"/>
        <v>5.3000000000000001E-5</v>
      </c>
      <c r="J119" s="471">
        <f t="shared" si="46"/>
        <v>5.3999999999999998E-5</v>
      </c>
      <c r="K119" s="471">
        <f t="shared" si="46"/>
        <v>5.5000000000000002E-5</v>
      </c>
      <c r="L119" s="471">
        <f t="shared" si="46"/>
        <v>5.5999999999999999E-5</v>
      </c>
      <c r="M119" s="471">
        <f t="shared" si="46"/>
        <v>5.7000000000000003E-5</v>
      </c>
      <c r="N119" s="166" t="s">
        <v>260</v>
      </c>
    </row>
    <row r="120" spans="1:14">
      <c r="A120" s="140" t="s">
        <v>252</v>
      </c>
      <c r="B120" s="140" t="s">
        <v>245</v>
      </c>
      <c r="C120" s="138" t="s">
        <v>128</v>
      </c>
      <c r="F120" s="179">
        <f t="shared" ref="F120:M120" si="47">PTIS</f>
        <v>0.60896103896103893</v>
      </c>
      <c r="G120" s="179">
        <f t="shared" si="47"/>
        <v>0.59354430379746825</v>
      </c>
      <c r="H120" s="179">
        <f t="shared" si="47"/>
        <v>0.5861249999999999</v>
      </c>
      <c r="I120" s="179">
        <f t="shared" si="47"/>
        <v>0.5861249999999999</v>
      </c>
      <c r="J120" s="179">
        <f t="shared" si="47"/>
        <v>0.57888888888888879</v>
      </c>
      <c r="K120" s="179">
        <f t="shared" si="47"/>
        <v>0.57888888888888879</v>
      </c>
      <c r="L120" s="179">
        <f t="shared" si="47"/>
        <v>0.57888888888888879</v>
      </c>
      <c r="M120" s="179">
        <f t="shared" si="47"/>
        <v>0.56493975903614457</v>
      </c>
      <c r="N120" s="166" t="s">
        <v>245</v>
      </c>
    </row>
    <row r="121" spans="1:14">
      <c r="A121" s="140" t="s">
        <v>221</v>
      </c>
      <c r="B121" s="140" t="s">
        <v>153</v>
      </c>
      <c r="C121" s="138" t="s">
        <v>140</v>
      </c>
      <c r="F121" s="421">
        <f t="shared" ref="F121:M121" si="48">PVF</f>
        <v>1.04552</v>
      </c>
      <c r="G121" s="421">
        <f t="shared" si="48"/>
        <v>1.0443199999999999</v>
      </c>
      <c r="H121" s="421">
        <f t="shared" si="48"/>
        <v>1.0432999999999999</v>
      </c>
      <c r="I121" s="421">
        <f t="shared" si="48"/>
        <v>1.0422800000000001</v>
      </c>
      <c r="J121" s="421">
        <f t="shared" si="48"/>
        <v>1.04132</v>
      </c>
      <c r="K121" s="421">
        <f t="shared" si="48"/>
        <v>1.0394600000000001</v>
      </c>
      <c r="L121" s="421">
        <f t="shared" si="48"/>
        <v>1.03748</v>
      </c>
      <c r="M121" s="165">
        <f t="shared" si="48"/>
        <v>1.03748</v>
      </c>
      <c r="N121" s="166" t="s">
        <v>153</v>
      </c>
    </row>
    <row r="122" spans="1:14">
      <c r="A122" s="140" t="s">
        <v>246</v>
      </c>
      <c r="B122" s="140" t="s">
        <v>139</v>
      </c>
      <c r="C122" s="138" t="s">
        <v>538</v>
      </c>
      <c r="F122" s="179">
        <f t="shared" ref="F122:M122" si="49">RPIF</f>
        <v>1.163</v>
      </c>
      <c r="G122" s="165">
        <f t="shared" si="49"/>
        <v>1.2050000000000001</v>
      </c>
      <c r="H122" s="373">
        <f>RPIF</f>
        <v>1.2270000000000001</v>
      </c>
      <c r="I122" s="463">
        <f t="shared" si="49"/>
        <v>1.2330000000000001</v>
      </c>
      <c r="J122" s="165">
        <f t="shared" si="49"/>
        <v>1.2709999999999999</v>
      </c>
      <c r="K122" s="165">
        <f t="shared" si="49"/>
        <v>1.3140000000000001</v>
      </c>
      <c r="L122" s="165">
        <f t="shared" si="49"/>
        <v>1.3580000000000001</v>
      </c>
      <c r="M122" s="165">
        <f t="shared" si="49"/>
        <v>1.31</v>
      </c>
      <c r="N122" s="166" t="s">
        <v>139</v>
      </c>
    </row>
    <row r="123" spans="1:14" ht="15.4">
      <c r="A123" s="140" t="s">
        <v>486</v>
      </c>
      <c r="B123" s="140" t="s">
        <v>262</v>
      </c>
      <c r="C123" s="142"/>
      <c r="D123" s="142"/>
      <c r="E123" s="142"/>
      <c r="F123" s="563"/>
      <c r="G123" s="564"/>
      <c r="H123" s="216">
        <f>(F116-F117)*F118*F119*F120*F121*G121*H122</f>
        <v>0</v>
      </c>
      <c r="I123" s="216">
        <f>(G116-G117)*G118*G119*G120*G121*H121*I122</f>
        <v>0</v>
      </c>
      <c r="J123" s="216">
        <f>(H116-H117)*H118*H119*H120*H121*I121*J122</f>
        <v>0</v>
      </c>
      <c r="K123" s="216">
        <f t="shared" ref="K123:M123" si="50">(I116-I117)*I118*I119*I120*I121*J121*K122</f>
        <v>0</v>
      </c>
      <c r="L123" s="216">
        <f t="shared" si="50"/>
        <v>0</v>
      </c>
      <c r="M123" s="216">
        <f t="shared" si="50"/>
        <v>0</v>
      </c>
      <c r="N123" s="166" t="s">
        <v>262</v>
      </c>
    </row>
    <row r="124" spans="1:14">
      <c r="F124" s="166"/>
      <c r="G124" s="166"/>
      <c r="H124" s="166"/>
      <c r="I124" s="422"/>
      <c r="J124" s="422"/>
      <c r="K124" s="422"/>
      <c r="L124" s="422"/>
      <c r="M124" s="422"/>
      <c r="N124" s="166"/>
    </row>
    <row r="125" spans="1:14" ht="17.25" customHeight="1">
      <c r="N125" s="166"/>
    </row>
    <row r="126" spans="1:14">
      <c r="A126" s="185" t="s">
        <v>247</v>
      </c>
      <c r="F126" s="213"/>
      <c r="I126" s="166"/>
    </row>
    <row r="127" spans="1:14">
      <c r="A127" s="185" t="s">
        <v>548</v>
      </c>
      <c r="F127" s="138"/>
    </row>
    <row r="128" spans="1:14" ht="14.25">
      <c r="F128" s="187">
        <v>2014</v>
      </c>
      <c r="G128" s="139">
        <v>2015</v>
      </c>
      <c r="H128" s="139">
        <v>2016</v>
      </c>
      <c r="I128" s="139">
        <v>2017</v>
      </c>
      <c r="J128" s="139">
        <v>2018</v>
      </c>
      <c r="K128" s="139">
        <v>2019</v>
      </c>
      <c r="L128" s="139">
        <v>2020</v>
      </c>
      <c r="M128" s="139">
        <v>2021</v>
      </c>
    </row>
    <row r="129" spans="1:14">
      <c r="A129" s="140" t="s">
        <v>249</v>
      </c>
      <c r="B129" s="140" t="s">
        <v>248</v>
      </c>
      <c r="C129" s="290" t="s">
        <v>128</v>
      </c>
      <c r="F129" s="210">
        <f t="shared" ref="F129:M129" si="51">TIS</f>
        <v>0.46889999999999998</v>
      </c>
      <c r="G129" s="211">
        <f t="shared" si="51"/>
        <v>0.46889999999999998</v>
      </c>
      <c r="H129" s="211">
        <f t="shared" si="51"/>
        <v>0.46889999999999998</v>
      </c>
      <c r="I129" s="211">
        <f t="shared" si="51"/>
        <v>0.46889999999999998</v>
      </c>
      <c r="J129" s="211">
        <f t="shared" si="51"/>
        <v>0.46889999999999998</v>
      </c>
      <c r="K129" s="211">
        <f t="shared" si="51"/>
        <v>0.46889999999999998</v>
      </c>
      <c r="L129" s="211">
        <f t="shared" si="51"/>
        <v>0.46889999999999998</v>
      </c>
      <c r="M129" s="211">
        <f t="shared" si="51"/>
        <v>0.46889999999999998</v>
      </c>
      <c r="N129" s="166" t="s">
        <v>248</v>
      </c>
    </row>
    <row r="130" spans="1:14">
      <c r="A130" s="140" t="s">
        <v>251</v>
      </c>
      <c r="B130" s="140" t="s">
        <v>250</v>
      </c>
      <c r="C130" s="290" t="s">
        <v>128</v>
      </c>
      <c r="F130" s="179">
        <f t="shared" ref="F130:M130" si="52">TR</f>
        <v>0.23</v>
      </c>
      <c r="G130" s="165">
        <f t="shared" si="52"/>
        <v>0.21</v>
      </c>
      <c r="H130" s="165">
        <f t="shared" si="52"/>
        <v>0.2</v>
      </c>
      <c r="I130" s="165">
        <f t="shared" si="52"/>
        <v>0.2</v>
      </c>
      <c r="J130" s="165">
        <f t="shared" si="52"/>
        <v>0.19</v>
      </c>
      <c r="K130" s="165">
        <f t="shared" si="52"/>
        <v>0.19</v>
      </c>
      <c r="L130" s="165">
        <f t="shared" si="52"/>
        <v>0.19</v>
      </c>
      <c r="M130" s="165">
        <f t="shared" si="52"/>
        <v>0.17</v>
      </c>
      <c r="N130" s="166" t="s">
        <v>250</v>
      </c>
    </row>
    <row r="131" spans="1:14">
      <c r="A131" s="140" t="s">
        <v>352</v>
      </c>
      <c r="B131" s="140" t="s">
        <v>245</v>
      </c>
      <c r="C131" s="290" t="s">
        <v>128</v>
      </c>
      <c r="F131" s="216">
        <f t="shared" ref="F131:M131" si="53">F129/(1-F130)</f>
        <v>0.60896103896103893</v>
      </c>
      <c r="G131" s="216">
        <f t="shared" si="53"/>
        <v>0.59354430379746825</v>
      </c>
      <c r="H131" s="216">
        <f>H129/(1-H130)</f>
        <v>0.5861249999999999</v>
      </c>
      <c r="I131" s="216">
        <f t="shared" si="53"/>
        <v>0.5861249999999999</v>
      </c>
      <c r="J131" s="216">
        <f t="shared" si="53"/>
        <v>0.57888888888888879</v>
      </c>
      <c r="K131" s="216">
        <f t="shared" si="53"/>
        <v>0.57888888888888879</v>
      </c>
      <c r="L131" s="216">
        <f t="shared" si="53"/>
        <v>0.57888888888888879</v>
      </c>
      <c r="M131" s="216">
        <f t="shared" si="53"/>
        <v>0.56493975903614457</v>
      </c>
      <c r="N131" s="166" t="s">
        <v>245</v>
      </c>
    </row>
    <row r="132" spans="1:14">
      <c r="F132" s="166"/>
      <c r="G132" s="166"/>
      <c r="H132" s="166"/>
      <c r="I132" s="166"/>
    </row>
    <row r="136" spans="1:14" ht="17.649999999999999">
      <c r="A136" s="185" t="s">
        <v>487</v>
      </c>
      <c r="F136" s="214" t="s">
        <v>279</v>
      </c>
      <c r="K136" s="166"/>
    </row>
    <row r="137" spans="1:14" ht="14.25">
      <c r="A137" s="185" t="s">
        <v>549</v>
      </c>
      <c r="F137" s="187">
        <v>2014</v>
      </c>
      <c r="G137" s="139">
        <v>2015</v>
      </c>
      <c r="H137" s="139">
        <v>2016</v>
      </c>
      <c r="I137" s="139">
        <v>2017</v>
      </c>
      <c r="J137" s="139">
        <v>2018</v>
      </c>
      <c r="K137" s="139">
        <v>2019</v>
      </c>
      <c r="L137" s="139">
        <v>2020</v>
      </c>
      <c r="M137" s="139">
        <v>2021</v>
      </c>
    </row>
    <row r="138" spans="1:14">
      <c r="A138" s="140" t="s">
        <v>281</v>
      </c>
      <c r="B138" s="140" t="s">
        <v>280</v>
      </c>
      <c r="C138" s="284" t="s">
        <v>1</v>
      </c>
      <c r="F138" s="179">
        <f t="shared" ref="F138:M138" si="54">EDRO</f>
        <v>0</v>
      </c>
      <c r="G138" s="165">
        <f t="shared" si="54"/>
        <v>0</v>
      </c>
      <c r="H138" s="165">
        <f t="shared" si="54"/>
        <v>0</v>
      </c>
      <c r="I138" s="165">
        <f t="shared" si="54"/>
        <v>0</v>
      </c>
      <c r="J138" s="165">
        <f t="shared" si="54"/>
        <v>0</v>
      </c>
      <c r="K138" s="165">
        <f t="shared" si="54"/>
        <v>0</v>
      </c>
      <c r="L138" s="165">
        <f t="shared" si="54"/>
        <v>0</v>
      </c>
      <c r="M138" s="165">
        <f t="shared" si="54"/>
        <v>0</v>
      </c>
      <c r="N138" s="166" t="s">
        <v>280</v>
      </c>
    </row>
    <row r="139" spans="1:14">
      <c r="A139" s="140" t="s">
        <v>241</v>
      </c>
      <c r="B139" s="140" t="s">
        <v>361</v>
      </c>
      <c r="C139" s="284" t="s">
        <v>128</v>
      </c>
      <c r="F139" s="179">
        <f t="shared" ref="F139:M139" si="55">It</f>
        <v>0.5</v>
      </c>
      <c r="G139" s="165">
        <f t="shared" si="55"/>
        <v>0.5</v>
      </c>
      <c r="H139" s="165">
        <f t="shared" si="55"/>
        <v>0.5</v>
      </c>
      <c r="I139" s="165">
        <f t="shared" si="55"/>
        <v>0.34</v>
      </c>
      <c r="J139" s="165">
        <f t="shared" si="55"/>
        <v>0.35</v>
      </c>
      <c r="K139" s="165">
        <f t="shared" si="55"/>
        <v>0.67</v>
      </c>
      <c r="L139" s="165">
        <f t="shared" si="55"/>
        <v>0</v>
      </c>
      <c r="M139" s="165">
        <f t="shared" si="55"/>
        <v>0</v>
      </c>
      <c r="N139" s="166" t="s">
        <v>361</v>
      </c>
    </row>
    <row r="140" spans="1:14">
      <c r="A140" s="140" t="s">
        <v>36</v>
      </c>
      <c r="B140" s="140" t="s">
        <v>356</v>
      </c>
      <c r="C140" s="284" t="s">
        <v>1</v>
      </c>
      <c r="H140" s="175">
        <f>F138*(1+F139/100)*(1+G139/100)</f>
        <v>0</v>
      </c>
      <c r="I140" s="175">
        <f t="shared" ref="I140:M140" si="56">G138*(1+G139/100)*(1+H139/100)</f>
        <v>0</v>
      </c>
      <c r="J140" s="175">
        <f t="shared" si="56"/>
        <v>0</v>
      </c>
      <c r="K140" s="175">
        <f t="shared" si="56"/>
        <v>0</v>
      </c>
      <c r="L140" s="175">
        <f t="shared" si="56"/>
        <v>0</v>
      </c>
      <c r="M140" s="175">
        <f t="shared" si="56"/>
        <v>0</v>
      </c>
      <c r="N140" s="166" t="s">
        <v>356</v>
      </c>
    </row>
    <row r="141" spans="1:14">
      <c r="F141" s="166"/>
      <c r="G141" s="166"/>
      <c r="H141" s="166"/>
      <c r="I141" s="166"/>
    </row>
    <row r="143" spans="1:14" ht="14.25">
      <c r="A143" s="185" t="s">
        <v>435</v>
      </c>
      <c r="F143" s="138"/>
      <c r="I143" s="215"/>
      <c r="J143" s="215"/>
      <c r="K143" s="215"/>
      <c r="L143" s="215"/>
      <c r="M143" s="215"/>
    </row>
    <row r="144" spans="1:14">
      <c r="A144" s="185" t="s">
        <v>550</v>
      </c>
      <c r="C144" s="290"/>
      <c r="D144" s="140"/>
      <c r="E144" s="140" t="s">
        <v>436</v>
      </c>
      <c r="G144" s="140" t="s">
        <v>551</v>
      </c>
    </row>
    <row r="145" spans="1:15">
      <c r="A145" s="138"/>
      <c r="C145" s="290"/>
      <c r="D145" s="140"/>
      <c r="E145" s="140" t="s">
        <v>490</v>
      </c>
      <c r="G145" s="142"/>
      <c r="H145" s="166"/>
    </row>
    <row r="146" spans="1:15" ht="14.25">
      <c r="C146" s="290"/>
      <c r="D146" s="140"/>
      <c r="E146" s="140"/>
      <c r="F146" s="187">
        <v>2014</v>
      </c>
      <c r="G146" s="139">
        <v>2015</v>
      </c>
      <c r="H146" s="139">
        <v>2016</v>
      </c>
      <c r="I146" s="139">
        <v>2017</v>
      </c>
      <c r="J146" s="139">
        <v>2018</v>
      </c>
      <c r="K146" s="139">
        <v>2019</v>
      </c>
      <c r="L146" s="139">
        <v>2020</v>
      </c>
      <c r="M146" s="139">
        <v>2021</v>
      </c>
    </row>
    <row r="147" spans="1:15">
      <c r="A147" s="140" t="s">
        <v>707</v>
      </c>
      <c r="B147" s="274"/>
      <c r="C147" s="290" t="s">
        <v>514</v>
      </c>
      <c r="D147" s="140"/>
      <c r="E147" s="140"/>
      <c r="F147" s="367"/>
      <c r="G147" s="367">
        <f>F150</f>
        <v>0</v>
      </c>
      <c r="H147" s="367">
        <f t="shared" ref="H147:M147" si="57">G150</f>
        <v>0</v>
      </c>
      <c r="I147" s="367">
        <f t="shared" si="57"/>
        <v>0</v>
      </c>
      <c r="J147" s="367">
        <f t="shared" si="57"/>
        <v>0</v>
      </c>
      <c r="K147" s="367">
        <f t="shared" si="57"/>
        <v>0</v>
      </c>
      <c r="L147" s="367">
        <f t="shared" si="57"/>
        <v>0</v>
      </c>
      <c r="M147" s="367">
        <f t="shared" si="57"/>
        <v>0</v>
      </c>
      <c r="N147" s="166"/>
    </row>
    <row r="148" spans="1:15">
      <c r="A148" s="140" t="s">
        <v>708</v>
      </c>
      <c r="B148" s="366" t="s">
        <v>704</v>
      </c>
      <c r="C148" s="290" t="s">
        <v>514</v>
      </c>
      <c r="D148" s="140"/>
      <c r="E148" s="140"/>
      <c r="F148" s="368">
        <f t="shared" ref="F148" si="58">FYADD</f>
        <v>0</v>
      </c>
      <c r="G148" s="368">
        <f t="shared" ref="G148:M148" si="59">FYADD</f>
        <v>0</v>
      </c>
      <c r="H148" s="368">
        <f t="shared" si="59"/>
        <v>0</v>
      </c>
      <c r="I148" s="368">
        <f t="shared" si="59"/>
        <v>0</v>
      </c>
      <c r="J148" s="368">
        <f t="shared" si="59"/>
        <v>0</v>
      </c>
      <c r="K148" s="368">
        <f t="shared" si="59"/>
        <v>0</v>
      </c>
      <c r="L148" s="368">
        <f t="shared" si="59"/>
        <v>0</v>
      </c>
      <c r="M148" s="368">
        <f t="shared" si="59"/>
        <v>0</v>
      </c>
      <c r="N148" s="166" t="s">
        <v>704</v>
      </c>
    </row>
    <row r="149" spans="1:15">
      <c r="A149" s="140" t="s">
        <v>709</v>
      </c>
      <c r="B149" s="366" t="s">
        <v>706</v>
      </c>
      <c r="C149" s="290" t="s">
        <v>514</v>
      </c>
      <c r="D149" s="140"/>
      <c r="E149" s="140"/>
      <c r="F149" s="368">
        <f t="shared" ref="F149" si="60">FYDSP</f>
        <v>0</v>
      </c>
      <c r="G149" s="368">
        <f t="shared" ref="G149:M149" si="61">FYDSP</f>
        <v>0</v>
      </c>
      <c r="H149" s="368">
        <f t="shared" si="61"/>
        <v>0</v>
      </c>
      <c r="I149" s="368">
        <f t="shared" si="61"/>
        <v>0</v>
      </c>
      <c r="J149" s="368">
        <f t="shared" si="61"/>
        <v>0</v>
      </c>
      <c r="K149" s="368">
        <f t="shared" si="61"/>
        <v>0</v>
      </c>
      <c r="L149" s="368">
        <f t="shared" si="61"/>
        <v>0</v>
      </c>
      <c r="M149" s="368">
        <f t="shared" si="61"/>
        <v>0</v>
      </c>
      <c r="N149" s="166" t="s">
        <v>706</v>
      </c>
    </row>
    <row r="150" spans="1:15">
      <c r="A150" s="149" t="s">
        <v>254</v>
      </c>
      <c r="B150" s="366" t="s">
        <v>56</v>
      </c>
      <c r="C150" s="290" t="s">
        <v>514</v>
      </c>
      <c r="D150" s="140"/>
      <c r="E150" s="140"/>
      <c r="F150" s="368">
        <f>BASE</f>
        <v>0</v>
      </c>
      <c r="G150" s="386">
        <f>G147+G148-G149</f>
        <v>0</v>
      </c>
      <c r="H150" s="386">
        <f t="shared" ref="H150:M150" si="62">H147+H148-H149</f>
        <v>0</v>
      </c>
      <c r="I150" s="386">
        <f t="shared" si="62"/>
        <v>0</v>
      </c>
      <c r="J150" s="386">
        <f t="shared" si="62"/>
        <v>0</v>
      </c>
      <c r="K150" s="386">
        <f t="shared" si="62"/>
        <v>0</v>
      </c>
      <c r="L150" s="367">
        <f t="shared" si="62"/>
        <v>0</v>
      </c>
      <c r="M150" s="367">
        <f t="shared" si="62"/>
        <v>0</v>
      </c>
      <c r="N150" s="166" t="s">
        <v>56</v>
      </c>
    </row>
    <row r="151" spans="1:15">
      <c r="A151" s="149" t="s">
        <v>255</v>
      </c>
      <c r="B151" s="274" t="s">
        <v>256</v>
      </c>
      <c r="C151" s="290" t="s">
        <v>514</v>
      </c>
      <c r="D151" s="140"/>
      <c r="E151" s="140"/>
      <c r="F151" s="384">
        <f t="shared" ref="F151" si="63">ADD</f>
        <v>0</v>
      </c>
      <c r="G151" s="385">
        <f t="shared" ref="G151:M151" si="64">ADD</f>
        <v>0</v>
      </c>
      <c r="H151" s="385">
        <f t="shared" si="64"/>
        <v>0</v>
      </c>
      <c r="I151" s="385">
        <f t="shared" si="64"/>
        <v>0</v>
      </c>
      <c r="J151" s="385">
        <f t="shared" si="64"/>
        <v>0</v>
      </c>
      <c r="K151" s="385">
        <f t="shared" si="64"/>
        <v>0</v>
      </c>
      <c r="L151" s="385">
        <f t="shared" si="64"/>
        <v>0</v>
      </c>
      <c r="M151" s="385">
        <f t="shared" si="64"/>
        <v>0</v>
      </c>
      <c r="N151" s="166" t="s">
        <v>256</v>
      </c>
    </row>
    <row r="152" spans="1:15">
      <c r="A152" s="149" t="s">
        <v>258</v>
      </c>
      <c r="B152" s="274" t="s">
        <v>257</v>
      </c>
      <c r="C152" s="290" t="s">
        <v>514</v>
      </c>
      <c r="D152" s="140"/>
      <c r="E152" s="140"/>
      <c r="F152" s="384">
        <f t="shared" ref="F152" si="65">DSP</f>
        <v>0</v>
      </c>
      <c r="G152" s="385">
        <f t="shared" ref="G152:M152" si="66">DSP</f>
        <v>0</v>
      </c>
      <c r="H152" s="385">
        <f t="shared" si="66"/>
        <v>0</v>
      </c>
      <c r="I152" s="385">
        <f t="shared" si="66"/>
        <v>0</v>
      </c>
      <c r="J152" s="385">
        <f t="shared" si="66"/>
        <v>0</v>
      </c>
      <c r="K152" s="385">
        <f t="shared" si="66"/>
        <v>0</v>
      </c>
      <c r="L152" s="385">
        <f t="shared" si="66"/>
        <v>0</v>
      </c>
      <c r="M152" s="385">
        <f t="shared" si="66"/>
        <v>0</v>
      </c>
      <c r="N152" s="166" t="s">
        <v>257</v>
      </c>
    </row>
    <row r="153" spans="1:15">
      <c r="A153" s="149" t="s">
        <v>52</v>
      </c>
      <c r="B153" s="274" t="s">
        <v>710</v>
      </c>
      <c r="C153" s="290" t="s">
        <v>514</v>
      </c>
      <c r="D153" s="140"/>
      <c r="E153" s="140"/>
      <c r="F153" s="386">
        <f>F150+F151-F152</f>
        <v>0</v>
      </c>
      <c r="G153" s="386">
        <f>G150+G151-G152</f>
        <v>0</v>
      </c>
      <c r="H153" s="386">
        <f>H150+H151-H152</f>
        <v>0</v>
      </c>
      <c r="I153" s="367">
        <f>I150+I151-I152</f>
        <v>0</v>
      </c>
      <c r="J153" s="367">
        <f t="shared" ref="J153:M153" si="67">J150+J151-J152</f>
        <v>0</v>
      </c>
      <c r="K153" s="367">
        <f t="shared" si="67"/>
        <v>0</v>
      </c>
      <c r="L153" s="367">
        <f t="shared" si="67"/>
        <v>0</v>
      </c>
      <c r="M153" s="367">
        <f t="shared" si="67"/>
        <v>0</v>
      </c>
      <c r="N153" s="166"/>
      <c r="O153" s="166"/>
    </row>
    <row r="154" spans="1:15">
      <c r="C154" s="290"/>
      <c r="D154" s="140"/>
      <c r="E154" s="140"/>
      <c r="G154" s="166"/>
    </row>
    <row r="155" spans="1:15">
      <c r="C155" s="290"/>
      <c r="D155" s="140"/>
      <c r="E155" s="140"/>
    </row>
    <row r="156" spans="1:15">
      <c r="A156" s="286"/>
      <c r="C156" s="290"/>
      <c r="D156" s="140"/>
      <c r="E156" s="140"/>
    </row>
    <row r="157" spans="1:15">
      <c r="C157" s="290"/>
      <c r="D157" s="140"/>
      <c r="E157" s="140"/>
    </row>
    <row r="158" spans="1:15">
      <c r="C158" s="290"/>
      <c r="D158" s="140"/>
      <c r="E158" s="140"/>
    </row>
    <row r="159" spans="1:15">
      <c r="C159" s="290"/>
      <c r="D159" s="140"/>
      <c r="E159" s="140"/>
    </row>
    <row r="160" spans="1:15">
      <c r="C160" s="290"/>
      <c r="D160" s="140"/>
      <c r="E160" s="140"/>
    </row>
    <row r="161" spans="3:5">
      <c r="C161" s="290"/>
      <c r="D161" s="140"/>
      <c r="E161" s="140"/>
    </row>
    <row r="162" spans="3:5">
      <c r="C162" s="290"/>
      <c r="D162" s="140"/>
      <c r="E162" s="140"/>
    </row>
    <row r="163" spans="3:5">
      <c r="C163" s="290"/>
      <c r="D163" s="140"/>
      <c r="E163" s="140"/>
    </row>
    <row r="164" spans="3:5">
      <c r="C164" s="290"/>
      <c r="D164" s="140"/>
      <c r="E164" s="140"/>
    </row>
    <row r="900125" spans="1:1">
      <c r="A900125" s="140" t="s">
        <v>7</v>
      </c>
    </row>
    <row r="900126" spans="1:1">
      <c r="A900126" s="140" t="s">
        <v>2</v>
      </c>
    </row>
    <row r="900127" spans="1:1">
      <c r="A900127" s="140" t="s">
        <v>6</v>
      </c>
    </row>
    <row r="900128" spans="1:1">
      <c r="A900128" s="140" t="s">
        <v>3</v>
      </c>
    </row>
    <row r="900129" spans="1:1">
      <c r="A900129" s="140" t="s">
        <v>4</v>
      </c>
    </row>
    <row r="900130" spans="1:1">
      <c r="A900130" s="140" t="s">
        <v>5</v>
      </c>
    </row>
  </sheetData>
  <mergeCells count="4">
    <mergeCell ref="G17:M17"/>
    <mergeCell ref="E17:F17"/>
    <mergeCell ref="F63:G63"/>
    <mergeCell ref="F123:G123"/>
  </mergeCells>
  <pageMargins left="0.19685039370078741" right="0.19685039370078741" top="0.39370078740157483" bottom="0.53" header="0.19685039370078741" footer="0.23622047244094491"/>
  <pageSetup paperSize="8" scale="53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1"/>
  <sheetViews>
    <sheetView showGridLines="0" zoomScale="85" zoomScaleNormal="85" workbookViewId="0">
      <selection activeCell="M23" sqref="M23"/>
    </sheetView>
  </sheetViews>
  <sheetFormatPr defaultColWidth="9" defaultRowHeight="12.4"/>
  <cols>
    <col min="1" max="1" width="31.64453125" style="138" customWidth="1"/>
    <col min="2" max="2" width="10.46875" style="138" customWidth="1"/>
    <col min="3" max="3" width="6.46875" style="138" customWidth="1"/>
    <col min="4" max="4" width="3.64453125" style="138" customWidth="1"/>
    <col min="5" max="5" width="12.3515625" style="138" customWidth="1"/>
    <col min="6" max="6" width="9.87890625" style="138" bestFit="1" customWidth="1"/>
    <col min="7" max="16384" width="9" style="138"/>
  </cols>
  <sheetData>
    <row r="1" spans="1:19" s="149" customFormat="1" ht="14.65">
      <c r="A1" s="158" t="s">
        <v>165</v>
      </c>
    </row>
    <row r="2" spans="1:19" s="149" customFormat="1" ht="14.65">
      <c r="A2" s="158" t="str">
        <f>CompName</f>
        <v>National Grid Electricity Transmission Plc</v>
      </c>
    </row>
    <row r="3" spans="1:19" s="149" customFormat="1">
      <c r="A3" s="160" t="str">
        <f>RegYr</f>
        <v>Regulatory Year ending 31 March 2019</v>
      </c>
    </row>
    <row r="4" spans="1:19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65">
      <c r="A5" s="219" t="s">
        <v>37</v>
      </c>
      <c r="B5" s="163"/>
      <c r="C5" s="163"/>
      <c r="D5" s="163"/>
      <c r="E5" s="163"/>
      <c r="F5" s="163"/>
      <c r="G5" s="163"/>
      <c r="H5" s="163"/>
      <c r="I5" s="163"/>
    </row>
    <row r="6" spans="1:19" ht="13.5">
      <c r="B6" s="143"/>
      <c r="C6" s="143"/>
      <c r="D6" s="143"/>
      <c r="E6" s="143"/>
      <c r="F6" s="143"/>
      <c r="G6" s="143"/>
      <c r="H6" s="143"/>
      <c r="I6" s="143"/>
    </row>
    <row r="7" spans="1:19" ht="16.5" customHeight="1">
      <c r="A7" s="137" t="s">
        <v>552</v>
      </c>
      <c r="B7" s="143"/>
      <c r="C7" s="143"/>
      <c r="D7" s="143"/>
      <c r="E7" s="183"/>
      <c r="F7" s="139">
        <v>2014</v>
      </c>
      <c r="G7" s="139">
        <v>2015</v>
      </c>
      <c r="H7" s="139">
        <v>2016</v>
      </c>
      <c r="I7" s="139">
        <v>2017</v>
      </c>
      <c r="J7" s="139">
        <v>2018</v>
      </c>
      <c r="K7" s="139">
        <v>2019</v>
      </c>
      <c r="L7" s="139">
        <v>2020</v>
      </c>
      <c r="M7" s="139">
        <v>2021</v>
      </c>
    </row>
    <row r="8" spans="1:19" ht="13.5">
      <c r="A8" s="138" t="s">
        <v>42</v>
      </c>
      <c r="B8" s="138" t="s">
        <v>286</v>
      </c>
      <c r="C8" s="121" t="s">
        <v>1</v>
      </c>
      <c r="D8" s="143"/>
      <c r="E8" s="143"/>
      <c r="F8" s="165">
        <f>NIA</f>
        <v>0</v>
      </c>
      <c r="G8" s="165">
        <f t="shared" ref="G8:M8" si="0">NIA</f>
        <v>0</v>
      </c>
      <c r="H8" s="165">
        <f t="shared" si="0"/>
        <v>0</v>
      </c>
      <c r="I8" s="165">
        <f t="shared" si="0"/>
        <v>0</v>
      </c>
      <c r="J8" s="165">
        <f t="shared" si="0"/>
        <v>0</v>
      </c>
      <c r="K8" s="165">
        <f t="shared" si="0"/>
        <v>0</v>
      </c>
      <c r="L8" s="165">
        <f t="shared" si="0"/>
        <v>0</v>
      </c>
      <c r="M8" s="165">
        <f t="shared" si="0"/>
        <v>0</v>
      </c>
      <c r="N8" s="166" t="s">
        <v>286</v>
      </c>
    </row>
    <row r="9" spans="1:19" ht="13.5">
      <c r="A9" s="138" t="s">
        <v>41</v>
      </c>
      <c r="B9" s="138" t="s">
        <v>287</v>
      </c>
      <c r="C9" s="121" t="s">
        <v>1</v>
      </c>
      <c r="D9" s="143"/>
      <c r="E9" s="143"/>
      <c r="F9" s="165">
        <f>NICF</f>
        <v>0</v>
      </c>
      <c r="G9" s="165">
        <f t="shared" ref="G9:M9" si="1">NICF</f>
        <v>0</v>
      </c>
      <c r="H9" s="165">
        <f t="shared" si="1"/>
        <v>0</v>
      </c>
      <c r="I9" s="165">
        <f t="shared" si="1"/>
        <v>0</v>
      </c>
      <c r="J9" s="165">
        <f t="shared" si="1"/>
        <v>0</v>
      </c>
      <c r="K9" s="165">
        <f t="shared" si="1"/>
        <v>0</v>
      </c>
      <c r="L9" s="165">
        <f t="shared" si="1"/>
        <v>0</v>
      </c>
      <c r="M9" s="165">
        <f t="shared" si="1"/>
        <v>0</v>
      </c>
      <c r="N9" s="166" t="s">
        <v>287</v>
      </c>
    </row>
    <row r="10" spans="1:19">
      <c r="F10" s="166"/>
    </row>
    <row r="12" spans="1:19" ht="17.649999999999999">
      <c r="A12" s="137" t="s">
        <v>57</v>
      </c>
      <c r="E12" s="161" t="s">
        <v>283</v>
      </c>
      <c r="H12" s="166"/>
    </row>
    <row r="13" spans="1:19" ht="14.25">
      <c r="A13" s="292" t="s">
        <v>553</v>
      </c>
      <c r="F13" s="139">
        <v>2014</v>
      </c>
      <c r="G13" s="139">
        <v>2015</v>
      </c>
      <c r="H13" s="139">
        <v>2016</v>
      </c>
      <c r="I13" s="139">
        <v>2017</v>
      </c>
      <c r="J13" s="139">
        <v>2018</v>
      </c>
      <c r="K13" s="139">
        <v>2019</v>
      </c>
      <c r="L13" s="139">
        <v>2020</v>
      </c>
      <c r="M13" s="139">
        <v>2021</v>
      </c>
    </row>
    <row r="14" spans="1:19">
      <c r="A14" s="138" t="s">
        <v>58</v>
      </c>
      <c r="B14" s="138" t="s">
        <v>367</v>
      </c>
      <c r="C14" s="121" t="s">
        <v>1</v>
      </c>
      <c r="F14" s="165">
        <f t="shared" ref="F14:M14" si="2">ANIA</f>
        <v>0</v>
      </c>
      <c r="G14" s="165">
        <f t="shared" si="2"/>
        <v>0</v>
      </c>
      <c r="H14" s="165">
        <f>ANIA</f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 t="s">
        <v>367</v>
      </c>
    </row>
    <row r="15" spans="1:19">
      <c r="A15" s="138" t="s">
        <v>59</v>
      </c>
      <c r="B15" s="138" t="s">
        <v>288</v>
      </c>
      <c r="C15" s="121" t="s">
        <v>1</v>
      </c>
      <c r="F15" s="165">
        <f t="shared" ref="F15:M15" si="3">NIAR</f>
        <v>0</v>
      </c>
      <c r="G15" s="165">
        <f t="shared" si="3"/>
        <v>0</v>
      </c>
      <c r="H15" s="165">
        <f t="shared" si="3"/>
        <v>0</v>
      </c>
      <c r="I15" s="165">
        <f t="shared" si="3"/>
        <v>0</v>
      </c>
      <c r="J15" s="165">
        <f t="shared" si="3"/>
        <v>0</v>
      </c>
      <c r="K15" s="165">
        <f t="shared" si="3"/>
        <v>0</v>
      </c>
      <c r="L15" s="165">
        <f t="shared" si="3"/>
        <v>0</v>
      </c>
      <c r="M15" s="165">
        <f t="shared" si="3"/>
        <v>0</v>
      </c>
      <c r="N15" s="166" t="s">
        <v>288</v>
      </c>
    </row>
    <row r="16" spans="1:19">
      <c r="A16" s="138" t="s">
        <v>42</v>
      </c>
      <c r="B16" s="138" t="s">
        <v>286</v>
      </c>
      <c r="C16" s="121" t="s">
        <v>1</v>
      </c>
      <c r="F16" s="175">
        <f>SUM(F14-F15)</f>
        <v>0</v>
      </c>
      <c r="G16" s="175">
        <f>SUM(G14-G15)</f>
        <v>0</v>
      </c>
      <c r="H16" s="175">
        <f>SUM(H14-H15)</f>
        <v>0</v>
      </c>
      <c r="I16" s="175">
        <f t="shared" ref="I16:M16" si="4">SUM(I14-I15)</f>
        <v>0</v>
      </c>
      <c r="J16" s="175">
        <f t="shared" si="4"/>
        <v>0</v>
      </c>
      <c r="K16" s="175">
        <f t="shared" si="4"/>
        <v>0</v>
      </c>
      <c r="L16" s="175">
        <f t="shared" si="4"/>
        <v>0</v>
      </c>
      <c r="M16" s="175">
        <f t="shared" si="4"/>
        <v>0</v>
      </c>
      <c r="N16" s="166" t="s">
        <v>286</v>
      </c>
    </row>
    <row r="17" spans="1:14">
      <c r="F17" s="166"/>
      <c r="I17" s="166"/>
    </row>
    <row r="19" spans="1:14" ht="17.649999999999999">
      <c r="A19" s="137" t="s">
        <v>60</v>
      </c>
      <c r="E19" s="161" t="s">
        <v>282</v>
      </c>
      <c r="K19" s="166"/>
    </row>
    <row r="20" spans="1:14" ht="14.25">
      <c r="A20" s="292" t="s">
        <v>554</v>
      </c>
      <c r="F20" s="139">
        <v>2014</v>
      </c>
      <c r="G20" s="139">
        <v>2015</v>
      </c>
      <c r="H20" s="139">
        <v>2016</v>
      </c>
      <c r="I20" s="139">
        <v>2017</v>
      </c>
      <c r="J20" s="139">
        <v>2018</v>
      </c>
      <c r="K20" s="139">
        <v>2019</v>
      </c>
      <c r="L20" s="139">
        <v>2020</v>
      </c>
      <c r="M20" s="139">
        <v>2021</v>
      </c>
    </row>
    <row r="21" spans="1:14">
      <c r="A21" s="138" t="s">
        <v>64</v>
      </c>
      <c r="B21" s="138" t="s">
        <v>61</v>
      </c>
      <c r="C21" s="121" t="s">
        <v>140</v>
      </c>
      <c r="F21" s="165">
        <f t="shared" ref="F21:M21" si="5">PTRA</f>
        <v>0.9</v>
      </c>
      <c r="G21" s="165">
        <f t="shared" si="5"/>
        <v>0.9</v>
      </c>
      <c r="H21" s="165">
        <f t="shared" si="5"/>
        <v>0.9</v>
      </c>
      <c r="I21" s="165">
        <f t="shared" si="5"/>
        <v>0.9</v>
      </c>
      <c r="J21" s="165">
        <f t="shared" si="5"/>
        <v>0.9</v>
      </c>
      <c r="K21" s="165">
        <f t="shared" si="5"/>
        <v>0.9</v>
      </c>
      <c r="L21" s="165">
        <f t="shared" si="5"/>
        <v>0.9</v>
      </c>
      <c r="M21" s="165">
        <f t="shared" si="5"/>
        <v>0.9</v>
      </c>
      <c r="N21" s="166" t="s">
        <v>61</v>
      </c>
    </row>
    <row r="22" spans="1:14">
      <c r="A22" s="138" t="s">
        <v>65</v>
      </c>
      <c r="B22" s="138" t="s">
        <v>285</v>
      </c>
      <c r="C22" s="121" t="s">
        <v>1</v>
      </c>
      <c r="F22" s="165">
        <f t="shared" ref="F22:M22" si="6">ENIA</f>
        <v>0</v>
      </c>
      <c r="G22" s="165">
        <f t="shared" si="6"/>
        <v>0</v>
      </c>
      <c r="H22" s="165">
        <f>ENIA</f>
        <v>0</v>
      </c>
      <c r="I22" s="165">
        <f t="shared" si="6"/>
        <v>0</v>
      </c>
      <c r="J22" s="165">
        <f t="shared" si="6"/>
        <v>0</v>
      </c>
      <c r="K22" s="165">
        <f t="shared" si="6"/>
        <v>0</v>
      </c>
      <c r="L22" s="165">
        <f t="shared" si="6"/>
        <v>0</v>
      </c>
      <c r="M22" s="165">
        <f t="shared" si="6"/>
        <v>0</v>
      </c>
      <c r="N22" s="131" t="s">
        <v>285</v>
      </c>
    </row>
    <row r="23" spans="1:14" s="140" customFormat="1">
      <c r="A23" s="140" t="s">
        <v>284</v>
      </c>
      <c r="B23" s="140" t="s">
        <v>62</v>
      </c>
      <c r="C23" s="121" t="s">
        <v>1</v>
      </c>
      <c r="F23" s="179">
        <f t="shared" ref="F23:M23" si="7">BPC</f>
        <v>0</v>
      </c>
      <c r="G23" s="179">
        <f t="shared" si="7"/>
        <v>0</v>
      </c>
      <c r="H23" s="179">
        <f t="shared" si="7"/>
        <v>0</v>
      </c>
      <c r="I23" s="179">
        <f t="shared" si="7"/>
        <v>0</v>
      </c>
      <c r="J23" s="179">
        <f t="shared" si="7"/>
        <v>0</v>
      </c>
      <c r="K23" s="418"/>
      <c r="L23" s="418"/>
      <c r="M23" s="418"/>
      <c r="N23" s="131" t="s">
        <v>62</v>
      </c>
    </row>
    <row r="24" spans="1:14">
      <c r="A24" s="138" t="s">
        <v>66</v>
      </c>
      <c r="B24" s="138" t="s">
        <v>63</v>
      </c>
      <c r="C24" s="284" t="s">
        <v>128</v>
      </c>
      <c r="F24" s="211">
        <f t="shared" ref="F24:M24" si="8">NIAV</f>
        <v>7.0000000000000001E-3</v>
      </c>
      <c r="G24" s="211">
        <f t="shared" si="8"/>
        <v>7.0000000000000001E-3</v>
      </c>
      <c r="H24" s="211">
        <f t="shared" si="8"/>
        <v>7.0000000000000001E-3</v>
      </c>
      <c r="I24" s="211">
        <f t="shared" si="8"/>
        <v>7.0000000000000001E-3</v>
      </c>
      <c r="J24" s="211">
        <f t="shared" si="8"/>
        <v>7.0000000000000001E-3</v>
      </c>
      <c r="K24" s="211">
        <f t="shared" si="8"/>
        <v>7.0000000000000001E-3</v>
      </c>
      <c r="L24" s="211">
        <f t="shared" si="8"/>
        <v>7.0000000000000001E-3</v>
      </c>
      <c r="M24" s="211">
        <f t="shared" si="8"/>
        <v>7.0000000000000001E-3</v>
      </c>
      <c r="N24" s="166" t="s">
        <v>63</v>
      </c>
    </row>
    <row r="25" spans="1:14">
      <c r="A25" s="138" t="s">
        <v>67</v>
      </c>
      <c r="B25" s="138" t="s">
        <v>338</v>
      </c>
      <c r="C25" s="284" t="s">
        <v>1</v>
      </c>
      <c r="F25" s="164">
        <f t="shared" ref="F25:M25" si="9">BRt</f>
        <v>1561.072803</v>
      </c>
      <c r="G25" s="164">
        <f t="shared" si="9"/>
        <v>1732.7426765239791</v>
      </c>
      <c r="H25" s="164">
        <f t="shared" si="9"/>
        <v>1676.4672842336486</v>
      </c>
      <c r="I25" s="164">
        <f t="shared" si="9"/>
        <v>1684.3472811633824</v>
      </c>
      <c r="J25" s="164">
        <f t="shared" si="9"/>
        <v>1617.6047016073121</v>
      </c>
      <c r="K25" s="164">
        <f t="shared" si="9"/>
        <v>1671.1424134600488</v>
      </c>
      <c r="L25" s="164">
        <f t="shared" si="9"/>
        <v>1643.5020238333825</v>
      </c>
      <c r="M25" s="164">
        <f t="shared" si="9"/>
        <v>2053.6855310981396</v>
      </c>
      <c r="N25" s="166" t="s">
        <v>338</v>
      </c>
    </row>
    <row r="26" spans="1:14">
      <c r="A26" s="138" t="s">
        <v>58</v>
      </c>
      <c r="B26" s="138" t="s">
        <v>367</v>
      </c>
      <c r="C26" s="284" t="s">
        <v>1</v>
      </c>
      <c r="F26" s="175">
        <f>F21*MIN( F22+F23,F24*F25)</f>
        <v>0</v>
      </c>
      <c r="G26" s="175">
        <f t="shared" ref="G26:M26" si="10">G21*MIN( G22+G23,G24*G25)</f>
        <v>0</v>
      </c>
      <c r="H26" s="175">
        <f>H21*MIN( H22+H23,H24*H25)</f>
        <v>0</v>
      </c>
      <c r="I26" s="175">
        <f>I21*MIN( I22+I23,I24*I25)</f>
        <v>0</v>
      </c>
      <c r="J26" s="175">
        <f t="shared" si="10"/>
        <v>0</v>
      </c>
      <c r="K26" s="175">
        <f>K21*MIN( K22,K24*K25)</f>
        <v>0</v>
      </c>
      <c r="L26" s="175">
        <f t="shared" ref="L26:M26" si="11">L21*MIN( L22,L24*L25)</f>
        <v>0</v>
      </c>
      <c r="M26" s="175">
        <f t="shared" si="11"/>
        <v>0</v>
      </c>
      <c r="N26" s="166" t="s">
        <v>367</v>
      </c>
    </row>
    <row r="27" spans="1:14">
      <c r="F27" s="166"/>
      <c r="I27" s="166"/>
    </row>
    <row r="29" spans="1:14">
      <c r="A29" s="166" t="s">
        <v>336</v>
      </c>
      <c r="I29" s="166"/>
    </row>
    <row r="30" spans="1:14">
      <c r="A30" s="137" t="s">
        <v>333</v>
      </c>
    </row>
    <row r="31" spans="1:14" ht="14.25">
      <c r="A31" s="137" t="s">
        <v>555</v>
      </c>
      <c r="F31" s="139">
        <v>2014</v>
      </c>
      <c r="G31" s="139">
        <v>2015</v>
      </c>
      <c r="H31" s="139">
        <v>2016</v>
      </c>
      <c r="I31" s="139">
        <v>2017</v>
      </c>
      <c r="J31" s="139">
        <v>2018</v>
      </c>
      <c r="K31" s="139">
        <v>2019</v>
      </c>
      <c r="L31" s="139">
        <v>2020</v>
      </c>
      <c r="M31" s="139">
        <v>2021</v>
      </c>
    </row>
    <row r="32" spans="1:14">
      <c r="A32" s="138" t="s">
        <v>65</v>
      </c>
      <c r="B32" s="138" t="s">
        <v>285</v>
      </c>
      <c r="C32" s="284" t="s">
        <v>1</v>
      </c>
      <c r="F32" s="165">
        <f>ENIA</f>
        <v>0</v>
      </c>
      <c r="G32" s="165">
        <f t="shared" ref="G32:M32" si="12">ENIA</f>
        <v>0</v>
      </c>
      <c r="H32" s="165">
        <f t="shared" si="12"/>
        <v>0</v>
      </c>
      <c r="I32" s="165">
        <f t="shared" si="12"/>
        <v>0</v>
      </c>
      <c r="J32" s="165">
        <f t="shared" si="12"/>
        <v>0</v>
      </c>
      <c r="K32" s="165">
        <f t="shared" si="12"/>
        <v>0</v>
      </c>
      <c r="L32" s="165">
        <f t="shared" si="12"/>
        <v>0</v>
      </c>
      <c r="M32" s="165">
        <f t="shared" si="12"/>
        <v>0</v>
      </c>
      <c r="N32" s="131" t="s">
        <v>285</v>
      </c>
    </row>
    <row r="33" spans="1:14">
      <c r="A33" s="138" t="s">
        <v>332</v>
      </c>
      <c r="B33" s="418" t="s">
        <v>334</v>
      </c>
      <c r="C33" s="284" t="s">
        <v>1</v>
      </c>
      <c r="F33" s="220">
        <f t="shared" ref="F33:M33" si="13">NIAIE</f>
        <v>0</v>
      </c>
      <c r="G33" s="220">
        <f t="shared" si="13"/>
        <v>0</v>
      </c>
      <c r="H33" s="220">
        <f t="shared" si="13"/>
        <v>0</v>
      </c>
      <c r="I33" s="220">
        <f t="shared" si="13"/>
        <v>0</v>
      </c>
      <c r="J33" s="220">
        <f t="shared" si="13"/>
        <v>0</v>
      </c>
      <c r="K33" s="220">
        <f t="shared" si="13"/>
        <v>0</v>
      </c>
      <c r="L33" s="220">
        <f t="shared" si="13"/>
        <v>0</v>
      </c>
      <c r="M33" s="220">
        <f t="shared" si="13"/>
        <v>0</v>
      </c>
      <c r="N33" s="131" t="s">
        <v>334</v>
      </c>
    </row>
    <row r="34" spans="1:14">
      <c r="A34" s="138" t="s">
        <v>140</v>
      </c>
      <c r="B34" s="138" t="s">
        <v>335</v>
      </c>
      <c r="C34" s="284" t="s">
        <v>140</v>
      </c>
      <c r="F34" s="293">
        <v>0.25</v>
      </c>
      <c r="G34" s="293">
        <v>0.25</v>
      </c>
      <c r="H34" s="293">
        <v>0.25</v>
      </c>
      <c r="I34" s="293">
        <v>0.25</v>
      </c>
      <c r="J34" s="293">
        <v>0.25</v>
      </c>
      <c r="K34" s="293">
        <v>0.25</v>
      </c>
      <c r="L34" s="293">
        <v>0.25</v>
      </c>
      <c r="M34" s="293">
        <v>0.25</v>
      </c>
      <c r="N34" s="131" t="s">
        <v>335</v>
      </c>
    </row>
    <row r="35" spans="1:14">
      <c r="A35" s="138" t="s">
        <v>440</v>
      </c>
      <c r="B35" s="307"/>
      <c r="C35" s="541"/>
      <c r="F35" s="175" t="str">
        <f>IF(F33&lt;=(F32*F34),"OK","NON COMPLIANT")</f>
        <v>OK</v>
      </c>
      <c r="G35" s="175" t="str">
        <f>IF(G33&lt;=(G32*G34),"OK","NON COMPLIANT")</f>
        <v>OK</v>
      </c>
      <c r="H35" s="175" t="str">
        <f t="shared" ref="H35:M35" si="14">IF(H33&lt;=(H32*H34),"OK","NON COMPLIANT")</f>
        <v>OK</v>
      </c>
      <c r="I35" s="175" t="str">
        <f t="shared" si="14"/>
        <v>OK</v>
      </c>
      <c r="J35" s="175" t="str">
        <f t="shared" si="14"/>
        <v>OK</v>
      </c>
      <c r="K35" s="175" t="str">
        <f t="shared" si="14"/>
        <v>OK</v>
      </c>
      <c r="L35" s="175" t="str">
        <f t="shared" si="14"/>
        <v>OK</v>
      </c>
      <c r="M35" s="175" t="str">
        <f t="shared" si="14"/>
        <v>OK</v>
      </c>
      <c r="N35" s="131"/>
    </row>
    <row r="36" spans="1:14">
      <c r="F36" s="166"/>
      <c r="I36" s="166"/>
      <c r="N36" s="131"/>
    </row>
    <row r="37" spans="1:14">
      <c r="H37" s="166"/>
      <c r="N37" s="166"/>
    </row>
    <row r="999976" spans="1:1">
      <c r="A999976" s="138" t="s">
        <v>7</v>
      </c>
    </row>
    <row r="999977" spans="1:1">
      <c r="A999977" s="138" t="s">
        <v>2</v>
      </c>
    </row>
    <row r="999978" spans="1:1">
      <c r="A999978" s="138" t="s">
        <v>6</v>
      </c>
    </row>
    <row r="999979" spans="1:1">
      <c r="A999979" s="138" t="s">
        <v>3</v>
      </c>
    </row>
    <row r="999980" spans="1:1">
      <c r="A999980" s="138" t="s">
        <v>4</v>
      </c>
    </row>
    <row r="999981" spans="1:1">
      <c r="A999981" s="138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85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Organisation xmlns="631298fc-6a88-4548-b7d9-3b164918c4a3">National Grid Elec</Organisation>
    <Descriptor xmlns="631298fc-6a88-4548-b7d9-3b164918c4a3" xsi:nil="true"/>
    <_x003a__x003a_ xmlns="631298fc-6a88-4548-b7d9-3b164918c4a3">-Main Document</_x003a__x003a_>
  </documentManagement>
</p:properties>
</file>

<file path=customXml/item5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5B2AB2-8674-4C5C-89D9-AC63AD87F7A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8AA118E-4F35-450B-834B-F012DA483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10CED8-BAE2-4612-951F-CEEFA734AECB}">
  <ds:schemaRefs>
    <ds:schemaRef ds:uri="http://purl.org/dc/dcmitype/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631298fc-6a88-4548-b7d9-3b164918c4a3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5E1378CE-26A0-423F-A938-3512F48750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139</vt:i4>
      </vt:variant>
    </vt:vector>
  </HeadingPairs>
  <TitlesOfParts>
    <vt:vector size="156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R15 SO Internal</vt:lpstr>
      <vt:lpstr>R16 SO External Rev</vt:lpstr>
      <vt:lpstr>R17 SO Bal Services</vt:lpstr>
      <vt:lpstr>ADD</vt:lpstr>
      <vt:lpstr>ADDSF6</vt:lpstr>
      <vt:lpstr>AFFTIRG</vt:lpstr>
      <vt:lpstr>AFFTIRGDEPN</vt:lpstr>
      <vt:lpstr>ALE</vt:lpstr>
      <vt:lpstr>ANIA</vt:lpstr>
      <vt:lpstr>ATIRG</vt:lpstr>
      <vt:lpstr>BASE</vt:lpstr>
      <vt:lpstr>BPC</vt:lpstr>
      <vt:lpstr>BRt</vt:lpstr>
      <vt:lpstr>BSTC</vt:lpstr>
      <vt:lpstr>CCTIRG</vt:lpstr>
      <vt:lpstr>CF</vt:lpstr>
      <vt:lpstr>CfDS</vt:lpstr>
      <vt:lpstr>CfDSD</vt:lpstr>
      <vt:lpstr>CFTIRG</vt:lpstr>
      <vt:lpstr>CMS</vt:lpstr>
      <vt:lpstr>CMSD</vt:lpstr>
      <vt:lpstr>CompName</vt:lpstr>
      <vt:lpstr>CSSAF</vt:lpstr>
      <vt:lpstr>CSSCAP</vt:lpstr>
      <vt:lpstr>CSSCOL</vt:lpstr>
      <vt:lpstr>CSSDPA</vt:lpstr>
      <vt:lpstr>CSSP</vt:lpstr>
      <vt:lpstr>CSSPRO</vt:lpstr>
      <vt:lpstr>CSSS</vt:lpstr>
      <vt:lpstr>CSST</vt:lpstr>
      <vt:lpstr>CSSUPA</vt:lpstr>
      <vt:lpstr>Dep</vt:lpstr>
      <vt:lpstr>DFA</vt:lpstr>
      <vt:lpstr>DIS</vt:lpstr>
      <vt:lpstr>DRI</vt:lpstr>
      <vt:lpstr>DSP</vt:lpstr>
      <vt:lpstr>DSR</vt:lpstr>
      <vt:lpstr>DSRpq</vt:lpstr>
      <vt:lpstr>EDR</vt:lpstr>
      <vt:lpstr>EDRO</vt:lpstr>
      <vt:lpstr>ENIA</vt:lpstr>
      <vt:lpstr>ENSA</vt:lpstr>
      <vt:lpstr>ENST</vt:lpstr>
      <vt:lpstr>ETIRG</vt:lpstr>
      <vt:lpstr>ETIRGC</vt:lpstr>
      <vt:lpstr>ETIRGORAV</vt:lpstr>
      <vt:lpstr>FTIRG</vt:lpstr>
      <vt:lpstr>FTIRGC</vt:lpstr>
      <vt:lpstr>ftirgdepn</vt:lpstr>
      <vt:lpstr>FYADD</vt:lpstr>
      <vt:lpstr>FYDSP</vt:lpstr>
      <vt:lpstr>IPTIRG</vt:lpstr>
      <vt:lpstr>It</vt:lpstr>
      <vt:lpstr>ITA</vt:lpstr>
      <vt:lpstr>ITC</vt:lpstr>
      <vt:lpstr>ITP</vt:lpstr>
      <vt:lpstr>K</vt:lpstr>
      <vt:lpstr>LF</vt:lpstr>
      <vt:lpstr>LFA</vt:lpstr>
      <vt:lpstr>LFE</vt:lpstr>
      <vt:lpstr>LFt</vt:lpstr>
      <vt:lpstr>MOD</vt:lpstr>
      <vt:lpstr>NIA</vt:lpstr>
      <vt:lpstr>NIAIE</vt:lpstr>
      <vt:lpstr>NIAR</vt:lpstr>
      <vt:lpstr>NIAV</vt:lpstr>
      <vt:lpstr>NICF</vt:lpstr>
      <vt:lpstr>NICF2</vt:lpstr>
      <vt:lpstr>NTPC</vt:lpstr>
      <vt:lpstr>OFET</vt:lpstr>
      <vt:lpstr>OIP</vt:lpstr>
      <vt:lpstr>PEAK3</vt:lpstr>
      <vt:lpstr>PEAK6</vt:lpstr>
      <vt:lpstr>PEAKA</vt:lpstr>
      <vt:lpstr>'R10 Correction'!Print_Area</vt:lpstr>
      <vt:lpstr>'R11 TIRG'!Print_Area</vt:lpstr>
      <vt:lpstr>'R12 TO MAR'!Print_Area</vt:lpstr>
      <vt:lpstr>'R14 Rec to Stat Ac'!Print_Area</vt:lpstr>
      <vt:lpstr>'R15 SO Internal'!Print_Area</vt:lpstr>
      <vt:lpstr>'R16 SO External Rev'!Print_Area</vt:lpstr>
      <vt:lpstr>'R17 SO Bal Services'!Print_Area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REV</vt:lpstr>
      <vt:lpstr>RI</vt:lpstr>
      <vt:lpstr>RIDPA</vt:lpstr>
      <vt:lpstr>RILEG</vt:lpstr>
      <vt:lpstr>RPIA</vt:lpstr>
      <vt:lpstr>RPIF</vt:lpstr>
      <vt:lpstr>SAFTIRG</vt:lpstr>
      <vt:lpstr>SER</vt:lpstr>
      <vt:lpstr>SERLIMIT</vt:lpstr>
      <vt:lpstr>SFI</vt:lpstr>
      <vt:lpstr>SOEMR</vt:lpstr>
      <vt:lpstr>SOEMRCO</vt:lpstr>
      <vt:lpstr>SOEMRINC</vt:lpstr>
      <vt:lpstr>SOI</vt:lpstr>
      <vt:lpstr>SOMOD</vt:lpstr>
      <vt:lpstr>SOPU</vt:lpstr>
      <vt:lpstr>SOREV</vt:lpstr>
      <vt:lpstr>SOTRU</vt:lpstr>
      <vt:lpstr>SSO</vt:lpstr>
      <vt:lpstr>SSS</vt:lpstr>
      <vt:lpstr>SSSAF</vt:lpstr>
      <vt:lpstr>SSSCAP</vt:lpstr>
      <vt:lpstr>SSSCOL</vt:lpstr>
      <vt:lpstr>SSSDPA</vt:lpstr>
      <vt:lpstr>SSSP</vt:lpstr>
      <vt:lpstr>SSSPRO</vt:lpstr>
      <vt:lpstr>SSST</vt:lpstr>
      <vt:lpstr>SSSUPA</vt:lpstr>
      <vt:lpstr>SubTIRG</vt:lpstr>
      <vt:lpstr>TERMt</vt:lpstr>
      <vt:lpstr>TIRG</vt:lpstr>
      <vt:lpstr>TIRGINCADJ</vt:lpstr>
      <vt:lpstr>TIS</vt:lpstr>
      <vt:lpstr>TNR</vt:lpstr>
      <vt:lpstr>TO</vt:lpstr>
      <vt:lpstr>TOFTO</vt:lpstr>
      <vt:lpstr>TPA</vt:lpstr>
      <vt:lpstr>TPD</vt:lpstr>
      <vt:lpstr>TR</vt:lpstr>
      <vt:lpstr>TRU</vt:lpstr>
      <vt:lpstr>TS</vt:lpstr>
      <vt:lpstr>TSH</vt:lpstr>
      <vt:lpstr>TSP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NGET RIIO Revenue pack</dc:title>
  <dc:creator>DN</dc:creator>
  <cp:lastModifiedBy>Andrew Ryan</cp:lastModifiedBy>
  <cp:lastPrinted>2018-02-01T10:25:27Z</cp:lastPrinted>
  <dcterms:created xsi:type="dcterms:W3CDTF">2012-08-23T07:44:41Z</dcterms:created>
  <dcterms:modified xsi:type="dcterms:W3CDTF">2019-04-17T09:54:13Z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Classification">
    <vt:lpwstr>Unclassified</vt:lpwstr>
  </property>
  <property fmtid="{D5CDD505-2E9C-101B-9397-08002B2CF9AE}" pid="4" name="Organisation">
    <vt:lpwstr>National Grid Elec</vt:lpwstr>
  </property>
  <property fmtid="{D5CDD505-2E9C-101B-9397-08002B2CF9AE}" pid="5" name="DLCPolicyLabelValue">
    <vt:lpwstr>Version : 0.11</vt:lpwstr>
  </property>
  <property fmtid="{D5CDD505-2E9C-101B-9397-08002B2CF9AE}" pid="6" name="DLCPolicyLabelClientValue">
    <vt:lpwstr>Version : {_UIVersionString}</vt:lpwstr>
  </property>
  <property fmtid="{D5CDD505-2E9C-101B-9397-08002B2CF9AE}" pid="7" name="Applicable Start Date">
    <vt:filetime>2013-02-12T13:19:17Z</vt:filetime>
  </property>
  <property fmtid="{D5CDD505-2E9C-101B-9397-08002B2CF9AE}" pid="8" name="Applicable Duration">
    <vt:lpwstr>1 Year</vt:lpwstr>
  </property>
  <property fmtid="{D5CDD505-2E9C-101B-9397-08002B2CF9AE}" pid="9" name="docIndexRef">
    <vt:lpwstr>98ca6788-fee6-4b33-b5bd-f003279d3854</vt:lpwstr>
  </property>
  <property fmtid="{D5CDD505-2E9C-101B-9397-08002B2CF9AE}" pid="10" name="bjSaver">
    <vt:lpwstr>XETPu0YqjTi2ilx1HpPGD/UHtprAFOwT</vt:lpwstr>
  </property>
  <property fmtid="{D5CDD505-2E9C-101B-9397-08002B2CF9AE}" pid="11" name="_NewReviewCycle">
    <vt:lpwstr/>
  </property>
  <property fmtid="{D5CDD505-2E9C-101B-9397-08002B2CF9AE}" pid="12" name="BJSCc5a055b0-1bed-4579_x">
    <vt:lpwstr/>
  </property>
  <property fmtid="{D5CDD505-2E9C-101B-9397-08002B2CF9AE}" pid="13" name="BJSCdd9eba61-d6b9-469b_x">
    <vt:lpwstr/>
  </property>
  <property fmtid="{D5CDD505-2E9C-101B-9397-08002B2CF9AE}" pid="14" name="BJSCSummaryMarking">
    <vt:lpwstr>This item has no classification</vt:lpwstr>
  </property>
  <property fmtid="{D5CDD505-2E9C-101B-9397-08002B2CF9AE}" pid="15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6" name="Order">
    <vt:r8>3232200</vt:r8>
  </property>
  <property fmtid="{D5CDD505-2E9C-101B-9397-08002B2CF9AE}" pid="17" name="bjDocumentSecurityLabel">
    <vt:lpwstr>This item has no classification</vt:lpwstr>
  </property>
</Properties>
</file>