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http://sharepoint2013/sgg/CO/Cost_and_Outputs_Lib/RIIO1 Reopeners 2018/Feeder 9/Final Published docs/"/>
    </mc:Choice>
  </mc:AlternateContent>
  <bookViews>
    <workbookView xWindow="330" yWindow="0" windowWidth="15600" windowHeight="4890" tabRatio="601"/>
  </bookViews>
  <sheets>
    <sheet name="Updates" sheetId="45" r:id="rId1"/>
    <sheet name="2016 FID" sheetId="44" r:id="rId2"/>
    <sheet name="Fixed data" sheetId="20" r:id="rId3"/>
    <sheet name="Option 1" sheetId="37" r:id="rId4"/>
    <sheet name="Workings 1" sheetId="38" r:id="rId5"/>
    <sheet name="Option 2" sheetId="31" r:id="rId6"/>
    <sheet name="Workings 2" sheetId="32" r:id="rId7"/>
    <sheet name="RPI series" sheetId="36" state="hidden" r:id="rId8"/>
    <sheet name="Constraints" sheetId="40" r:id="rId9"/>
    <sheet name="Wholesale gas price impact" sheetId="41" r:id="rId10"/>
    <sheet name="Intervention" sheetId="42" r:id="rId11"/>
    <sheet name="Loss of life" sheetId="43" r:id="rId12"/>
  </sheets>
  <definedNames>
    <definedName name="_xlnm.Print_Area" localSheetId="3">'Option 1'!$B$1:$M$21</definedName>
    <definedName name="_xlnm.Print_Area" localSheetId="5">'Option 2'!$A$1:$L$19</definedName>
    <definedName name="_xlnm.Print_Area" localSheetId="4">'Workings 1'!$A$1:$F$108</definedName>
  </definedNames>
  <calcPr calcId="162913"/>
</workbook>
</file>

<file path=xl/calcChain.xml><?xml version="1.0" encoding="utf-8"?>
<calcChain xmlns="http://schemas.openxmlformats.org/spreadsheetml/2006/main">
  <c r="C3" i="41" l="1"/>
  <c r="C22" i="41" s="1"/>
  <c r="C2" i="41"/>
  <c r="E92" i="32"/>
  <c r="E64" i="32"/>
  <c r="E43" i="32"/>
  <c r="F94" i="38"/>
  <c r="F96" i="38" s="1"/>
  <c r="F66" i="38"/>
  <c r="F47" i="38"/>
  <c r="H6" i="42"/>
  <c r="E6" i="42"/>
  <c r="D6" i="42"/>
  <c r="D12" i="41"/>
  <c r="C12" i="41"/>
  <c r="E12" i="41"/>
  <c r="E4" i="31"/>
  <c r="F4" i="31" s="1"/>
  <c r="G4" i="31" s="1"/>
  <c r="H4" i="31" s="1"/>
  <c r="I4" i="31"/>
  <c r="J4" i="31" s="1"/>
  <c r="E5" i="31"/>
  <c r="F5" i="31" s="1"/>
  <c r="G5" i="31" s="1"/>
  <c r="H5" i="31" s="1"/>
  <c r="I5" i="31"/>
  <c r="J5" i="31" s="1"/>
  <c r="K5" i="31" s="1"/>
  <c r="L5" i="31" s="1"/>
  <c r="M5" i="31"/>
  <c r="N5" i="31" s="1"/>
  <c r="O5" i="31" s="1"/>
  <c r="P5" i="31" s="1"/>
  <c r="Q5" i="31"/>
  <c r="R5" i="31" s="1"/>
  <c r="S5" i="31" s="1"/>
  <c r="T5" i="31" s="1"/>
  <c r="U5" i="31" s="1"/>
  <c r="V5" i="31" s="1"/>
  <c r="W5" i="31" s="1"/>
  <c r="X5" i="31" s="1"/>
  <c r="Y5" i="31" s="1"/>
  <c r="Z5" i="31" s="1"/>
  <c r="AA5" i="31" s="1"/>
  <c r="AB5" i="31" s="1"/>
  <c r="AC5" i="31"/>
  <c r="AD5" i="31" s="1"/>
  <c r="AE5" i="31" s="1"/>
  <c r="AF5" i="31" s="1"/>
  <c r="AG5" i="31" s="1"/>
  <c r="AH5" i="31" s="1"/>
  <c r="AI5" i="31" s="1"/>
  <c r="AJ5" i="31" s="1"/>
  <c r="AK5" i="31" s="1"/>
  <c r="AL5" i="31" s="1"/>
  <c r="AM5" i="31" s="1"/>
  <c r="AN5" i="31" s="1"/>
  <c r="AO5" i="31" s="1"/>
  <c r="AP5" i="31" s="1"/>
  <c r="AQ5" i="31" s="1"/>
  <c r="AR5" i="31" s="1"/>
  <c r="AS5" i="31" s="1"/>
  <c r="AT5" i="31" s="1"/>
  <c r="AU5" i="31" s="1"/>
  <c r="AV5" i="31" s="1"/>
  <c r="AW5" i="31" s="1"/>
  <c r="AX5" i="31" s="1"/>
  <c r="AY5" i="31" s="1"/>
  <c r="AZ5" i="31" s="1"/>
  <c r="BA5" i="31" s="1"/>
  <c r="BB5" i="31" s="1"/>
  <c r="BC5" i="31" s="1"/>
  <c r="BD5" i="31" s="1"/>
  <c r="BE5" i="31" s="1"/>
  <c r="BF5" i="31" s="1"/>
  <c r="BG5" i="31" s="1"/>
  <c r="BH5" i="31" s="1"/>
  <c r="BI5" i="31" s="1"/>
  <c r="BJ5" i="31" s="1"/>
  <c r="BK5" i="31" s="1"/>
  <c r="E22" i="32"/>
  <c r="BA6" i="37"/>
  <c r="BB6" i="37"/>
  <c r="BC6" i="37"/>
  <c r="BD6" i="37"/>
  <c r="BE6" i="37"/>
  <c r="BF6" i="37"/>
  <c r="BG6" i="37"/>
  <c r="BH6" i="37"/>
  <c r="BI6" i="37"/>
  <c r="BJ6" i="37"/>
  <c r="BK6" i="37"/>
  <c r="E4" i="37"/>
  <c r="F4" i="37"/>
  <c r="G4" i="37" s="1"/>
  <c r="H4" i="37" s="1"/>
  <c r="I4" i="37" s="1"/>
  <c r="J4" i="37" s="1"/>
  <c r="K4" i="37" s="1"/>
  <c r="L4" i="37" s="1"/>
  <c r="M4" i="37" s="1"/>
  <c r="N4" i="37"/>
  <c r="O4" i="37" s="1"/>
  <c r="P4" i="37" s="1"/>
  <c r="Q4" i="37" s="1"/>
  <c r="R4" i="37"/>
  <c r="S4" i="37" s="1"/>
  <c r="T4" i="37" s="1"/>
  <c r="E5" i="37"/>
  <c r="F5" i="37"/>
  <c r="G5" i="37" s="1"/>
  <c r="H5" i="37" s="1"/>
  <c r="I5" i="37" s="1"/>
  <c r="J5" i="37" s="1"/>
  <c r="K5" i="37" s="1"/>
  <c r="L5" i="37" s="1"/>
  <c r="M5" i="37" s="1"/>
  <c r="N5" i="37"/>
  <c r="O5" i="37" s="1"/>
  <c r="P5" i="37" s="1"/>
  <c r="Q5" i="37" s="1"/>
  <c r="R5" i="37" s="1"/>
  <c r="S5" i="37" s="1"/>
  <c r="T5" i="37" s="1"/>
  <c r="U5" i="37" s="1"/>
  <c r="V5" i="37" s="1"/>
  <c r="W5" i="37" s="1"/>
  <c r="X5" i="37" s="1"/>
  <c r="Y5" i="37" s="1"/>
  <c r="Z5" i="37" s="1"/>
  <c r="AA5" i="37" s="1"/>
  <c r="AB5" i="37" s="1"/>
  <c r="AC5" i="37" s="1"/>
  <c r="AD5" i="37" s="1"/>
  <c r="AE5" i="37" s="1"/>
  <c r="AF5" i="37" s="1"/>
  <c r="AG5" i="37" s="1"/>
  <c r="AH5" i="37" s="1"/>
  <c r="AI5" i="37" s="1"/>
  <c r="AJ5" i="37" s="1"/>
  <c r="AK5" i="37" s="1"/>
  <c r="AL5" i="37" s="1"/>
  <c r="AM5" i="37" s="1"/>
  <c r="AN5" i="37" s="1"/>
  <c r="AO5" i="37" s="1"/>
  <c r="AP5" i="37" s="1"/>
  <c r="AQ5" i="37" s="1"/>
  <c r="AR5" i="37" s="1"/>
  <c r="AS5" i="37" s="1"/>
  <c r="AT5" i="37"/>
  <c r="AU5" i="37" s="1"/>
  <c r="AV5" i="37" s="1"/>
  <c r="AW5" i="37" s="1"/>
  <c r="AX5" i="37" s="1"/>
  <c r="AY5" i="37" s="1"/>
  <c r="AZ5" i="37" s="1"/>
  <c r="BA5" i="37" s="1"/>
  <c r="BB5" i="37" s="1"/>
  <c r="BC5" i="37" s="1"/>
  <c r="BD5" i="37" s="1"/>
  <c r="BE5" i="37" s="1"/>
  <c r="BF5" i="37" s="1"/>
  <c r="BG5" i="37" s="1"/>
  <c r="BH5" i="37" s="1"/>
  <c r="BI5" i="37" s="1"/>
  <c r="BJ5" i="37" s="1"/>
  <c r="BK5" i="37" s="1"/>
  <c r="M9" i="31"/>
  <c r="Q9" i="31"/>
  <c r="U9" i="31"/>
  <c r="Y9" i="31"/>
  <c r="AC9" i="31"/>
  <c r="AG9" i="31"/>
  <c r="AK9" i="31"/>
  <c r="AO9" i="31"/>
  <c r="AS9" i="31"/>
  <c r="AW9" i="31"/>
  <c r="BA9" i="31"/>
  <c r="BE9" i="31"/>
  <c r="BI9" i="31"/>
  <c r="AN9" i="31"/>
  <c r="BH9" i="31"/>
  <c r="N9" i="31"/>
  <c r="R9" i="31"/>
  <c r="V9" i="31"/>
  <c r="Z9" i="31"/>
  <c r="AD9" i="31"/>
  <c r="AH9" i="31"/>
  <c r="AL9" i="31"/>
  <c r="AP9" i="31"/>
  <c r="AT9" i="31"/>
  <c r="AX9" i="31"/>
  <c r="BB9" i="31"/>
  <c r="BF9" i="31"/>
  <c r="BJ9" i="31"/>
  <c r="AJ9" i="31"/>
  <c r="BD9" i="31"/>
  <c r="O9" i="31"/>
  <c r="S9" i="31"/>
  <c r="W9" i="31"/>
  <c r="AA9" i="31"/>
  <c r="AE9" i="31"/>
  <c r="AI9" i="31"/>
  <c r="AM9" i="31"/>
  <c r="AQ9" i="31"/>
  <c r="AU9" i="31"/>
  <c r="AY9" i="31"/>
  <c r="BC9" i="31"/>
  <c r="BG9" i="31"/>
  <c r="BK9" i="31"/>
  <c r="P9" i="31"/>
  <c r="T9" i="31"/>
  <c r="X9" i="31"/>
  <c r="AB9" i="31"/>
  <c r="AF9" i="31"/>
  <c r="AR9" i="31"/>
  <c r="AV9" i="31"/>
  <c r="AZ9" i="31"/>
  <c r="L9" i="31"/>
  <c r="F17" i="40"/>
  <c r="F16" i="40"/>
  <c r="F15" i="40"/>
  <c r="F18" i="40" s="1"/>
  <c r="B6" i="37"/>
  <c r="E14" i="32"/>
  <c r="F24" i="38"/>
  <c r="F10" i="38"/>
  <c r="E24" i="32"/>
  <c r="E48" i="32"/>
  <c r="F51" i="38"/>
  <c r="F30" i="38"/>
  <c r="E80" i="32"/>
  <c r="E103" i="32" s="1"/>
  <c r="F82" i="38"/>
  <c r="F104" i="38"/>
  <c r="B13" i="31"/>
  <c r="B13" i="37"/>
  <c r="C4" i="43"/>
  <c r="C3" i="43"/>
  <c r="C5" i="43" s="1"/>
  <c r="B12" i="31"/>
  <c r="B12" i="37"/>
  <c r="H4" i="42"/>
  <c r="H7" i="42" s="1"/>
  <c r="H5" i="42"/>
  <c r="H3" i="42"/>
  <c r="C9" i="42"/>
  <c r="E107" i="32"/>
  <c r="F108" i="38"/>
  <c r="E94" i="32"/>
  <c r="F70" i="38"/>
  <c r="F72" i="38" s="1"/>
  <c r="F36" i="38"/>
  <c r="F55" i="38" s="1"/>
  <c r="F68" i="38"/>
  <c r="B11" i="31"/>
  <c r="E31" i="32"/>
  <c r="B11" i="37"/>
  <c r="F8" i="40"/>
  <c r="F7" i="40"/>
  <c r="F9" i="40" s="1"/>
  <c r="F5" i="40"/>
  <c r="F4" i="40"/>
  <c r="F6" i="40" s="1"/>
  <c r="F10" i="40" s="1"/>
  <c r="F59" i="38" s="1"/>
  <c r="F61" i="38" s="1"/>
  <c r="B10" i="31"/>
  <c r="E50" i="32"/>
  <c r="E26" i="32"/>
  <c r="E28" i="32" s="1"/>
  <c r="B10" i="37"/>
  <c r="F32" i="38"/>
  <c r="B9" i="31"/>
  <c r="E9" i="37"/>
  <c r="F9" i="37"/>
  <c r="G9" i="37"/>
  <c r="H9" i="37"/>
  <c r="D9" i="37"/>
  <c r="B9" i="37"/>
  <c r="E52" i="32"/>
  <c r="S10" i="31"/>
  <c r="AA10" i="31"/>
  <c r="AI10" i="31"/>
  <c r="AY10" i="31"/>
  <c r="BG10" i="31"/>
  <c r="P10" i="31"/>
  <c r="AF10" i="31"/>
  <c r="AN10" i="31"/>
  <c r="AV10" i="31"/>
  <c r="L10" i="31"/>
  <c r="Q10" i="31"/>
  <c r="Y10" i="31"/>
  <c r="AO10" i="31"/>
  <c r="AW10" i="31"/>
  <c r="BE10" i="31"/>
  <c r="N10" i="31"/>
  <c r="V10" i="31"/>
  <c r="AD10" i="31"/>
  <c r="AL10" i="31"/>
  <c r="AT10" i="31"/>
  <c r="BB10" i="31"/>
  <c r="BJ10" i="31"/>
  <c r="E45" i="32"/>
  <c r="E10" i="31"/>
  <c r="I10" i="31"/>
  <c r="F10" i="31"/>
  <c r="J10" i="31"/>
  <c r="D10" i="31"/>
  <c r="K10" i="31"/>
  <c r="G10" i="31"/>
  <c r="F49" i="38"/>
  <c r="F34" i="38"/>
  <c r="F53" i="38"/>
  <c r="E66" i="32"/>
  <c r="E35" i="32"/>
  <c r="E37" i="32" s="1"/>
  <c r="F86" i="38"/>
  <c r="F88" i="38" s="1"/>
  <c r="E10" i="37"/>
  <c r="B8" i="31"/>
  <c r="E18" i="32"/>
  <c r="D8" i="31"/>
  <c r="BL8" i="31" s="1"/>
  <c r="B7" i="31"/>
  <c r="BL14" i="37"/>
  <c r="B6" i="31"/>
  <c r="E15" i="32"/>
  <c r="Y7" i="31" s="1"/>
  <c r="E8" i="32"/>
  <c r="E9" i="32"/>
  <c r="BA6" i="31" s="1"/>
  <c r="I6" i="31"/>
  <c r="B8" i="37"/>
  <c r="F25" i="38"/>
  <c r="E8" i="37"/>
  <c r="B7" i="37"/>
  <c r="BG6" i="31"/>
  <c r="AV6" i="31"/>
  <c r="AQ6" i="31"/>
  <c r="AK6" i="31"/>
  <c r="AA6" i="31"/>
  <c r="U6" i="31"/>
  <c r="P6" i="31"/>
  <c r="K6" i="31"/>
  <c r="E6" i="31"/>
  <c r="D6" i="31"/>
  <c r="BE6" i="31"/>
  <c r="AZ6" i="31"/>
  <c r="AU6" i="31"/>
  <c r="AO6" i="31"/>
  <c r="AJ6" i="31"/>
  <c r="AE6" i="31"/>
  <c r="Y6" i="31"/>
  <c r="T6" i="31"/>
  <c r="O6" i="31"/>
  <c r="F6" i="31"/>
  <c r="BK6" i="31"/>
  <c r="BI6" i="31"/>
  <c r="BD6" i="31"/>
  <c r="AY6" i="31"/>
  <c r="AS6" i="31"/>
  <c r="AN6" i="31"/>
  <c r="AI6" i="31"/>
  <c r="AC6" i="31"/>
  <c r="X6" i="31"/>
  <c r="S6" i="31"/>
  <c r="M6" i="31"/>
  <c r="H6" i="31"/>
  <c r="BH6" i="31"/>
  <c r="BC6" i="31"/>
  <c r="AW6" i="31"/>
  <c r="AR6" i="31"/>
  <c r="AM6" i="31"/>
  <c r="AG6" i="31"/>
  <c r="AB6" i="31"/>
  <c r="W6" i="31"/>
  <c r="Q6" i="31"/>
  <c r="L6" i="31"/>
  <c r="G6" i="31"/>
  <c r="AD7" i="31"/>
  <c r="T7" i="31"/>
  <c r="BJ6" i="31"/>
  <c r="BF6" i="31"/>
  <c r="BB6" i="31"/>
  <c r="AX6" i="31"/>
  <c r="AT6" i="31"/>
  <c r="AP6" i="31"/>
  <c r="AL6" i="31"/>
  <c r="AH6" i="31"/>
  <c r="AD6" i="31"/>
  <c r="Z6" i="31"/>
  <c r="V6" i="31"/>
  <c r="R6" i="31"/>
  <c r="N6" i="31"/>
  <c r="J6" i="31"/>
  <c r="AM7" i="31"/>
  <c r="D8" i="37"/>
  <c r="H8" i="37"/>
  <c r="F8" i="37"/>
  <c r="G8" i="37"/>
  <c r="H16" i="31"/>
  <c r="G16" i="31"/>
  <c r="F16" i="31"/>
  <c r="E16" i="31"/>
  <c r="D16" i="31"/>
  <c r="BL9" i="37"/>
  <c r="H11" i="38"/>
  <c r="I11" i="38"/>
  <c r="J11" i="38"/>
  <c r="K11" i="38"/>
  <c r="E6" i="37" s="1"/>
  <c r="L11" i="38"/>
  <c r="F6" i="37"/>
  <c r="M11" i="38"/>
  <c r="G6" i="37" s="1"/>
  <c r="N11" i="38"/>
  <c r="H6" i="37"/>
  <c r="O11" i="38"/>
  <c r="I6" i="37" s="1"/>
  <c r="P11" i="38"/>
  <c r="J6" i="37"/>
  <c r="Q11" i="38"/>
  <c r="K6" i="37" s="1"/>
  <c r="K15" i="37" s="1"/>
  <c r="R11" i="38"/>
  <c r="L6" i="37"/>
  <c r="L15" i="37" s="1"/>
  <c r="S11" i="38"/>
  <c r="M6" i="37" s="1"/>
  <c r="M15" i="37" s="1"/>
  <c r="T11" i="38"/>
  <c r="N6" i="37"/>
  <c r="U11" i="38"/>
  <c r="O6" i="37" s="1"/>
  <c r="V11" i="38"/>
  <c r="P6" i="37"/>
  <c r="P15" i="37" s="1"/>
  <c r="W11" i="38"/>
  <c r="Q6" i="37" s="1"/>
  <c r="Q15" i="37" s="1"/>
  <c r="Q17" i="37" s="1"/>
  <c r="X11" i="38"/>
  <c r="R6" i="37"/>
  <c r="Y11" i="38"/>
  <c r="S6" i="37" s="1"/>
  <c r="Z11" i="38"/>
  <c r="T6" i="37"/>
  <c r="T15" i="37" s="1"/>
  <c r="AA11" i="38"/>
  <c r="U6" i="37" s="1"/>
  <c r="U15" i="37" s="1"/>
  <c r="AB11" i="38"/>
  <c r="V6" i="37"/>
  <c r="V15" i="37" s="1"/>
  <c r="AC11" i="38"/>
  <c r="W6" i="37" s="1"/>
  <c r="AD11" i="38"/>
  <c r="X6" i="37"/>
  <c r="X15" i="37" s="1"/>
  <c r="AE11" i="38"/>
  <c r="Y6" i="37" s="1"/>
  <c r="AF11" i="38"/>
  <c r="Z6" i="37"/>
  <c r="AG11" i="38"/>
  <c r="AA6" i="37" s="1"/>
  <c r="AA15" i="37" s="1"/>
  <c r="AH11" i="38"/>
  <c r="AB6" i="37" s="1"/>
  <c r="AI11" i="38"/>
  <c r="AC6" i="37" s="1"/>
  <c r="AJ11" i="38"/>
  <c r="AD6" i="37"/>
  <c r="AK11" i="38"/>
  <c r="AE6" i="37" s="1"/>
  <c r="AL11" i="38"/>
  <c r="AF6" i="37"/>
  <c r="AM11" i="38"/>
  <c r="AG6" i="37" s="1"/>
  <c r="AG15" i="37" s="1"/>
  <c r="AN11" i="38"/>
  <c r="AH6" i="37"/>
  <c r="AH15" i="37" s="1"/>
  <c r="AO11" i="38"/>
  <c r="AI6" i="37" s="1"/>
  <c r="AP11" i="38"/>
  <c r="AJ6" i="37" s="1"/>
  <c r="AJ15" i="37" s="1"/>
  <c r="AQ11" i="38"/>
  <c r="AK6" i="37" s="1"/>
  <c r="AR11" i="38"/>
  <c r="AL6" i="37"/>
  <c r="AL15" i="37" s="1"/>
  <c r="AS11" i="38"/>
  <c r="AM6" i="37" s="1"/>
  <c r="AT11" i="38"/>
  <c r="AN6" i="37"/>
  <c r="AU11" i="38"/>
  <c r="AO6" i="37" s="1"/>
  <c r="AO15" i="37" s="1"/>
  <c r="AV11" i="38"/>
  <c r="AP6" i="37"/>
  <c r="AW11" i="38"/>
  <c r="AQ6" i="37" s="1"/>
  <c r="AX11" i="38"/>
  <c r="AR6" i="37" s="1"/>
  <c r="AR15" i="37" s="1"/>
  <c r="AY11" i="38"/>
  <c r="AS6" i="37" s="1"/>
  <c r="AZ11" i="38"/>
  <c r="AT6" i="37"/>
  <c r="AT15" i="37" s="1"/>
  <c r="BA11" i="38"/>
  <c r="AU6" i="37" s="1"/>
  <c r="BB11" i="38"/>
  <c r="AV6" i="37"/>
  <c r="AV15" i="37" s="1"/>
  <c r="BC11" i="38"/>
  <c r="AW6" i="37" s="1"/>
  <c r="AW15" i="37" s="1"/>
  <c r="BD11" i="38"/>
  <c r="AX6" i="37"/>
  <c r="BE11" i="38"/>
  <c r="AY6" i="37" s="1"/>
  <c r="BF11" i="38"/>
  <c r="AZ6" i="37" s="1"/>
  <c r="AZ15" i="37" s="1"/>
  <c r="G11" i="38"/>
  <c r="D6" i="37"/>
  <c r="BL8" i="37"/>
  <c r="F18" i="38"/>
  <c r="F17" i="38"/>
  <c r="F14" i="38"/>
  <c r="F15" i="38"/>
  <c r="D16" i="37"/>
  <c r="E16" i="37"/>
  <c r="F16" i="37"/>
  <c r="G16" i="37"/>
  <c r="H16" i="37"/>
  <c r="I16" i="37"/>
  <c r="J16" i="37"/>
  <c r="K16" i="37"/>
  <c r="L16" i="37"/>
  <c r="M16" i="37"/>
  <c r="N16" i="37"/>
  <c r="O16" i="37"/>
  <c r="P16" i="37"/>
  <c r="Q16" i="37"/>
  <c r="R16" i="37"/>
  <c r="S16" i="37"/>
  <c r="E9" i="31"/>
  <c r="BL9" i="31" s="1"/>
  <c r="F9" i="31"/>
  <c r="G9" i="31"/>
  <c r="J9" i="31"/>
  <c r="K9" i="31"/>
  <c r="D9" i="31"/>
  <c r="H9" i="31"/>
  <c r="I9" i="31"/>
  <c r="F7" i="37"/>
  <c r="E7" i="37"/>
  <c r="G7" i="37"/>
  <c r="F19" i="38"/>
  <c r="J7" i="37"/>
  <c r="J15" i="37"/>
  <c r="J17" i="37" s="1"/>
  <c r="BK7" i="37"/>
  <c r="BK15" i="37" s="1"/>
  <c r="K7" i="37"/>
  <c r="BL18" i="31"/>
  <c r="M7" i="37"/>
  <c r="O7" i="37"/>
  <c r="O15" i="37" s="1"/>
  <c r="O17" i="37" s="1"/>
  <c r="Q7" i="37"/>
  <c r="S7" i="37"/>
  <c r="S15" i="37"/>
  <c r="S17" i="37" s="1"/>
  <c r="U7" i="37"/>
  <c r="W7" i="37"/>
  <c r="W15" i="37"/>
  <c r="Y7" i="37"/>
  <c r="AA7" i="37"/>
  <c r="AC7" i="37"/>
  <c r="AE7" i="37"/>
  <c r="AG7" i="37"/>
  <c r="AI7" i="37"/>
  <c r="AK7" i="37"/>
  <c r="AK15" i="37"/>
  <c r="AM7" i="37"/>
  <c r="AO7" i="37"/>
  <c r="AQ7" i="37"/>
  <c r="AS7" i="37"/>
  <c r="AS15" i="37"/>
  <c r="AU7" i="37"/>
  <c r="AW7" i="37"/>
  <c r="AY7" i="37"/>
  <c r="BA7" i="37"/>
  <c r="BC7" i="37"/>
  <c r="BC15" i="37" s="1"/>
  <c r="BE7" i="37"/>
  <c r="BG7" i="37"/>
  <c r="BG15" i="37"/>
  <c r="BI7" i="37"/>
  <c r="BI15" i="37" s="1"/>
  <c r="L7" i="37"/>
  <c r="N7" i="37"/>
  <c r="N15" i="37"/>
  <c r="N17" i="37" s="1"/>
  <c r="P7" i="37"/>
  <c r="R7" i="37"/>
  <c r="R15" i="37"/>
  <c r="T7" i="37"/>
  <c r="V7" i="37"/>
  <c r="X7" i="37"/>
  <c r="Z7" i="37"/>
  <c r="Z15" i="37"/>
  <c r="AB7" i="37"/>
  <c r="AD7" i="37"/>
  <c r="AD15" i="37"/>
  <c r="AF7" i="37"/>
  <c r="AH7" i="37"/>
  <c r="AJ7" i="37"/>
  <c r="AL7" i="37"/>
  <c r="AN7" i="37"/>
  <c r="AN15" i="37"/>
  <c r="AP7" i="37"/>
  <c r="AR7" i="37"/>
  <c r="AT7" i="37"/>
  <c r="AV7" i="37"/>
  <c r="AX7" i="37"/>
  <c r="AX15" i="37"/>
  <c r="AZ7" i="37"/>
  <c r="BB7" i="37"/>
  <c r="BB15" i="37" s="1"/>
  <c r="BD7" i="37"/>
  <c r="BF7" i="37"/>
  <c r="BF15" i="37"/>
  <c r="BH7" i="37"/>
  <c r="BH15" i="37" s="1"/>
  <c r="BJ7" i="37"/>
  <c r="BJ15" i="37"/>
  <c r="AP15" i="37"/>
  <c r="BA15" i="37"/>
  <c r="AC15" i="37"/>
  <c r="BE15" i="37"/>
  <c r="Y15" i="37"/>
  <c r="BD15" i="37"/>
  <c r="B364" i="36"/>
  <c r="B365" i="36" s="1"/>
  <c r="B366" i="36" s="1"/>
  <c r="B363" i="36"/>
  <c r="C344" i="36"/>
  <c r="B13" i="36"/>
  <c r="C332" i="36"/>
  <c r="B12" i="36" s="1"/>
  <c r="C320" i="36"/>
  <c r="B11" i="36" s="1"/>
  <c r="C308" i="36"/>
  <c r="B10" i="36" s="1"/>
  <c r="C296" i="36"/>
  <c r="B9" i="36"/>
  <c r="C284" i="36"/>
  <c r="B8" i="36" s="1"/>
  <c r="C272" i="36"/>
  <c r="B7" i="36" s="1"/>
  <c r="C260" i="36"/>
  <c r="B6" i="36" s="1"/>
  <c r="C248" i="36"/>
  <c r="B5" i="36"/>
  <c r="C236" i="36"/>
  <c r="B4" i="36" s="1"/>
  <c r="C224" i="36"/>
  <c r="B3" i="36" s="1"/>
  <c r="C212" i="36"/>
  <c r="B2" i="36" s="1"/>
  <c r="K17" i="37"/>
  <c r="L17" i="37"/>
  <c r="P17" i="37"/>
  <c r="M17" i="37"/>
  <c r="R17" i="37"/>
  <c r="BL18" i="37"/>
  <c r="AB15" i="37" l="1"/>
  <c r="BL6" i="37"/>
  <c r="B367" i="36"/>
  <c r="C356" i="36"/>
  <c r="B14" i="36" s="1"/>
  <c r="AY15" i="37"/>
  <c r="AQ15" i="37"/>
  <c r="AI15" i="37"/>
  <c r="AF15" i="37"/>
  <c r="I16" i="31"/>
  <c r="BG7" i="31"/>
  <c r="AZ7" i="31"/>
  <c r="BJ7" i="31"/>
  <c r="U4" i="37"/>
  <c r="T16" i="37"/>
  <c r="T17" i="37" s="1"/>
  <c r="H7" i="37"/>
  <c r="I7" i="37"/>
  <c r="D7" i="37"/>
  <c r="F11" i="38"/>
  <c r="I15" i="37"/>
  <c r="I17" i="37" s="1"/>
  <c r="G7" i="31"/>
  <c r="BF7" i="31"/>
  <c r="AP7" i="31"/>
  <c r="Z7" i="31"/>
  <c r="J7" i="31"/>
  <c r="BA7" i="31"/>
  <c r="AK7" i="31"/>
  <c r="U7" i="31"/>
  <c r="E7" i="31"/>
  <c r="AV7" i="31"/>
  <c r="AF7" i="31"/>
  <c r="P7" i="31"/>
  <c r="AY7" i="31"/>
  <c r="AI7" i="31"/>
  <c r="BK7" i="31"/>
  <c r="BB7" i="31"/>
  <c r="AL7" i="31"/>
  <c r="V7" i="31"/>
  <c r="F7" i="31"/>
  <c r="AW7" i="31"/>
  <c r="AG7" i="31"/>
  <c r="Q7" i="31"/>
  <c r="BH7" i="31"/>
  <c r="AR7" i="31"/>
  <c r="AB7" i="31"/>
  <c r="L7" i="31"/>
  <c r="D7" i="31"/>
  <c r="AX7" i="31"/>
  <c r="R7" i="31"/>
  <c r="AS7" i="31"/>
  <c r="M7" i="31"/>
  <c r="AN7" i="31"/>
  <c r="H7" i="31"/>
  <c r="BC7" i="31"/>
  <c r="AE7" i="31"/>
  <c r="O7" i="31"/>
  <c r="AT7" i="31"/>
  <c r="N7" i="31"/>
  <c r="AO7" i="31"/>
  <c r="I7" i="31"/>
  <c r="AJ7" i="31"/>
  <c r="AU7" i="31"/>
  <c r="AA7" i="31"/>
  <c r="K7" i="31"/>
  <c r="AH7" i="31"/>
  <c r="BI7" i="31"/>
  <c r="AC7" i="31"/>
  <c r="BD7" i="31"/>
  <c r="X7" i="31"/>
  <c r="AQ7" i="31"/>
  <c r="W7" i="31"/>
  <c r="K4" i="31"/>
  <c r="J16" i="31"/>
  <c r="AU15" i="37"/>
  <c r="AM15" i="37"/>
  <c r="AE15" i="37"/>
  <c r="S7" i="31"/>
  <c r="BE7" i="31"/>
  <c r="G10" i="37"/>
  <c r="H10" i="37"/>
  <c r="D10" i="37"/>
  <c r="E97" i="32"/>
  <c r="E99" i="32" s="1"/>
  <c r="E69" i="32"/>
  <c r="E71" i="32" s="1"/>
  <c r="F98" i="38"/>
  <c r="F100" i="38" s="1"/>
  <c r="F10" i="37"/>
  <c r="F40" i="38"/>
  <c r="F42" i="38" s="1"/>
  <c r="E56" i="32"/>
  <c r="E58" i="32" s="1"/>
  <c r="E84" i="32"/>
  <c r="E86" i="32" s="1"/>
  <c r="W10" i="31"/>
  <c r="AM10" i="31"/>
  <c r="BC10" i="31"/>
  <c r="T10" i="31"/>
  <c r="AJ10" i="31"/>
  <c r="AZ10" i="31"/>
  <c r="M10" i="31"/>
  <c r="AC10" i="31"/>
  <c r="AS10" i="31"/>
  <c r="BI10" i="31"/>
  <c r="Z10" i="31"/>
  <c r="AP10" i="31"/>
  <c r="BF10" i="31"/>
  <c r="O10" i="31"/>
  <c r="AE10" i="31"/>
  <c r="AU10" i="31"/>
  <c r="BK10" i="31"/>
  <c r="AB10" i="31"/>
  <c r="AR10" i="31"/>
  <c r="BH10" i="31"/>
  <c r="U10" i="31"/>
  <c r="AK10" i="31"/>
  <c r="BA10" i="31"/>
  <c r="R10" i="31"/>
  <c r="AH10" i="31"/>
  <c r="AX10" i="31"/>
  <c r="H10" i="31"/>
  <c r="BL10" i="31" s="1"/>
  <c r="C8" i="42"/>
  <c r="E88" i="32"/>
  <c r="E90" i="32" s="1"/>
  <c r="E60" i="32"/>
  <c r="E62" i="32" s="1"/>
  <c r="F62" i="38"/>
  <c r="F64" i="38" s="1"/>
  <c r="F12" i="37" s="1"/>
  <c r="F90" i="38"/>
  <c r="F92" i="38" s="1"/>
  <c r="F19" i="40"/>
  <c r="AF6" i="31"/>
  <c r="AG10" i="31"/>
  <c r="BD10" i="31"/>
  <c r="X10" i="31"/>
  <c r="AQ10" i="31"/>
  <c r="E74" i="32"/>
  <c r="E78" i="32" s="1"/>
  <c r="F75" i="38"/>
  <c r="F79" i="38" s="1"/>
  <c r="C7" i="41"/>
  <c r="J12" i="31" l="1"/>
  <c r="F12" i="31"/>
  <c r="G12" i="31"/>
  <c r="I12" i="31"/>
  <c r="H12" i="31"/>
  <c r="D12" i="31"/>
  <c r="K12" i="31"/>
  <c r="E12" i="31"/>
  <c r="E12" i="37"/>
  <c r="BL6" i="31"/>
  <c r="D11" i="37"/>
  <c r="D15" i="37" s="1"/>
  <c r="G12" i="37"/>
  <c r="D12" i="37"/>
  <c r="L4" i="31"/>
  <c r="K16" i="31"/>
  <c r="J13" i="31"/>
  <c r="E13" i="31"/>
  <c r="K13" i="31"/>
  <c r="I13" i="31"/>
  <c r="F13" i="31"/>
  <c r="H13" i="31"/>
  <c r="G13" i="31"/>
  <c r="D13" i="31"/>
  <c r="E13" i="41"/>
  <c r="C6" i="41"/>
  <c r="C13" i="41" s="1"/>
  <c r="E39" i="32"/>
  <c r="E41" i="32" s="1"/>
  <c r="F43" i="38"/>
  <c r="F45" i="38" s="1"/>
  <c r="G11" i="37" s="1"/>
  <c r="G15" i="37" s="1"/>
  <c r="G17" i="37" s="1"/>
  <c r="BL10" i="37"/>
  <c r="H12" i="37"/>
  <c r="BL7" i="31"/>
  <c r="BL7" i="37"/>
  <c r="V4" i="37"/>
  <c r="U16" i="37"/>
  <c r="U17" i="37" s="1"/>
  <c r="H13" i="37"/>
  <c r="D13" i="37"/>
  <c r="F13" i="37"/>
  <c r="E13" i="37"/>
  <c r="G13" i="37"/>
  <c r="D17" i="37" l="1"/>
  <c r="BB11" i="31"/>
  <c r="D11" i="31"/>
  <c r="F11" i="31"/>
  <c r="F15" i="31" s="1"/>
  <c r="F17" i="31" s="1"/>
  <c r="AZ11" i="31"/>
  <c r="BG11" i="31"/>
  <c r="AM11" i="31"/>
  <c r="AY11" i="31"/>
  <c r="H11" i="31"/>
  <c r="H15" i="31" s="1"/>
  <c r="H17" i="31" s="1"/>
  <c r="G11" i="31"/>
  <c r="G15" i="31" s="1"/>
  <c r="G17" i="31" s="1"/>
  <c r="AJ11" i="31"/>
  <c r="W11" i="31"/>
  <c r="O11" i="31"/>
  <c r="J11" i="31"/>
  <c r="J15" i="31" s="1"/>
  <c r="J17" i="31" s="1"/>
  <c r="K11" i="31"/>
  <c r="K15" i="31" s="1"/>
  <c r="K17" i="31" s="1"/>
  <c r="AI11" i="31"/>
  <c r="BA11" i="31"/>
  <c r="AD11" i="31"/>
  <c r="I11" i="31"/>
  <c r="I15" i="31" s="1"/>
  <c r="I17" i="31" s="1"/>
  <c r="AE11" i="31"/>
  <c r="E11" i="31"/>
  <c r="E15" i="31" s="1"/>
  <c r="E17" i="31" s="1"/>
  <c r="BL13" i="37"/>
  <c r="M4" i="31"/>
  <c r="L16" i="31"/>
  <c r="F11" i="37"/>
  <c r="F15" i="37" s="1"/>
  <c r="F17" i="37" s="1"/>
  <c r="H11" i="37"/>
  <c r="H15" i="37" s="1"/>
  <c r="H17" i="37" s="1"/>
  <c r="E93" i="32"/>
  <c r="E95" i="32" s="1"/>
  <c r="E44" i="32"/>
  <c r="E46" i="32" s="1"/>
  <c r="AB11" i="31" s="1"/>
  <c r="E65" i="32"/>
  <c r="E67" i="32" s="1"/>
  <c r="E11" i="37"/>
  <c r="E15" i="37" s="1"/>
  <c r="E17" i="37" s="1"/>
  <c r="W4" i="37"/>
  <c r="V16" i="37"/>
  <c r="V17" i="37" s="1"/>
  <c r="D13" i="41"/>
  <c r="BL12" i="37"/>
  <c r="AI15" i="31" l="1"/>
  <c r="D15" i="31"/>
  <c r="AN11" i="31"/>
  <c r="P11" i="31"/>
  <c r="V11" i="31"/>
  <c r="X11" i="31"/>
  <c r="S11" i="31"/>
  <c r="S15" i="31" s="1"/>
  <c r="AF11" i="31"/>
  <c r="AV11" i="31"/>
  <c r="T11" i="31"/>
  <c r="M11" i="31"/>
  <c r="M15" i="31" s="1"/>
  <c r="M17" i="31" s="1"/>
  <c r="BE11" i="31"/>
  <c r="AR11" i="31"/>
  <c r="BH11" i="31"/>
  <c r="AQ11" i="31"/>
  <c r="AO11" i="31"/>
  <c r="U11" i="31"/>
  <c r="BL15" i="37"/>
  <c r="AP12" i="31"/>
  <c r="T12" i="31"/>
  <c r="AW12" i="31"/>
  <c r="BJ12" i="31"/>
  <c r="AN12" i="31"/>
  <c r="R12" i="31"/>
  <c r="AU12" i="31"/>
  <c r="U12" i="31"/>
  <c r="AE12" i="31"/>
  <c r="AE15" i="31" s="1"/>
  <c r="AL12" i="31"/>
  <c r="AJ12" i="31"/>
  <c r="AJ15" i="31" s="1"/>
  <c r="M12" i="31"/>
  <c r="BG12" i="31"/>
  <c r="BG15" i="31" s="1"/>
  <c r="AQ12" i="31"/>
  <c r="N12" i="31"/>
  <c r="Z12" i="31"/>
  <c r="AF12" i="31"/>
  <c r="AA12" i="31"/>
  <c r="BD12" i="31"/>
  <c r="AH12" i="31"/>
  <c r="BK12" i="31"/>
  <c r="AO12" i="31"/>
  <c r="S12" i="31"/>
  <c r="AV12" i="31"/>
  <c r="W12" i="31"/>
  <c r="W15" i="31" s="1"/>
  <c r="O12" i="31"/>
  <c r="V12" i="31"/>
  <c r="BB12" i="31"/>
  <c r="BB15" i="31" s="1"/>
  <c r="AX12" i="31"/>
  <c r="Q12" i="31"/>
  <c r="AG12" i="31"/>
  <c r="AY12" i="31"/>
  <c r="AY15" i="31" s="1"/>
  <c r="AB12" i="31"/>
  <c r="AB15" i="31" s="1"/>
  <c r="BE12" i="31"/>
  <c r="AI12" i="31"/>
  <c r="L12" i="31"/>
  <c r="AC12" i="31"/>
  <c r="AM12" i="31"/>
  <c r="BA12" i="31"/>
  <c r="BA15" i="31" s="1"/>
  <c r="BH12" i="31"/>
  <c r="BF12" i="31"/>
  <c r="BI12" i="31"/>
  <c r="AD12" i="31"/>
  <c r="AK12" i="31"/>
  <c r="AS12" i="31"/>
  <c r="P12" i="31"/>
  <c r="Y12" i="31"/>
  <c r="BC12" i="31"/>
  <c r="AT12" i="31"/>
  <c r="X12" i="31"/>
  <c r="AZ12" i="31"/>
  <c r="AZ15" i="31" s="1"/>
  <c r="AR12" i="31"/>
  <c r="BL11" i="37"/>
  <c r="N4" i="31"/>
  <c r="M16" i="31"/>
  <c r="BF11" i="31"/>
  <c r="AH11" i="31"/>
  <c r="AH15" i="31" s="1"/>
  <c r="BJ11" i="31"/>
  <c r="AG11" i="31"/>
  <c r="AW11" i="31"/>
  <c r="AT11" i="31"/>
  <c r="R11" i="31"/>
  <c r="L11" i="31"/>
  <c r="L15" i="31" s="1"/>
  <c r="L17" i="31" s="1"/>
  <c r="BC11" i="31"/>
  <c r="BC15" i="31" s="1"/>
  <c r="AL11" i="31"/>
  <c r="AX11" i="31"/>
  <c r="AS11" i="31"/>
  <c r="BK11" i="31"/>
  <c r="D19" i="37"/>
  <c r="E19" i="37" s="1"/>
  <c r="F19" i="37" s="1"/>
  <c r="G19" i="37" s="1"/>
  <c r="H19" i="37" s="1"/>
  <c r="I19" i="37" s="1"/>
  <c r="J19" i="37" s="1"/>
  <c r="K19" i="37" s="1"/>
  <c r="L19" i="37" s="1"/>
  <c r="M19" i="37" s="1"/>
  <c r="N19" i="37" s="1"/>
  <c r="O19" i="37" s="1"/>
  <c r="P19" i="37" s="1"/>
  <c r="Q19" i="37" s="1"/>
  <c r="AW13" i="31"/>
  <c r="BE13" i="31"/>
  <c r="S13" i="31"/>
  <c r="O13" i="31"/>
  <c r="BH13" i="31"/>
  <c r="P13" i="31"/>
  <c r="U13" i="31"/>
  <c r="BF13" i="31"/>
  <c r="AP13" i="31"/>
  <c r="X13" i="31"/>
  <c r="Y13" i="31"/>
  <c r="AK13" i="31"/>
  <c r="AA13" i="31"/>
  <c r="AV13" i="31"/>
  <c r="L13" i="31"/>
  <c r="V13" i="31"/>
  <c r="R13" i="31"/>
  <c r="AE13" i="31"/>
  <c r="AF13" i="31"/>
  <c r="AB13" i="31"/>
  <c r="AD13" i="31"/>
  <c r="AL13" i="31"/>
  <c r="AU13" i="31"/>
  <c r="BB13" i="31"/>
  <c r="T13" i="31"/>
  <c r="AG13" i="31"/>
  <c r="AI13" i="31"/>
  <c r="AT13" i="31"/>
  <c r="AQ13" i="31"/>
  <c r="AR13" i="31"/>
  <c r="AH13" i="31"/>
  <c r="BD13" i="31"/>
  <c r="AC13" i="31"/>
  <c r="AX13" i="31"/>
  <c r="AO13" i="31"/>
  <c r="N13" i="31"/>
  <c r="AY13" i="31"/>
  <c r="M13" i="31"/>
  <c r="Z13" i="31"/>
  <c r="AN13" i="31"/>
  <c r="BK13" i="31"/>
  <c r="AJ13" i="31"/>
  <c r="AM13" i="31"/>
  <c r="AM15" i="31" s="1"/>
  <c r="W13" i="31"/>
  <c r="AS13" i="31"/>
  <c r="AZ13" i="31"/>
  <c r="BG13" i="31"/>
  <c r="BC13" i="31"/>
  <c r="BA13" i="31"/>
  <c r="BJ13" i="31"/>
  <c r="BI13" i="31"/>
  <c r="Q13" i="31"/>
  <c r="AD15" i="31"/>
  <c r="O15" i="31"/>
  <c r="X4" i="37"/>
  <c r="W16" i="37"/>
  <c r="W17" i="37" s="1"/>
  <c r="Y11" i="31"/>
  <c r="Y15" i="31" s="1"/>
  <c r="AU11" i="31"/>
  <c r="AU15" i="31" s="1"/>
  <c r="N11" i="31"/>
  <c r="N15" i="31" s="1"/>
  <c r="BD11" i="31"/>
  <c r="BD15" i="31" s="1"/>
  <c r="Q11" i="31"/>
  <c r="AA11" i="31"/>
  <c r="Z11" i="31"/>
  <c r="Z15" i="31" s="1"/>
  <c r="AC11" i="31"/>
  <c r="AK11" i="31"/>
  <c r="AK15" i="31" s="1"/>
  <c r="BI11" i="31"/>
  <c r="BI15" i="31" s="1"/>
  <c r="AP11" i="31"/>
  <c r="D6" i="44" l="1"/>
  <c r="R19" i="37"/>
  <c r="S19" i="37" s="1"/>
  <c r="T19" i="37" s="1"/>
  <c r="U19" i="37" s="1"/>
  <c r="V19" i="37" s="1"/>
  <c r="BL11" i="31"/>
  <c r="AS15" i="31"/>
  <c r="AW15" i="31"/>
  <c r="BF15" i="31"/>
  <c r="BL12" i="31"/>
  <c r="BH15" i="31"/>
  <c r="T15" i="31"/>
  <c r="X15" i="31"/>
  <c r="AN15" i="31"/>
  <c r="AC15" i="31"/>
  <c r="Q15" i="31"/>
  <c r="W19" i="37"/>
  <c r="BL13" i="31"/>
  <c r="AX15" i="31"/>
  <c r="R15" i="31"/>
  <c r="AG15" i="31"/>
  <c r="U15" i="31"/>
  <c r="AR15" i="31"/>
  <c r="AV15" i="31"/>
  <c r="V15" i="31"/>
  <c r="AQ15" i="31"/>
  <c r="AA15" i="31"/>
  <c r="AP15" i="31"/>
  <c r="Y4" i="37"/>
  <c r="X16" i="37"/>
  <c r="X17" i="37" s="1"/>
  <c r="X19" i="37" s="1"/>
  <c r="BK15" i="31"/>
  <c r="AL15" i="31"/>
  <c r="AT15" i="31"/>
  <c r="BJ15" i="31"/>
  <c r="O4" i="31"/>
  <c r="N16" i="31"/>
  <c r="N17" i="31" s="1"/>
  <c r="AO15" i="31"/>
  <c r="BE15" i="31"/>
  <c r="AF15" i="31"/>
  <c r="P15" i="31"/>
  <c r="D17" i="31"/>
  <c r="D19" i="31" l="1"/>
  <c r="E19" i="31" s="1"/>
  <c r="F19" i="31" s="1"/>
  <c r="G19" i="31" s="1"/>
  <c r="H19" i="31" s="1"/>
  <c r="I19" i="31" s="1"/>
  <c r="J19" i="31" s="1"/>
  <c r="K19" i="31" s="1"/>
  <c r="L19" i="31" s="1"/>
  <c r="M19" i="31" s="1"/>
  <c r="N19" i="31" s="1"/>
  <c r="Z4" i="37"/>
  <c r="Y16" i="37"/>
  <c r="Y17" i="37" s="1"/>
  <c r="Y19" i="37" s="1"/>
  <c r="P4" i="31"/>
  <c r="O16" i="31"/>
  <c r="O17" i="31" s="1"/>
  <c r="BL15" i="31"/>
  <c r="O19" i="31" l="1"/>
  <c r="Q4" i="31"/>
  <c r="P16" i="31"/>
  <c r="P17" i="31" s="1"/>
  <c r="P19" i="31" s="1"/>
  <c r="AA4" i="37"/>
  <c r="Z16" i="37"/>
  <c r="Z17" i="37" s="1"/>
  <c r="Z19" i="37" s="1"/>
  <c r="R4" i="31" l="1"/>
  <c r="Q16" i="31"/>
  <c r="Q17" i="31" s="1"/>
  <c r="Q19" i="31" s="1"/>
  <c r="D7" i="44" s="1"/>
  <c r="AB4" i="37"/>
  <c r="AA16" i="37"/>
  <c r="AA17" i="37" s="1"/>
  <c r="AA19" i="37" s="1"/>
  <c r="E6" i="44" s="1"/>
  <c r="AC4" i="37" l="1"/>
  <c r="AB16" i="37"/>
  <c r="AB17" i="37" s="1"/>
  <c r="AB19" i="37" s="1"/>
  <c r="S4" i="31"/>
  <c r="R16" i="31"/>
  <c r="R17" i="31" s="1"/>
  <c r="T4" i="31" l="1"/>
  <c r="S16" i="31"/>
  <c r="S17" i="31" s="1"/>
  <c r="R19" i="31"/>
  <c r="AD4" i="37"/>
  <c r="AC16" i="37"/>
  <c r="AC17" i="37" s="1"/>
  <c r="AC19" i="37" s="1"/>
  <c r="S19" i="31" l="1"/>
  <c r="AE4" i="37"/>
  <c r="AD16" i="37"/>
  <c r="AD17" i="37" s="1"/>
  <c r="AD19" i="37" s="1"/>
  <c r="U4" i="31"/>
  <c r="T16" i="31"/>
  <c r="T17" i="31" s="1"/>
  <c r="T19" i="31" s="1"/>
  <c r="V4" i="31" l="1"/>
  <c r="U16" i="31"/>
  <c r="U17" i="31" s="1"/>
  <c r="U19" i="31" s="1"/>
  <c r="AF4" i="37"/>
  <c r="AE16" i="37"/>
  <c r="AE17" i="37" s="1"/>
  <c r="AE19" i="37" s="1"/>
  <c r="AG4" i="37" l="1"/>
  <c r="AF16" i="37"/>
  <c r="AF17" i="37" s="1"/>
  <c r="AF19" i="37" s="1"/>
  <c r="W4" i="31"/>
  <c r="V16" i="31"/>
  <c r="V17" i="31" s="1"/>
  <c r="V19" i="31" s="1"/>
  <c r="X4" i="31" l="1"/>
  <c r="W16" i="31"/>
  <c r="W17" i="31" s="1"/>
  <c r="W19" i="31" s="1"/>
  <c r="AH4" i="37"/>
  <c r="AG16" i="37"/>
  <c r="AG17" i="37" s="1"/>
  <c r="AG19" i="37" s="1"/>
  <c r="AI4" i="37" l="1"/>
  <c r="AH16" i="37"/>
  <c r="AH17" i="37" s="1"/>
  <c r="AH19" i="37" s="1"/>
  <c r="X16" i="31"/>
  <c r="X17" i="31" s="1"/>
  <c r="X19" i="31" s="1"/>
  <c r="Y4" i="31"/>
  <c r="Z4" i="31" l="1"/>
  <c r="Y16" i="31"/>
  <c r="Y17" i="31" s="1"/>
  <c r="Y19" i="31" s="1"/>
  <c r="AJ4" i="37"/>
  <c r="AI16" i="37"/>
  <c r="AI17" i="37" s="1"/>
  <c r="AI19" i="37" s="1"/>
  <c r="AK4" i="37" l="1"/>
  <c r="AJ16" i="37"/>
  <c r="AJ17" i="37" s="1"/>
  <c r="AJ19" i="37" s="1"/>
  <c r="AA4" i="31"/>
  <c r="Z16" i="31"/>
  <c r="Z17" i="31" s="1"/>
  <c r="Z19" i="31" s="1"/>
  <c r="AB4" i="31" l="1"/>
  <c r="AA16" i="31"/>
  <c r="AA17" i="31" s="1"/>
  <c r="AA19" i="31" s="1"/>
  <c r="E7" i="44" s="1"/>
  <c r="AL4" i="37"/>
  <c r="AK16" i="37"/>
  <c r="AK17" i="37" s="1"/>
  <c r="AK19" i="37" s="1"/>
  <c r="AM4" i="37" l="1"/>
  <c r="AL16" i="37"/>
  <c r="AL17" i="37" s="1"/>
  <c r="AL19" i="37" s="1"/>
  <c r="AB16" i="31"/>
  <c r="AB17" i="31" s="1"/>
  <c r="AB19" i="31" s="1"/>
  <c r="AC4" i="31"/>
  <c r="AD4" i="31" l="1"/>
  <c r="AC16" i="31"/>
  <c r="AC17" i="31" s="1"/>
  <c r="AC19" i="31" s="1"/>
  <c r="AN4" i="37"/>
  <c r="AM16" i="37"/>
  <c r="AM17" i="37" s="1"/>
  <c r="AM19" i="37" s="1"/>
  <c r="AO4" i="37" l="1"/>
  <c r="AN16" i="37"/>
  <c r="AN17" i="37" s="1"/>
  <c r="AN19" i="37" s="1"/>
  <c r="AE4" i="31"/>
  <c r="AD16" i="31"/>
  <c r="AD17" i="31" s="1"/>
  <c r="AD19" i="31" s="1"/>
  <c r="AF4" i="31" l="1"/>
  <c r="AE16" i="31"/>
  <c r="AE17" i="31" s="1"/>
  <c r="AE19" i="31" s="1"/>
  <c r="AP4" i="37"/>
  <c r="AO16" i="37"/>
  <c r="AO17" i="37" s="1"/>
  <c r="AO19" i="37" s="1"/>
  <c r="AQ4" i="37" l="1"/>
  <c r="AP16" i="37"/>
  <c r="AP17" i="37" s="1"/>
  <c r="AP19" i="37" s="1"/>
  <c r="AG4" i="31"/>
  <c r="AF16" i="31"/>
  <c r="AF17" i="31" s="1"/>
  <c r="AF19" i="31" s="1"/>
  <c r="AH4" i="31" l="1"/>
  <c r="AG16" i="31"/>
  <c r="AG17" i="31" s="1"/>
  <c r="AG19" i="31" s="1"/>
  <c r="AR4" i="37"/>
  <c r="AQ16" i="37"/>
  <c r="AQ17" i="37" s="1"/>
  <c r="AQ19" i="37" s="1"/>
  <c r="AS4" i="37" l="1"/>
  <c r="AR16" i="37"/>
  <c r="AR17" i="37" s="1"/>
  <c r="AR19" i="37" s="1"/>
  <c r="AI4" i="31"/>
  <c r="AH16" i="31"/>
  <c r="AH17" i="31" s="1"/>
  <c r="AH19" i="31" s="1"/>
  <c r="AS16" i="37" l="1"/>
  <c r="AS17" i="37" s="1"/>
  <c r="AS19" i="37" s="1"/>
  <c r="AT4" i="37"/>
  <c r="AJ4" i="31"/>
  <c r="AI16" i="31"/>
  <c r="AI17" i="31" s="1"/>
  <c r="AI19" i="31" s="1"/>
  <c r="AK4" i="31" l="1"/>
  <c r="AJ16" i="31"/>
  <c r="AJ17" i="31" s="1"/>
  <c r="AJ19" i="31" s="1"/>
  <c r="AU4" i="37"/>
  <c r="AT16" i="37"/>
  <c r="AT17" i="37" s="1"/>
  <c r="AT19" i="37" s="1"/>
  <c r="AV4" i="37" l="1"/>
  <c r="AU16" i="37"/>
  <c r="AU17" i="37" s="1"/>
  <c r="AU19" i="37" s="1"/>
  <c r="AL4" i="31"/>
  <c r="AK16" i="31"/>
  <c r="AK17" i="31" s="1"/>
  <c r="AK19" i="31" s="1"/>
  <c r="AM4" i="31" l="1"/>
  <c r="AL16" i="31"/>
  <c r="AL17" i="31" s="1"/>
  <c r="AL19" i="31" s="1"/>
  <c r="AW4" i="37"/>
  <c r="AV16" i="37"/>
  <c r="AV17" i="37" s="1"/>
  <c r="AV19" i="37" s="1"/>
  <c r="AW16" i="37" l="1"/>
  <c r="AW17" i="37" s="1"/>
  <c r="AW19" i="37" s="1"/>
  <c r="AX4" i="37"/>
  <c r="AN4" i="31"/>
  <c r="AM16" i="31"/>
  <c r="AM17" i="31" s="1"/>
  <c r="AM19" i="31" s="1"/>
  <c r="AN16" i="31" l="1"/>
  <c r="AN17" i="31" s="1"/>
  <c r="AN19" i="31" s="1"/>
  <c r="AO4" i="31"/>
  <c r="AY4" i="37"/>
  <c r="AX16" i="37"/>
  <c r="AX17" i="37" s="1"/>
  <c r="AX19" i="37" s="1"/>
  <c r="AZ4" i="37" l="1"/>
  <c r="AY16" i="37"/>
  <c r="AY17" i="37" s="1"/>
  <c r="AY19" i="37" s="1"/>
  <c r="AP4" i="31"/>
  <c r="AO16" i="31"/>
  <c r="AO17" i="31" s="1"/>
  <c r="AO19" i="31" s="1"/>
  <c r="AQ4" i="31" l="1"/>
  <c r="AP16" i="31"/>
  <c r="AP17" i="31" s="1"/>
  <c r="AP19" i="31" s="1"/>
  <c r="BA4" i="37"/>
  <c r="AZ16" i="37"/>
  <c r="AZ17" i="37" s="1"/>
  <c r="AZ19" i="37" s="1"/>
  <c r="BB4" i="37" l="1"/>
  <c r="BA16" i="37"/>
  <c r="BA17" i="37" s="1"/>
  <c r="BA19" i="37" s="1"/>
  <c r="AR4" i="31"/>
  <c r="AQ16" i="31"/>
  <c r="AQ17" i="31" s="1"/>
  <c r="AQ19" i="31" s="1"/>
  <c r="AS4" i="31" l="1"/>
  <c r="AR16" i="31"/>
  <c r="AR17" i="31" s="1"/>
  <c r="AR19" i="31" s="1"/>
  <c r="BC4" i="37"/>
  <c r="BB16" i="37"/>
  <c r="BB17" i="37" s="1"/>
  <c r="BB19" i="37" s="1"/>
  <c r="BD4" i="37" l="1"/>
  <c r="BC16" i="37"/>
  <c r="BC17" i="37" s="1"/>
  <c r="BC19" i="37" s="1"/>
  <c r="AT4" i="31"/>
  <c r="AS16" i="31"/>
  <c r="AS17" i="31" s="1"/>
  <c r="AS19" i="31" s="1"/>
  <c r="AU4" i="31" l="1"/>
  <c r="AT16" i="31"/>
  <c r="AT17" i="31" s="1"/>
  <c r="AT19" i="31" s="1"/>
  <c r="BE4" i="37"/>
  <c r="BD16" i="37"/>
  <c r="BD17" i="37" s="1"/>
  <c r="BD19" i="37" s="1"/>
  <c r="BF4" i="37" l="1"/>
  <c r="BE16" i="37"/>
  <c r="BE17" i="37" s="1"/>
  <c r="BE19" i="37" s="1"/>
  <c r="AV4" i="31"/>
  <c r="AU16" i="31"/>
  <c r="AU17" i="31" s="1"/>
  <c r="AU19" i="31" s="1"/>
  <c r="AW4" i="31" l="1"/>
  <c r="AV16" i="31"/>
  <c r="AV17" i="31" s="1"/>
  <c r="AV19" i="31" s="1"/>
  <c r="BG4" i="37"/>
  <c r="BF16" i="37"/>
  <c r="BF17" i="37" s="1"/>
  <c r="BF19" i="37" s="1"/>
  <c r="BH4" i="37" l="1"/>
  <c r="BG16" i="37"/>
  <c r="BG17" i="37" s="1"/>
  <c r="BG19" i="37" s="1"/>
  <c r="AX4" i="31"/>
  <c r="AW16" i="31"/>
  <c r="AW17" i="31" s="1"/>
  <c r="AW19" i="31" s="1"/>
  <c r="AY4" i="31" l="1"/>
  <c r="AX16" i="31"/>
  <c r="AX17" i="31" s="1"/>
  <c r="AX19" i="31" s="1"/>
  <c r="BI4" i="37"/>
  <c r="BH16" i="37"/>
  <c r="BH17" i="37" s="1"/>
  <c r="BH19" i="37" s="1"/>
  <c r="AZ4" i="31" l="1"/>
  <c r="AY16" i="31"/>
  <c r="AY17" i="31" s="1"/>
  <c r="AY19" i="31" s="1"/>
  <c r="BJ4" i="37"/>
  <c r="BI16" i="37"/>
  <c r="BI17" i="37" s="1"/>
  <c r="BI19" i="37" s="1"/>
  <c r="BK4" i="37" l="1"/>
  <c r="BK16" i="37" s="1"/>
  <c r="BK17" i="37" s="1"/>
  <c r="BJ16" i="37"/>
  <c r="BJ17" i="37" s="1"/>
  <c r="BA4" i="31"/>
  <c r="AZ16" i="31"/>
  <c r="AZ17" i="31" s="1"/>
  <c r="AZ19" i="31" s="1"/>
  <c r="BB4" i="31" l="1"/>
  <c r="BA16" i="31"/>
  <c r="BA17" i="31" s="1"/>
  <c r="BA19" i="31" s="1"/>
  <c r="BJ19" i="37"/>
  <c r="BK19" i="37" s="1"/>
  <c r="C6" i="44" s="1"/>
  <c r="BL17" i="37"/>
  <c r="BK18" i="37"/>
  <c r="BC4" i="31" l="1"/>
  <c r="BB16" i="31"/>
  <c r="BB17" i="31" s="1"/>
  <c r="BB19" i="31" s="1"/>
  <c r="BD4" i="31" l="1"/>
  <c r="BC16" i="31"/>
  <c r="BC17" i="31" s="1"/>
  <c r="BC19" i="31" s="1"/>
  <c r="BD16" i="31" l="1"/>
  <c r="BD17" i="31" s="1"/>
  <c r="BD19" i="31" s="1"/>
  <c r="BE4" i="31"/>
  <c r="BF4" i="31" l="1"/>
  <c r="BE16" i="31"/>
  <c r="BE17" i="31" s="1"/>
  <c r="BE19" i="31" s="1"/>
  <c r="BG4" i="31" l="1"/>
  <c r="BF16" i="31"/>
  <c r="BF17" i="31" s="1"/>
  <c r="BF19" i="31" s="1"/>
  <c r="BH4" i="31" l="1"/>
  <c r="BG16" i="31"/>
  <c r="BG17" i="31" s="1"/>
  <c r="BG19" i="31" s="1"/>
  <c r="BH16" i="31" l="1"/>
  <c r="BH17" i="31" s="1"/>
  <c r="BH19" i="31" s="1"/>
  <c r="BI4" i="31"/>
  <c r="BJ4" i="31" l="1"/>
  <c r="BI16" i="31"/>
  <c r="BI17" i="31" s="1"/>
  <c r="BI19" i="31" s="1"/>
  <c r="BK4" i="31" l="1"/>
  <c r="BK16" i="31" s="1"/>
  <c r="BK17" i="31" s="1"/>
  <c r="BJ16" i="31"/>
  <c r="BJ17" i="31" s="1"/>
  <c r="BJ19" i="31" l="1"/>
  <c r="BL17" i="31"/>
  <c r="BK18" i="31"/>
  <c r="BK19" i="31" s="1"/>
  <c r="C7" i="44" s="1"/>
</calcChain>
</file>

<file path=xl/sharedStrings.xml><?xml version="1.0" encoding="utf-8"?>
<sst xmlns="http://schemas.openxmlformats.org/spreadsheetml/2006/main" count="651" uniqueCount="528">
  <si>
    <t>Assumed Asset Life (Years)</t>
  </si>
  <si>
    <t>Net benefits</t>
  </si>
  <si>
    <t>Discounted net benefits</t>
  </si>
  <si>
    <t>Cumulative discounted net benefits</t>
  </si>
  <si>
    <t>£m</t>
  </si>
  <si>
    <t>Units</t>
  </si>
  <si>
    <t>Discount factor</t>
  </si>
  <si>
    <t>2011/12</t>
  </si>
  <si>
    <t>Use this sheet to provide details of assumptions and calculation methodology used in CBA model</t>
  </si>
  <si>
    <t>Parameters</t>
  </si>
  <si>
    <t>2012/13</t>
  </si>
  <si>
    <t>2009/10</t>
  </si>
  <si>
    <t>2010/11</t>
  </si>
  <si>
    <t>2013/14</t>
  </si>
  <si>
    <t>2014/15</t>
  </si>
  <si>
    <t>2015/16</t>
  </si>
  <si>
    <t>2003/04</t>
  </si>
  <si>
    <t>2004/05</t>
  </si>
  <si>
    <t>2005/06</t>
  </si>
  <si>
    <t>2006/07</t>
  </si>
  <si>
    <t>2007/08</t>
  </si>
  <si>
    <t>2008/09</t>
  </si>
  <si>
    <t>CHAW</t>
  </si>
  <si>
    <t>1987 JAN</t>
  </si>
  <si>
    <t>1987 FEB</t>
  </si>
  <si>
    <t>1987 MAR</t>
  </si>
  <si>
    <t>1987 APR</t>
  </si>
  <si>
    <t>1987 MAY</t>
  </si>
  <si>
    <t>1987 JUN</t>
  </si>
  <si>
    <t>1987 JUL</t>
  </si>
  <si>
    <t>1987 AUG</t>
  </si>
  <si>
    <t>1987 SEP</t>
  </si>
  <si>
    <t>1987 OCT</t>
  </si>
  <si>
    <t>1987 NOV</t>
  </si>
  <si>
    <t>1987 DEC</t>
  </si>
  <si>
    <t>1988 JAN</t>
  </si>
  <si>
    <t>1988 FEB</t>
  </si>
  <si>
    <t>1988 MAR</t>
  </si>
  <si>
    <t>1988 APR</t>
  </si>
  <si>
    <t>1988 MAY</t>
  </si>
  <si>
    <t>1988 JUN</t>
  </si>
  <si>
    <t>1988 JUL</t>
  </si>
  <si>
    <t>1988 AUG</t>
  </si>
  <si>
    <t>1988 SEP</t>
  </si>
  <si>
    <t>1988 OCT</t>
  </si>
  <si>
    <t>1988 NOV</t>
  </si>
  <si>
    <t>1988 DEC</t>
  </si>
  <si>
    <t>1989 JAN</t>
  </si>
  <si>
    <t>1989 FEB</t>
  </si>
  <si>
    <t>1989 MAR</t>
  </si>
  <si>
    <t>1989 APR</t>
  </si>
  <si>
    <t>1989 MAY</t>
  </si>
  <si>
    <t>1989 JUN</t>
  </si>
  <si>
    <t>1989 JUL</t>
  </si>
  <si>
    <t>1989 AUG</t>
  </si>
  <si>
    <t>1989 SEP</t>
  </si>
  <si>
    <t>1989 OCT</t>
  </si>
  <si>
    <t>1989 NOV</t>
  </si>
  <si>
    <t>1989 DEC</t>
  </si>
  <si>
    <t>1990 JAN</t>
  </si>
  <si>
    <t>1990 FEB</t>
  </si>
  <si>
    <t>1990 MAR</t>
  </si>
  <si>
    <t>1990 APR</t>
  </si>
  <si>
    <t>1990 MAY</t>
  </si>
  <si>
    <t>1990 JUN</t>
  </si>
  <si>
    <t>1990 JUL</t>
  </si>
  <si>
    <t>1990 AUG</t>
  </si>
  <si>
    <t>1990 SEP</t>
  </si>
  <si>
    <t>1990 OCT</t>
  </si>
  <si>
    <t>1990 NOV</t>
  </si>
  <si>
    <t>1990 DEC</t>
  </si>
  <si>
    <t>1991 JAN</t>
  </si>
  <si>
    <t>1991 FEB</t>
  </si>
  <si>
    <t>1991 MAR</t>
  </si>
  <si>
    <t>1991 APR</t>
  </si>
  <si>
    <t>1991 MAY</t>
  </si>
  <si>
    <t>1991 JUN</t>
  </si>
  <si>
    <t>1991 JUL</t>
  </si>
  <si>
    <t>1991 AUG</t>
  </si>
  <si>
    <t>1991 SEP</t>
  </si>
  <si>
    <t>1991 OCT</t>
  </si>
  <si>
    <t>1991 NOV</t>
  </si>
  <si>
    <t>1991 DEC</t>
  </si>
  <si>
    <t>1992 JAN</t>
  </si>
  <si>
    <t>1992 FEB</t>
  </si>
  <si>
    <t>1992 MAR</t>
  </si>
  <si>
    <t>1992 APR</t>
  </si>
  <si>
    <t>1992 MAY</t>
  </si>
  <si>
    <t>1992 JUN</t>
  </si>
  <si>
    <t>1992 JUL</t>
  </si>
  <si>
    <t>1992 AUG</t>
  </si>
  <si>
    <t>1992 SEP</t>
  </si>
  <si>
    <t>1992 OCT</t>
  </si>
  <si>
    <t>1992 NOV</t>
  </si>
  <si>
    <t>1992 DEC</t>
  </si>
  <si>
    <t>1993 JAN</t>
  </si>
  <si>
    <t>1993 FEB</t>
  </si>
  <si>
    <t>1993 MAR</t>
  </si>
  <si>
    <t>1993 APR</t>
  </si>
  <si>
    <t>1993 MAY</t>
  </si>
  <si>
    <t>1993 JUN</t>
  </si>
  <si>
    <t>1993 JUL</t>
  </si>
  <si>
    <t>1993 AUG</t>
  </si>
  <si>
    <t>1993 SEP</t>
  </si>
  <si>
    <t>1993 OCT</t>
  </si>
  <si>
    <t>1993 NOV</t>
  </si>
  <si>
    <t>1993 DEC</t>
  </si>
  <si>
    <t>1994 JAN</t>
  </si>
  <si>
    <t>1994 FEB</t>
  </si>
  <si>
    <t>1994 MAR</t>
  </si>
  <si>
    <t>1994 APR</t>
  </si>
  <si>
    <t>1994 MAY</t>
  </si>
  <si>
    <t>1994 JUN</t>
  </si>
  <si>
    <t>1994 JUL</t>
  </si>
  <si>
    <t>1994 AUG</t>
  </si>
  <si>
    <t>1994 SEP</t>
  </si>
  <si>
    <t>1994 OCT</t>
  </si>
  <si>
    <t>1994 NOV</t>
  </si>
  <si>
    <t>1994 DEC</t>
  </si>
  <si>
    <t>1995 JAN</t>
  </si>
  <si>
    <t>1995 FEB</t>
  </si>
  <si>
    <t>1995 MAR</t>
  </si>
  <si>
    <t>1995 APR</t>
  </si>
  <si>
    <t>1995 MAY</t>
  </si>
  <si>
    <t>1995 JUN</t>
  </si>
  <si>
    <t>1995 JUL</t>
  </si>
  <si>
    <t>1995 AUG</t>
  </si>
  <si>
    <t>1995 SEP</t>
  </si>
  <si>
    <t>1995 OCT</t>
  </si>
  <si>
    <t>1995 NOV</t>
  </si>
  <si>
    <t>1995 DEC</t>
  </si>
  <si>
    <t>1996 JAN</t>
  </si>
  <si>
    <t>1996 FEB</t>
  </si>
  <si>
    <t>1996 MAR</t>
  </si>
  <si>
    <t>1996 APR</t>
  </si>
  <si>
    <t>1996 MAY</t>
  </si>
  <si>
    <t>1996 JUN</t>
  </si>
  <si>
    <t>1996 JUL</t>
  </si>
  <si>
    <t>1996 AUG</t>
  </si>
  <si>
    <t>1996 SEP</t>
  </si>
  <si>
    <t>1996 OCT</t>
  </si>
  <si>
    <t>1996 NOV</t>
  </si>
  <si>
    <t>1996 DEC</t>
  </si>
  <si>
    <t>1997 JAN</t>
  </si>
  <si>
    <t>1997 FEB</t>
  </si>
  <si>
    <t>1997 MAR</t>
  </si>
  <si>
    <t>1997 APR</t>
  </si>
  <si>
    <t>1997 MAY</t>
  </si>
  <si>
    <t>1997 JUN</t>
  </si>
  <si>
    <t>1997 JUL</t>
  </si>
  <si>
    <t>1997 AUG</t>
  </si>
  <si>
    <t>1997 SEP</t>
  </si>
  <si>
    <t>1997 OCT</t>
  </si>
  <si>
    <t>1997 NOV</t>
  </si>
  <si>
    <t>1997 DEC</t>
  </si>
  <si>
    <t>1998 JAN</t>
  </si>
  <si>
    <t>1998 FEB</t>
  </si>
  <si>
    <t>1998 MAR</t>
  </si>
  <si>
    <t>1998 APR</t>
  </si>
  <si>
    <t>1998 MAY</t>
  </si>
  <si>
    <t>1998 JUN</t>
  </si>
  <si>
    <t>1998 JUL</t>
  </si>
  <si>
    <t>1998 AUG</t>
  </si>
  <si>
    <t>1998 SEP</t>
  </si>
  <si>
    <t>1998 OCT</t>
  </si>
  <si>
    <t>1998 NOV</t>
  </si>
  <si>
    <t>1998 DEC</t>
  </si>
  <si>
    <t>1999 JAN</t>
  </si>
  <si>
    <t>1999 FEB</t>
  </si>
  <si>
    <t>1999 MAR</t>
  </si>
  <si>
    <t>1999 APR</t>
  </si>
  <si>
    <t>1999 MAY</t>
  </si>
  <si>
    <t>1999 JUN</t>
  </si>
  <si>
    <t>1999 JUL</t>
  </si>
  <si>
    <t>1999 AUG</t>
  </si>
  <si>
    <t>1999 SEP</t>
  </si>
  <si>
    <t>1999 OCT</t>
  </si>
  <si>
    <t>1999 NOV</t>
  </si>
  <si>
    <t>1999 DEC</t>
  </si>
  <si>
    <t>2000 JAN</t>
  </si>
  <si>
    <t>2000 FEB</t>
  </si>
  <si>
    <t>2000 MAR</t>
  </si>
  <si>
    <t>2000 APR</t>
  </si>
  <si>
    <t>2000 MAY</t>
  </si>
  <si>
    <t>2000 JUN</t>
  </si>
  <si>
    <t>2000 JUL</t>
  </si>
  <si>
    <t>2000 AUG</t>
  </si>
  <si>
    <t>2000 SEP</t>
  </si>
  <si>
    <t>2000 OCT</t>
  </si>
  <si>
    <t>2000 NOV</t>
  </si>
  <si>
    <t>2000 DEC</t>
  </si>
  <si>
    <t>2001 JAN</t>
  </si>
  <si>
    <t>2001 FEB</t>
  </si>
  <si>
    <t>2001 MAR</t>
  </si>
  <si>
    <t>2001 APR</t>
  </si>
  <si>
    <t>2001 MAY</t>
  </si>
  <si>
    <t>2001 JUN</t>
  </si>
  <si>
    <t>2001 JUL</t>
  </si>
  <si>
    <t>2001 AUG</t>
  </si>
  <si>
    <t>2001 SEP</t>
  </si>
  <si>
    <t>2001 OCT</t>
  </si>
  <si>
    <t>2001 NOV</t>
  </si>
  <si>
    <t>2001 DEC</t>
  </si>
  <si>
    <t>2002 JAN</t>
  </si>
  <si>
    <t>2002 FEB</t>
  </si>
  <si>
    <t>2002 MAR</t>
  </si>
  <si>
    <t>2002 APR</t>
  </si>
  <si>
    <t>2002 MAY</t>
  </si>
  <si>
    <t>2002 JUN</t>
  </si>
  <si>
    <t>2002 JUL</t>
  </si>
  <si>
    <t>2002 AUG</t>
  </si>
  <si>
    <t>2002 SEP</t>
  </si>
  <si>
    <t>2002 OCT</t>
  </si>
  <si>
    <t>2002 NOV</t>
  </si>
  <si>
    <t>2002 DEC</t>
  </si>
  <si>
    <t>2003 JAN</t>
  </si>
  <si>
    <t>2003 FEB</t>
  </si>
  <si>
    <t>2003 MAR</t>
  </si>
  <si>
    <t>2003 APR</t>
  </si>
  <si>
    <t>2003 MAY</t>
  </si>
  <si>
    <t>2003 JUN</t>
  </si>
  <si>
    <t>2003 JUL</t>
  </si>
  <si>
    <t>2003 AUG</t>
  </si>
  <si>
    <t>2003 SEP</t>
  </si>
  <si>
    <t>2003 OCT</t>
  </si>
  <si>
    <t>2003 NOV</t>
  </si>
  <si>
    <t>2003 DEC</t>
  </si>
  <si>
    <t>2004 JAN</t>
  </si>
  <si>
    <t>2004 FEB</t>
  </si>
  <si>
    <t>2004 MAR</t>
  </si>
  <si>
    <t>2004 APR</t>
  </si>
  <si>
    <t>2004 MAY</t>
  </si>
  <si>
    <t>2004 JUN</t>
  </si>
  <si>
    <t>2004 JUL</t>
  </si>
  <si>
    <t>2004 AUG</t>
  </si>
  <si>
    <t>2004 SEP</t>
  </si>
  <si>
    <t>2004 OCT</t>
  </si>
  <si>
    <t>2004 NOV</t>
  </si>
  <si>
    <t>2004 DEC</t>
  </si>
  <si>
    <t>2005 JAN</t>
  </si>
  <si>
    <t>2005 FEB</t>
  </si>
  <si>
    <t>2005 MAR</t>
  </si>
  <si>
    <t>2005 APR</t>
  </si>
  <si>
    <t>2005 MAY</t>
  </si>
  <si>
    <t>2005 JUN</t>
  </si>
  <si>
    <t>2005 JUL</t>
  </si>
  <si>
    <t>2005 AUG</t>
  </si>
  <si>
    <t>2005 SEP</t>
  </si>
  <si>
    <t>2005 OCT</t>
  </si>
  <si>
    <t>2005 NOV</t>
  </si>
  <si>
    <t>2005 DEC</t>
  </si>
  <si>
    <t>2006 JAN</t>
  </si>
  <si>
    <t>2006 FEB</t>
  </si>
  <si>
    <t>2006 MAR</t>
  </si>
  <si>
    <t>2006 APR</t>
  </si>
  <si>
    <t>2006 MAY</t>
  </si>
  <si>
    <t>2006 JUN</t>
  </si>
  <si>
    <t>2006 JUL</t>
  </si>
  <si>
    <t>2006 AUG</t>
  </si>
  <si>
    <t>2006 SEP</t>
  </si>
  <si>
    <t>2006 OCT</t>
  </si>
  <si>
    <t>2006 NOV</t>
  </si>
  <si>
    <t>2006 DEC</t>
  </si>
  <si>
    <t>2007 JAN</t>
  </si>
  <si>
    <t>2007 FEB</t>
  </si>
  <si>
    <t>2007 MAR</t>
  </si>
  <si>
    <t>2007 APR</t>
  </si>
  <si>
    <t>2007 MAY</t>
  </si>
  <si>
    <t>2007 JUN</t>
  </si>
  <si>
    <t>2007 JUL</t>
  </si>
  <si>
    <t>2007 AUG</t>
  </si>
  <si>
    <t>2007 SEP</t>
  </si>
  <si>
    <t>2007 OCT</t>
  </si>
  <si>
    <t>2007 NOV</t>
  </si>
  <si>
    <t>2007 DEC</t>
  </si>
  <si>
    <t>2008 JAN</t>
  </si>
  <si>
    <t>2008 FEB</t>
  </si>
  <si>
    <t>2008 MAR</t>
  </si>
  <si>
    <t>2008 APR</t>
  </si>
  <si>
    <t>2008 MAY</t>
  </si>
  <si>
    <t>2008 JUN</t>
  </si>
  <si>
    <t>2008 JUL</t>
  </si>
  <si>
    <t>2008 AUG</t>
  </si>
  <si>
    <t>2008 SEP</t>
  </si>
  <si>
    <t>2008 OCT</t>
  </si>
  <si>
    <t>2008 NOV</t>
  </si>
  <si>
    <t>2008 DEC</t>
  </si>
  <si>
    <t>2009 JAN</t>
  </si>
  <si>
    <t>2009 FEB</t>
  </si>
  <si>
    <t>2009 MAR</t>
  </si>
  <si>
    <t>2009 APR</t>
  </si>
  <si>
    <t>2009 MAY</t>
  </si>
  <si>
    <t>2009 JUN</t>
  </si>
  <si>
    <t>2009 JUL</t>
  </si>
  <si>
    <t>2009 AUG</t>
  </si>
  <si>
    <t>2009 SEP</t>
  </si>
  <si>
    <t>2009 OCT</t>
  </si>
  <si>
    <t>2009 NOV</t>
  </si>
  <si>
    <t>2009 DEC</t>
  </si>
  <si>
    <t>2010 JAN</t>
  </si>
  <si>
    <t>2010 FEB</t>
  </si>
  <si>
    <t>2010 MAR</t>
  </si>
  <si>
    <t>2010 APR</t>
  </si>
  <si>
    <t>2010 MAY</t>
  </si>
  <si>
    <t>2010 JUN</t>
  </si>
  <si>
    <t>2010 JUL</t>
  </si>
  <si>
    <t>2010 AUG</t>
  </si>
  <si>
    <t>2010 SEP</t>
  </si>
  <si>
    <t>2010 OCT</t>
  </si>
  <si>
    <t>2010 NOV</t>
  </si>
  <si>
    <t>2010 DEC</t>
  </si>
  <si>
    <t>2011 JAN</t>
  </si>
  <si>
    <t>2011 FEB</t>
  </si>
  <si>
    <t>2011 MAR</t>
  </si>
  <si>
    <t>2011 APR</t>
  </si>
  <si>
    <t>2011 MAY</t>
  </si>
  <si>
    <t>2011 JUN</t>
  </si>
  <si>
    <t>2011 JUL</t>
  </si>
  <si>
    <t>2011 AUG</t>
  </si>
  <si>
    <t>2011 SEP</t>
  </si>
  <si>
    <t>2011 OCT</t>
  </si>
  <si>
    <t>2011 NOV</t>
  </si>
  <si>
    <t>2011 DEC</t>
  </si>
  <si>
    <t>2012 JAN</t>
  </si>
  <si>
    <t>2012 FEB</t>
  </si>
  <si>
    <t>2012 MAR</t>
  </si>
  <si>
    <t>2012 APR</t>
  </si>
  <si>
    <t>2012 MAY</t>
  </si>
  <si>
    <t>2012 JUN</t>
  </si>
  <si>
    <t>2012 JUL</t>
  </si>
  <si>
    <t>2012 AUG</t>
  </si>
  <si>
    <t>2012 SEP</t>
  </si>
  <si>
    <t>2012 OCT</t>
  </si>
  <si>
    <t>2012 NOV</t>
  </si>
  <si>
    <t>2012 DEC</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</si>
  <si>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</si>
  <si>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</si>
  <si>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</si>
  <si>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</si>
  <si>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</si>
  <si>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</si>
  <si>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</si>
  <si>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</si>
  <si>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</si>
  <si>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</si>
  <si>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</si>
  <si>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</si>
  <si>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</si>
  <si>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</si>
  <si>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</si>
  <si>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</si>
  <si>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</si>
  <si>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</si>
  <si>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2014 JUL</t>
  </si>
  <si>
    <t>2014 AUG</t>
  </si>
  <si>
    <t>2014 SEP</t>
  </si>
  <si>
    <t>2014 OCT</t>
  </si>
  <si>
    <t>2014 NOV</t>
  </si>
  <si>
    <t>2014 DEC</t>
  </si>
  <si>
    <t>2015 JAN</t>
  </si>
  <si>
    <t>2015 FEB</t>
  </si>
  <si>
    <t>2015 MAR</t>
  </si>
  <si>
    <t>2015 APR</t>
  </si>
  <si>
    <t>2015 MAY</t>
  </si>
  <si>
    <t>2015 JUN</t>
  </si>
  <si>
    <t>2015 JUL</t>
  </si>
  <si>
    <t>2015 AUG</t>
  </si>
  <si>
    <t>2015 SEP</t>
  </si>
  <si>
    <t>© Crown Copyright</t>
  </si>
  <si>
    <t>RPI All Items Index: Jan 1987=100</t>
  </si>
  <si>
    <t>seasonal_adjustment='NSA'</t>
  </si>
  <si>
    <t>base_period='-'</t>
  </si>
  <si>
    <t>price='NONE'</t>
  </si>
  <si>
    <t>index_period='1987Jan'</t>
  </si>
  <si>
    <t>Average RPI</t>
  </si>
  <si>
    <t>2015 OCT</t>
  </si>
  <si>
    <t>Oct 2015 Treasury forecast for 2015</t>
  </si>
  <si>
    <t>Oct 2015 Treasury forecast for 2016</t>
  </si>
  <si>
    <r>
      <t xml:space="preserve">Workings / assumptions used for costing </t>
    </r>
    <r>
      <rPr>
        <b/>
        <sz val="14"/>
        <color rgb="FF0070C0"/>
        <rFont val="Calibri"/>
        <family val="2"/>
        <scheme val="minor"/>
      </rPr>
      <t>Option 1</t>
    </r>
  </si>
  <si>
    <r>
      <t xml:space="preserve">Workings / assumptions used for costing </t>
    </r>
    <r>
      <rPr>
        <b/>
        <sz val="14"/>
        <color rgb="FF0070C0"/>
        <rFont val="Calibri"/>
        <family val="2"/>
        <scheme val="minor"/>
      </rPr>
      <t>Option 2</t>
    </r>
  </si>
  <si>
    <t>Operational / Maintenance</t>
  </si>
  <si>
    <t>Bi-monthly inspections (per annum)</t>
  </si>
  <si>
    <t>Until tunnel complete</t>
  </si>
  <si>
    <t>Annual pigging</t>
  </si>
  <si>
    <t>Tunnel inspection/ pigging</t>
  </si>
  <si>
    <t>F9 on going inspection</t>
  </si>
  <si>
    <t>Total</t>
  </si>
  <si>
    <t>80% minor remediation at cost of (09/10)</t>
  </si>
  <si>
    <t>20% major remediation at cost of (09/10)</t>
  </si>
  <si>
    <t>Annual cost (£m, 09/10 prices)</t>
  </si>
  <si>
    <t>Undertaken on average every (years)</t>
  </si>
  <si>
    <t>Annual cost (£m, 16/17 prices)</t>
  </si>
  <si>
    <t>Revenue impact £m 16/17 Price base</t>
  </si>
  <si>
    <t>Revenue impact (PCFM output (09/10) £m</t>
  </si>
  <si>
    <t>09/10 to 16/17 conversion</t>
  </si>
  <si>
    <t>Routine Frond Mattress Replacement</t>
  </si>
  <si>
    <t>After tunnel complete</t>
  </si>
  <si>
    <t>Terminal value</t>
  </si>
  <si>
    <t xml:space="preserve">Terminal Value </t>
  </si>
  <si>
    <t>CBA Option 2 - Mitigation</t>
  </si>
  <si>
    <t>CBA Option 1 - Tunnelled Replacement</t>
  </si>
  <si>
    <t>Sunk &amp; cancellation costs</t>
  </si>
  <si>
    <t>Costs incurred up to April 2016 £m (09/10 prices)</t>
  </si>
  <si>
    <t>Costs incurred up to April 2016 £m (16/17 prices)</t>
  </si>
  <si>
    <t>Loss of lease</t>
  </si>
  <si>
    <t>No impact, assume sufficient time is provided to complete the replacement project.</t>
  </si>
  <si>
    <t>Annual cost (16/17 prices)</t>
  </si>
  <si>
    <t>Freespan - &lt;20m section develops</t>
  </si>
  <si>
    <t>Probability (35% probability of scour followed by average of 35% of freespanning less than 20m)</t>
  </si>
  <si>
    <t>Freespan &gt;20m section develops</t>
  </si>
  <si>
    <t>Prompt constraint costs - response is to raise an urgent mod to ameliorate the prices paid. Potential to agree a mod with 3 -7 days, with maximum prompt cost of £156.8m in winter and a minimum of £0m in summer.</t>
  </si>
  <si>
    <t>Prompt Constraint cost</t>
  </si>
  <si>
    <t>Summer</t>
  </si>
  <si>
    <t xml:space="preserve">3 day </t>
  </si>
  <si>
    <t>7 days</t>
  </si>
  <si>
    <t>Winter</t>
  </si>
  <si>
    <t>Average prompt constraint cost</t>
  </si>
  <si>
    <t>Probability (35% of scour followed by average of 6.8% of freespanning over 20m developing)</t>
  </si>
  <si>
    <r>
      <rPr>
        <b/>
        <sz val="11"/>
        <color theme="1"/>
        <rFont val="Calibri"/>
        <family val="2"/>
        <scheme val="minor"/>
      </rPr>
      <t>Prompt constraint cost</t>
    </r>
    <r>
      <rPr>
        <sz val="11"/>
        <color theme="1"/>
        <rFont val="Calibri"/>
        <family val="2"/>
        <scheme val="minor"/>
      </rPr>
      <t>s - response is to raise an urgent mod to ameliorate the prices paid. Potential to agree a mod with 3 -7 days, with maximum prompt cost of £156.8m in winter and a minimum of £0m in summer.</t>
    </r>
  </si>
  <si>
    <t>Fixed Price Constraint Costs</t>
  </si>
  <si>
    <t>Low</t>
  </si>
  <si>
    <t>Mid</t>
  </si>
  <si>
    <t>High</t>
  </si>
  <si>
    <r>
      <rPr>
        <b/>
        <sz val="11"/>
        <color theme="1"/>
        <rFont val="Calibri"/>
        <family val="2"/>
        <scheme val="minor"/>
      </rPr>
      <t>Fixed price constraint costs</t>
    </r>
    <r>
      <rPr>
        <sz val="11"/>
        <color theme="1"/>
        <rFont val="Calibri"/>
        <family val="2"/>
        <scheme val="minor"/>
      </rPr>
      <t xml:space="preserve"> - once the UNC Mod is approved the monthly cost of constraints is determined based on 3 potential outcomes, with probabilities applied to each. </t>
    </r>
  </si>
  <si>
    <t>2009-2024</t>
  </si>
  <si>
    <t>2.4 years</t>
  </si>
  <si>
    <t>3 years</t>
  </si>
  <si>
    <t>6 years</t>
  </si>
  <si>
    <t>2025-2033</t>
  </si>
  <si>
    <t>2034-2068</t>
  </si>
  <si>
    <t>Average</t>
  </si>
  <si>
    <t>Remediation</t>
  </si>
  <si>
    <t>Freespan &gt;55m section develops</t>
  </si>
  <si>
    <t>Damage</t>
  </si>
  <si>
    <t>Cost (£m)</t>
  </si>
  <si>
    <t>Localised mechanical/impact damage</t>
  </si>
  <si>
    <t>Repair clamp</t>
  </si>
  <si>
    <t>Total Duration - weeks</t>
  </si>
  <si>
    <t>Localised failure</t>
  </si>
  <si>
    <t>Short replacement spool</t>
  </si>
  <si>
    <t>Probability (minor)</t>
  </si>
  <si>
    <r>
      <t xml:space="preserve">Wholesale Gas Impact </t>
    </r>
    <r>
      <rPr>
        <sz val="11"/>
        <color theme="1"/>
        <rFont val="Calibri"/>
        <family val="2"/>
        <scheme val="minor"/>
      </rPr>
      <t>- the unplanned isolation of the pipeline would likely to a wholesale gas price shock. For the first month it is assumed in Winter the price would increase by 25p/th. With no impact in summer.  However thereafter th price increase is 2 p/th until the situation is resolved</t>
    </r>
  </si>
  <si>
    <t>Third Party Interference</t>
  </si>
  <si>
    <t>Potential casualties per year</t>
  </si>
  <si>
    <t>Base case</t>
  </si>
  <si>
    <t>Worst case</t>
  </si>
  <si>
    <t>Loss of life - potential casualties per annum</t>
  </si>
  <si>
    <t>Cost of a life (applying disproportionate factor) £m</t>
  </si>
  <si>
    <t>Loss of life</t>
  </si>
  <si>
    <r>
      <rPr>
        <b/>
        <sz val="11"/>
        <color theme="1"/>
        <rFont val="Calibri"/>
        <family val="2"/>
        <scheme val="minor"/>
      </rPr>
      <t>Loss of life</t>
    </r>
    <r>
      <rPr>
        <sz val="11"/>
        <color theme="1"/>
        <rFont val="Calibri"/>
        <family val="2"/>
        <scheme val="minor"/>
      </rPr>
      <t xml:space="preserve"> - potential casualties per annum</t>
    </r>
  </si>
  <si>
    <t>Clear up costs</t>
  </si>
  <si>
    <t>Clear up costs - based on average cost of ship clean up and recovery (£m)</t>
  </si>
  <si>
    <t>To 2024</t>
  </si>
  <si>
    <t>From 2024 to 2072</t>
  </si>
  <si>
    <t>to 2024</t>
  </si>
  <si>
    <t>to 2072</t>
  </si>
  <si>
    <t>up to 2024</t>
  </si>
  <si>
    <t>up to 2072</t>
  </si>
  <si>
    <t>Apply frond mattresses at major remediation cost for routine replacement (16/17 prices)</t>
  </si>
  <si>
    <t>Due to rupture risk pipe is isolated for a minimum of 3 month incurring constraint costs, wholesale gas costs and remediation / repair costs)</t>
  </si>
  <si>
    <t>Due to rupture risk pipe is isolated for a minimum of 3 months incurring constraint costs, wholesale gas costs and remediation / repair costs)</t>
  </si>
  <si>
    <t>Discount Rate</t>
  </si>
  <si>
    <t>Discount rate for safety (not applied)</t>
  </si>
  <si>
    <t>Tunnel Construction (revenue impact)</t>
  </si>
  <si>
    <t>Probability</t>
  </si>
  <si>
    <r>
      <t xml:space="preserve">Wholesale Gas Impact </t>
    </r>
    <r>
      <rPr>
        <sz val="11"/>
        <color theme="1"/>
        <rFont val="Calibri"/>
        <family val="2"/>
        <scheme val="minor"/>
      </rPr>
      <t>- the unplanned isolation of the pipeline would likely lead to a wholesale gas price shock. For the first month it is assumed in Winter the price would increase by 25p/th. With no impact in summer. 2p/th for each following month.</t>
    </r>
  </si>
  <si>
    <r>
      <t xml:space="preserve">Remediation  </t>
    </r>
    <r>
      <rPr>
        <sz val="11"/>
        <color theme="1"/>
        <rFont val="Calibri"/>
        <family val="2"/>
        <scheme val="minor"/>
      </rPr>
      <t>- apply frond mattresses assume operation can be completed and is successful within 3 months allowing regassing. Apply frond mattresses at major remediation cost for routine replacement (16/17 prices)</t>
    </r>
  </si>
  <si>
    <r>
      <t xml:space="preserve">Pipeline strike </t>
    </r>
    <r>
      <rPr>
        <sz val="11"/>
        <color theme="1"/>
        <rFont val="Calibri"/>
        <family val="2"/>
        <scheme val="minor"/>
      </rPr>
      <t>- predicted 1 in 3200 years. The repair logic and durations are used from the &gt;55m freespan example</t>
    </r>
  </si>
  <si>
    <t>Assumption that over the 60 year period there is on average a 5% chance of losing the lease and needing to replace the pipeline. However this would lead to a cumulative probability of greater than 100%. In the uncertainty range (0.01 to 10%) the maximum value is reduce to ensure 100% can't be breached - providing an average annual value of 0.83%. 
Annual cost in 16/17 prices is the annual probability applied to the total  £181.7m investment.</t>
  </si>
  <si>
    <t>Probability (35% of scour followed by average of 0.1% of freespanning &gt;55m developing). This is combined with a 20% chance that the remediation for &gt;20m freespan is not effective</t>
  </si>
  <si>
    <t>Probability (35% of scour followed by average of 0.1% of freespanning over 55m developing). This is combined with a 20% chance that the remediation for &gt;20m freespan is not effective</t>
  </si>
  <si>
    <t>Fixed constraint cost (3 months)</t>
  </si>
  <si>
    <r>
      <t xml:space="preserve">Wholesale Gas Impact </t>
    </r>
    <r>
      <rPr>
        <sz val="11"/>
        <color theme="1"/>
        <rFont val="Calibri"/>
        <family val="2"/>
        <scheme val="minor"/>
      </rPr>
      <t>- the unplanned isolation of the pipeline would likely lead to a wholesale gas price shock. For the first month it is assumed in Winter the price would increase by 25p/th. With no impact in summer.  However thereafter the price increase is 2 p/th until the situation is resolved</t>
    </r>
  </si>
  <si>
    <t>Long replacement spool</t>
  </si>
  <si>
    <t>Tunnel replacement</t>
  </si>
  <si>
    <t>Fixed constraint cost (16 months)</t>
  </si>
  <si>
    <t>Wholesale gas impact up to 2024 (16 months)</t>
  </si>
  <si>
    <t>Pipe is isolated for a minimum of 16 months to enact a repair incurring constraint costs, wholesale gas costs and remediation / repair costs)</t>
  </si>
  <si>
    <t>April 2016 sanction</t>
  </si>
  <si>
    <t>Tunnelled replacement</t>
  </si>
  <si>
    <t>'EVA' NPC (£m)</t>
  </si>
  <si>
    <t xml:space="preserve">Mitigate </t>
  </si>
  <si>
    <t>'2016 FID' NPC (£m)</t>
  </si>
  <si>
    <t>Cost Range (£m)</t>
  </si>
  <si>
    <t>Annual Cost (£m)</t>
  </si>
  <si>
    <t>Monthly Cost (£m)</t>
  </si>
  <si>
    <t>Scenario</t>
  </si>
  <si>
    <t>Weighted Cost (£m)</t>
  </si>
  <si>
    <t>Monthly average (excluding first month) (£m)</t>
  </si>
  <si>
    <t>First month average (£m)</t>
  </si>
  <si>
    <t>Intervention</t>
  </si>
  <si>
    <t>Average duration (weeks)</t>
  </si>
  <si>
    <t>Average cost (£m)</t>
  </si>
  <si>
    <t xml:space="preserve">In the April 2016 Financial Investment Decision, the key financial driver was the annual cost of constraints of between £133m to £616m. In developing the EVA CBA model a different approach was taken which ameliorated the constraint cost, which as discussed in bi-laterals may underestimate this cost. To reflect the decision taken at the time, the CBA model has been re-run removing the prompt constraint cost and simply including the average of £133m and £616m annual constraint cost. All other parameters of the CBA have remained constant. The table below shows the EVA reflective results and the CBA based on the April 2016 constraint assumption. </t>
  </si>
  <si>
    <t>Extensive failure over pipeline span /rupture</t>
  </si>
  <si>
    <t>Probability (major)</t>
  </si>
  <si>
    <t>Construction costs (£m, outturn)</t>
  </si>
  <si>
    <t>Construction costs (£m, 09/10)</t>
  </si>
  <si>
    <t>Prompt constraint costs - response is to raise an urgent mod to ameliorate the prices paid. Potential to agree a mod within 3 -7 days, with maximum prompt cost of £156.8m in winter and a minimum of £0m in summer.</t>
  </si>
  <si>
    <t>Wholesale gas impact up to 2024 (3 months)</t>
  </si>
  <si>
    <t>Due to rupture risk pipe is isolated for a minimum of 16 months to undertake intervention - incurring constraint costs, wholesale gas costs and intervention costs)</t>
  </si>
  <si>
    <t>Wholesale gas impact (16 months)</t>
  </si>
  <si>
    <r>
      <t xml:space="preserve">Wholesale Gas Impact </t>
    </r>
    <r>
      <rPr>
        <sz val="11"/>
        <color theme="1"/>
        <rFont val="Calibri"/>
        <family val="2"/>
        <scheme val="minor"/>
      </rPr>
      <t>- the unplanned isolation of the pipeline would likely to a wholesale gas price shock. For the first month it is assumed in winter the price would increase by 25p/th. With no impact in summer.  However thereafter the price increase is 2 p/th until the situation is resolved</t>
    </r>
  </si>
  <si>
    <r>
      <t xml:space="preserve">Intervention  </t>
    </r>
    <r>
      <rPr>
        <sz val="11"/>
        <color theme="1"/>
        <rFont val="Calibri"/>
        <family val="2"/>
        <scheme val="minor"/>
      </rPr>
      <t>- 1 of 4 interventions is applied with differing costs and probabilities the average cost is shown here.</t>
    </r>
  </si>
  <si>
    <r>
      <t xml:space="preserve">Intervention </t>
    </r>
    <r>
      <rPr>
        <sz val="11"/>
        <color theme="1"/>
        <rFont val="Calibri"/>
        <family val="2"/>
        <scheme val="minor"/>
      </rPr>
      <t>- 1 of 4 interventions is applied with differing costs and probabilities the average cost is shown here. It is also assumed that major remediation would also be required.</t>
    </r>
  </si>
  <si>
    <r>
      <rPr>
        <b/>
        <sz val="11"/>
        <color theme="1"/>
        <rFont val="Calibri"/>
        <family val="2"/>
        <scheme val="minor"/>
      </rPr>
      <t>Prompt constraint cost</t>
    </r>
    <r>
      <rPr>
        <sz val="11"/>
        <color theme="1"/>
        <rFont val="Calibri"/>
        <family val="2"/>
        <scheme val="minor"/>
      </rPr>
      <t>s - response is to raise an urgent mod to ameliorate the prices paid. Potential to agree a mod with 3 -7 days, within maximum prompt cost of £156.8m in winter and a minimum of £0m in summer.</t>
    </r>
  </si>
  <si>
    <r>
      <t xml:space="preserve">Wholesale Gas Impact </t>
    </r>
    <r>
      <rPr>
        <sz val="11"/>
        <color theme="1"/>
        <rFont val="Calibri"/>
        <family val="2"/>
        <scheme val="minor"/>
      </rPr>
      <t>- the unplanned isolation of the pipeline would likely lead to a wholesale gas price shock. For the first month it is assumed in winter the price would increase by 25p/th. With no impact in summer.  2p/th for each following month.</t>
    </r>
  </si>
  <si>
    <t>Wholesale gas impact up to 2072 (3 months)</t>
  </si>
  <si>
    <r>
      <t xml:space="preserve">Remediation  </t>
    </r>
    <r>
      <rPr>
        <sz val="11"/>
        <color theme="1"/>
        <rFont val="Calibri"/>
        <family val="2"/>
        <scheme val="minor"/>
      </rPr>
      <t>- apply frond mattresses assume operation can be completed and is successful within the 3 months allowing regassing. Apply frond mattresses at major remediation cost for routine replacement (16/17 prices)</t>
    </r>
  </si>
  <si>
    <t>Due to rupture risk pipe is isolated for a minimum of 16 months to undertake intervention incurring constraint costs, wholesale gas costs and intervention costs)</t>
  </si>
  <si>
    <t>Wholesale gas impact up to 2072 (16 months)</t>
  </si>
  <si>
    <r>
      <rPr>
        <b/>
        <sz val="11"/>
        <color theme="1"/>
        <rFont val="Calibri"/>
        <family val="2"/>
        <scheme val="minor"/>
      </rPr>
      <t>Prompt constraint costs</t>
    </r>
    <r>
      <rPr>
        <sz val="11"/>
        <color theme="1"/>
        <rFont val="Calibri"/>
        <family val="2"/>
        <scheme val="minor"/>
      </rPr>
      <t xml:space="preserve"> - response is to raise an urgent mod to ameliorate the prices paid. Potential to agree a mod with 3 -7 days, with maximum prompt cost of £156.8m in winter and a minimum of £0m in summer.</t>
    </r>
  </si>
  <si>
    <t>Pipe is isolated for a minimum of 16 months to undertake intervention incurring constraint costs, wholesale gas costs and intervention costs)</t>
  </si>
  <si>
    <t>from document provided on 6/4/2018 CBA queries</t>
  </si>
  <si>
    <t>1.5 p/th (prorated)</t>
  </si>
  <si>
    <t>Comparison to BMA</t>
  </si>
  <si>
    <t>25 p/th in winter and 2 p/th in summer (50% probability)</t>
  </si>
  <si>
    <t>18.75 p/th in winter and 1.5 p/th in summer (50% probability)</t>
  </si>
  <si>
    <t>Wholesale gas impact (£m) BMA</t>
  </si>
  <si>
    <t>Wholesale gas impact (£m) as above</t>
  </si>
  <si>
    <t>1)</t>
  </si>
  <si>
    <t>The wholesale gas impact tab has been updated following feedback from Ofgem. This has predominantly increased the first month cost and now references back to the document provided to Ofgem 0n the 06/04/18</t>
  </si>
  <si>
    <t>2)</t>
  </si>
  <si>
    <t>-</t>
  </si>
  <si>
    <t>An errant '1' has been removed from cell BK14 on the Option 2 tab, which affected the terminal value calculation</t>
  </si>
  <si>
    <t>6 June 2018: Updates made</t>
  </si>
  <si>
    <t>Disruption costs - assume 1 day at £8.5m per day</t>
  </si>
  <si>
    <t>Disruption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</si>
</sst>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0.0%"/>
    <numFmt numFmtId="165" formatCode="#,##0.00;[Red]\(#,##0.00\);\-"/>
    <numFmt numFmtId="166" formatCode="#,##0.0"/>
    <numFmt numFmtId="167" formatCode="#,##0.00000"/>
    <numFmt numFmtId="168" formatCode="#,##0.0000"/>
    <numFmt numFmtId="169" formatCode="0.0000"/>
  </numFmts>
  <fonts count="12" x14ac:knownFonts="1">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b/>
      <sz val="12"/>
      <color theme="1"/>
      <name val="Gill Sans MT"/>
      <family val="2"/>
    </font>
    <font>
      <b/>
      <sz val="14"/>
      <color rgb="FF0070C0"/>
      <name val="Calibri"/>
      <family val="2"/>
      <scheme val="minor"/>
    </font>
    <font>
      <b/>
      <sz val="9"/>
      <name val="Gill Sans MT"/>
      <family val="2"/>
    </font>
    <font>
      <sz val="11"/>
      <color rgb="FFFF0000"/>
      <name val="Calibri"/>
      <family val="2"/>
      <scheme val="minor"/>
    </font>
    <font>
      <sz val="10"/>
      <color theme="1"/>
      <name val="Arial"/>
      <family val="2"/>
    </font>
    <font>
      <b/>
      <sz val="11"/>
      <color theme="1"/>
      <name val="Calibri"/>
      <family val="2"/>
      <scheme val="minor"/>
    </font>
    <font>
      <sz val="1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s>
  <borders count="3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top style="medium">
        <color auto="1"/>
      </top>
      <bottom style="medium">
        <color auto="1"/>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auto="1"/>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medium">
        <color auto="1"/>
      </left>
      <right/>
      <top style="thin">
        <color auto="1"/>
      </top>
      <bottom style="medium">
        <color indexed="64"/>
      </bottom>
      <diagonal/>
    </border>
    <border>
      <left/>
      <right/>
      <top style="thin">
        <color auto="1"/>
      </top>
      <bottom style="medium">
        <color indexed="64"/>
      </bottom>
      <diagonal/>
    </border>
    <border>
      <left/>
      <right style="thin">
        <color indexed="64"/>
      </right>
      <top style="thin">
        <color auto="1"/>
      </top>
      <bottom style="medium">
        <color indexed="64"/>
      </bottom>
      <diagonal/>
    </border>
    <border>
      <left style="medium">
        <color auto="1"/>
      </left>
      <right style="thin">
        <color auto="1"/>
      </right>
      <top/>
      <bottom style="medium">
        <color auto="1"/>
      </bottom>
      <diagonal/>
    </border>
  </borders>
  <cellStyleXfs count="5">
    <xf numFmtId="0" fontId="0" fillId="0" borderId="0"/>
    <xf numFmtId="0" fontId="1" fillId="0" borderId="0"/>
    <xf numFmtId="0" fontId="1" fillId="0" borderId="0"/>
    <xf numFmtId="0" fontId="1" fillId="0" borderId="0"/>
    <xf numFmtId="43" fontId="1" fillId="0" borderId="0" applyFont="0" applyFill="0" applyBorder="0" applyAlignment="0" applyProtection="0"/>
  </cellStyleXfs>
  <cellXfs count="123">
    <xf numFmtId="0" fontId="0" fillId="0" borderId="0" xfId="0"/>
    <xf numFmtId="0" fontId="2" fillId="0" borderId="0" xfId="0" applyFont="1"/>
    <xf numFmtId="0" fontId="4" fillId="3" borderId="0" xfId="0" applyFont="1" applyFill="1" applyProtection="1">
      <protection locked="0"/>
    </xf>
    <xf numFmtId="0" fontId="3" fillId="0" borderId="0" xfId="0" applyFont="1" applyProtection="1"/>
    <xf numFmtId="0" fontId="3" fillId="0" borderId="0" xfId="0" applyFont="1" applyBorder="1" applyProtection="1"/>
    <xf numFmtId="0" fontId="3" fillId="0" borderId="0" xfId="0" applyFont="1" applyFill="1" applyBorder="1" applyProtection="1"/>
    <xf numFmtId="0" fontId="4" fillId="0" borderId="0" xfId="0" applyFont="1" applyFill="1" applyBorder="1" applyProtection="1"/>
    <xf numFmtId="0" fontId="4" fillId="0" borderId="0" xfId="0" applyFont="1" applyProtection="1"/>
    <xf numFmtId="0" fontId="3" fillId="4" borderId="0" xfId="0" applyFont="1" applyFill="1"/>
    <xf numFmtId="0" fontId="3" fillId="0" borderId="0" xfId="0" applyFont="1" applyFill="1"/>
    <xf numFmtId="0" fontId="3" fillId="0" borderId="0" xfId="0" applyFont="1" applyFill="1" applyProtection="1"/>
    <xf numFmtId="164" fontId="3" fillId="2" borderId="2" xfId="0" applyNumberFormat="1" applyFont="1" applyFill="1" applyBorder="1" applyProtection="1"/>
    <xf numFmtId="3" fontId="3" fillId="2" borderId="2" xfId="0" applyNumberFormat="1" applyFont="1" applyFill="1" applyBorder="1" applyProtection="1"/>
    <xf numFmtId="0" fontId="5" fillId="0" borderId="0" xfId="0" applyFont="1" applyFill="1"/>
    <xf numFmtId="0" fontId="7" fillId="2" borderId="3" xfId="3" applyFont="1" applyFill="1" applyBorder="1" applyAlignment="1">
      <alignment horizontal="center"/>
    </xf>
    <xf numFmtId="165" fontId="3" fillId="0" borderId="0" xfId="0" applyNumberFormat="1" applyFont="1" applyProtection="1"/>
    <xf numFmtId="165" fontId="4" fillId="0" borderId="1" xfId="0" applyNumberFormat="1" applyFont="1" applyBorder="1" applyProtection="1"/>
    <xf numFmtId="0" fontId="3" fillId="0" borderId="0" xfId="0" applyFont="1" applyBorder="1" applyAlignment="1" applyProtection="1">
      <alignment vertical="center"/>
    </xf>
    <xf numFmtId="165" fontId="3" fillId="3" borderId="0" xfId="0" applyNumberFormat="1" applyFont="1" applyFill="1" applyBorder="1" applyAlignment="1" applyProtection="1">
      <alignment vertical="center"/>
      <protection locked="0"/>
    </xf>
    <xf numFmtId="0" fontId="3" fillId="5" borderId="0" xfId="0" applyFont="1" applyFill="1"/>
    <xf numFmtId="2" fontId="3" fillId="2" borderId="2" xfId="0" applyNumberFormat="1" applyFont="1" applyFill="1" applyBorder="1" applyProtection="1"/>
    <xf numFmtId="0" fontId="3" fillId="0" borderId="0" xfId="0" applyFont="1" applyBorder="1" applyAlignment="1" applyProtection="1">
      <alignment horizontal="center"/>
    </xf>
    <xf numFmtId="10" fontId="0" fillId="0" borderId="0" xfId="0" applyNumberFormat="1"/>
    <xf numFmtId="2" fontId="0" fillId="0" borderId="0" xfId="0" applyNumberFormat="1"/>
    <xf numFmtId="17" fontId="8" fillId="0" borderId="0" xfId="0" applyNumberFormat="1" applyFont="1"/>
    <xf numFmtId="2" fontId="8" fillId="0" borderId="0" xfId="0" applyNumberFormat="1" applyFont="1"/>
    <xf numFmtId="0" fontId="8" fillId="0" borderId="0" xfId="0" applyFont="1"/>
    <xf numFmtId="0" fontId="0" fillId="0" borderId="0" xfId="0" applyAlignment="1">
      <alignment horizontal="left" indent="1"/>
    </xf>
    <xf numFmtId="165" fontId="3" fillId="2" borderId="0" xfId="0" applyNumberFormat="1" applyFont="1" applyFill="1" applyBorder="1" applyAlignment="1" applyProtection="1">
      <alignment vertical="center"/>
      <protection locked="0"/>
    </xf>
    <xf numFmtId="0" fontId="3" fillId="2" borderId="0" xfId="0" applyFont="1" applyFill="1" applyProtection="1"/>
    <xf numFmtId="0" fontId="10" fillId="0" borderId="0" xfId="0" applyFont="1"/>
    <xf numFmtId="0" fontId="10" fillId="0" borderId="0" xfId="0" applyFont="1" applyAlignment="1">
      <alignment horizontal="left"/>
    </xf>
    <xf numFmtId="0" fontId="0" fillId="0" borderId="0" xfId="0" applyFill="1"/>
    <xf numFmtId="165" fontId="3" fillId="0" borderId="0" xfId="0" applyNumberFormat="1" applyFont="1" applyFill="1" applyProtection="1"/>
    <xf numFmtId="0" fontId="4" fillId="0" borderId="0" xfId="0" applyFont="1" applyFill="1" applyProtection="1">
      <protection locked="0"/>
    </xf>
    <xf numFmtId="0" fontId="4" fillId="0" borderId="7" xfId="0" applyFont="1" applyFill="1" applyBorder="1" applyProtection="1"/>
    <xf numFmtId="165" fontId="4" fillId="2" borderId="7" xfId="0" applyNumberFormat="1" applyFont="1" applyFill="1" applyBorder="1" applyProtection="1"/>
    <xf numFmtId="0" fontId="10" fillId="6" borderId="0" xfId="0" applyFont="1" applyFill="1"/>
    <xf numFmtId="0" fontId="0" fillId="6" borderId="0" xfId="0" applyFill="1"/>
    <xf numFmtId="0" fontId="0" fillId="0" borderId="0" xfId="0" applyAlignment="1">
      <alignment wrapText="1"/>
    </xf>
    <xf numFmtId="0" fontId="0" fillId="0" borderId="0" xfId="0" applyAlignment="1"/>
    <xf numFmtId="2" fontId="10" fillId="6" borderId="0" xfId="0" applyNumberFormat="1" applyFont="1" applyFill="1"/>
    <xf numFmtId="0" fontId="10" fillId="0" borderId="0" xfId="0" applyFont="1" applyAlignment="1">
      <alignment vertical="center"/>
    </xf>
    <xf numFmtId="0" fontId="0" fillId="6" borderId="0" xfId="0" applyFill="1" applyAlignment="1"/>
    <xf numFmtId="0" fontId="10" fillId="0" borderId="0" xfId="0" applyFont="1" applyAlignment="1">
      <alignment wrapText="1"/>
    </xf>
    <xf numFmtId="3" fontId="0" fillId="0" borderId="0" xfId="0" applyNumberFormat="1"/>
    <xf numFmtId="4" fontId="0" fillId="0" borderId="0" xfId="0" applyNumberFormat="1"/>
    <xf numFmtId="4" fontId="10" fillId="6" borderId="0" xfId="0" applyNumberFormat="1" applyFont="1" applyFill="1"/>
    <xf numFmtId="4" fontId="0" fillId="6" borderId="0" xfId="0" applyNumberFormat="1" applyFill="1"/>
    <xf numFmtId="167" fontId="0" fillId="0" borderId="0" xfId="0" applyNumberFormat="1"/>
    <xf numFmtId="4" fontId="10" fillId="0" borderId="0" xfId="0" applyNumberFormat="1" applyFont="1" applyFill="1"/>
    <xf numFmtId="0" fontId="3" fillId="5" borderId="0" xfId="0" applyFont="1" applyFill="1" applyProtection="1"/>
    <xf numFmtId="2" fontId="3" fillId="5" borderId="2" xfId="0" applyNumberFormat="1" applyFont="1" applyFill="1" applyBorder="1" applyProtection="1"/>
    <xf numFmtId="168" fontId="10" fillId="6" borderId="0" xfId="0" applyNumberFormat="1" applyFont="1" applyFill="1"/>
    <xf numFmtId="169" fontId="10" fillId="6" borderId="0" xfId="0" applyNumberFormat="1" applyFont="1" applyFill="1"/>
    <xf numFmtId="0" fontId="0" fillId="0" borderId="9" xfId="0" applyBorder="1"/>
    <xf numFmtId="0" fontId="0" fillId="0" borderId="11" xfId="0" applyBorder="1"/>
    <xf numFmtId="0" fontId="0" fillId="0" borderId="2" xfId="0" applyBorder="1"/>
    <xf numFmtId="0" fontId="0" fillId="0" borderId="12" xfId="0" applyBorder="1"/>
    <xf numFmtId="0" fontId="0" fillId="0" borderId="13" xfId="0" applyBorder="1"/>
    <xf numFmtId="0" fontId="0" fillId="0" borderId="14" xfId="0" applyBorder="1"/>
    <xf numFmtId="0" fontId="0" fillId="0" borderId="16" xfId="0" applyBorder="1"/>
    <xf numFmtId="0" fontId="10" fillId="0" borderId="4" xfId="0" quotePrefix="1" applyFont="1" applyBorder="1"/>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10" fillId="0" borderId="5" xfId="0" applyFont="1" applyBorder="1" applyAlignment="1">
      <alignment horizontal="center"/>
    </xf>
    <xf numFmtId="0" fontId="10" fillId="0" borderId="6" xfId="0" applyFont="1" applyBorder="1" applyAlignment="1">
      <alignment horizontal="center"/>
    </xf>
    <xf numFmtId="166" fontId="0" fillId="0" borderId="3" xfId="0" applyNumberFormat="1" applyBorder="1" applyAlignment="1">
      <alignment horizontal="center"/>
    </xf>
    <xf numFmtId="166" fontId="0" fillId="0" borderId="17" xfId="0" applyNumberFormat="1" applyBorder="1" applyAlignment="1">
      <alignment horizontal="center"/>
    </xf>
    <xf numFmtId="166" fontId="0" fillId="0" borderId="14" xfId="0" applyNumberFormat="1" applyBorder="1" applyAlignment="1">
      <alignment horizontal="center"/>
    </xf>
    <xf numFmtId="166" fontId="0" fillId="0" borderId="15" xfId="0" applyNumberFormat="1" applyBorder="1" applyAlignment="1">
      <alignment horizontal="center"/>
    </xf>
    <xf numFmtId="0" fontId="0" fillId="0" borderId="2" xfId="0" applyBorder="1" applyAlignment="1">
      <alignment horizontal="center"/>
    </xf>
    <xf numFmtId="0" fontId="0" fillId="0" borderId="12" xfId="0" applyBorder="1" applyAlignment="1">
      <alignment horizontal="center"/>
    </xf>
    <xf numFmtId="2" fontId="0" fillId="6" borderId="12" xfId="0" applyNumberFormat="1" applyFill="1" applyBorder="1" applyAlignment="1">
      <alignment horizontal="center"/>
    </xf>
    <xf numFmtId="2" fontId="0" fillId="6" borderId="15" xfId="0" applyNumberFormat="1" applyFill="1" applyBorder="1" applyAlignment="1">
      <alignment horizontal="center"/>
    </xf>
    <xf numFmtId="0" fontId="10" fillId="0" borderId="8" xfId="0" applyFont="1" applyBorder="1"/>
    <xf numFmtId="0" fontId="10" fillId="0" borderId="9" xfId="0" applyFont="1" applyBorder="1"/>
    <xf numFmtId="0" fontId="10" fillId="0" borderId="10" xfId="0" applyFont="1" applyBorder="1"/>
    <xf numFmtId="0" fontId="0" fillId="0" borderId="19" xfId="0" applyBorder="1" applyAlignment="1">
      <alignment horizontal="center"/>
    </xf>
    <xf numFmtId="0" fontId="0" fillId="6" borderId="6" xfId="0" applyFill="1" applyBorder="1" applyAlignment="1">
      <alignment horizontal="center"/>
    </xf>
    <xf numFmtId="0" fontId="0" fillId="6" borderId="8" xfId="0" applyFill="1" applyBorder="1"/>
    <xf numFmtId="0" fontId="0" fillId="6" borderId="10" xfId="0" applyFill="1" applyBorder="1"/>
    <xf numFmtId="0" fontId="0" fillId="6" borderId="13" xfId="0" applyFill="1" applyBorder="1"/>
    <xf numFmtId="0" fontId="0" fillId="6" borderId="15" xfId="0" applyFill="1" applyBorder="1"/>
    <xf numFmtId="2" fontId="0" fillId="6" borderId="15" xfId="0" applyNumberFormat="1" applyFill="1" applyBorder="1"/>
    <xf numFmtId="0" fontId="9" fillId="0" borderId="2" xfId="0" quotePrefix="1" applyFont="1" applyFill="1" applyBorder="1" applyAlignment="1">
      <alignment horizontal="center" vertical="center" wrapText="1"/>
    </xf>
    <xf numFmtId="0" fontId="0" fillId="0" borderId="0" xfId="0" applyAlignment="1">
      <alignment wrapText="1"/>
    </xf>
    <xf numFmtId="3" fontId="11" fillId="0" borderId="0" xfId="0" applyNumberFormat="1" applyFont="1"/>
    <xf numFmtId="0" fontId="11" fillId="0" borderId="0" xfId="0" applyFont="1"/>
    <xf numFmtId="0" fontId="10" fillId="2" borderId="8" xfId="0" applyFont="1" applyFill="1" applyBorder="1"/>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xf numFmtId="3" fontId="0" fillId="2" borderId="2" xfId="0" applyNumberFormat="1" applyFill="1" applyBorder="1" applyAlignment="1">
      <alignment horizontal="center"/>
    </xf>
    <xf numFmtId="3" fontId="0" fillId="2" borderId="12" xfId="0" applyNumberFormat="1" applyFill="1" applyBorder="1" applyAlignment="1">
      <alignment horizontal="center"/>
    </xf>
    <xf numFmtId="0" fontId="0" fillId="2" borderId="11" xfId="0" quotePrefix="1" applyFill="1" applyBorder="1"/>
    <xf numFmtId="0" fontId="0" fillId="2" borderId="13" xfId="0" quotePrefix="1" applyFill="1" applyBorder="1"/>
    <xf numFmtId="3" fontId="0" fillId="2" borderId="14" xfId="0" applyNumberFormat="1" applyFill="1" applyBorder="1" applyAlignment="1">
      <alignment horizontal="center"/>
    </xf>
    <xf numFmtId="3" fontId="0" fillId="2" borderId="15" xfId="0" applyNumberFormat="1" applyFill="1" applyBorder="1" applyAlignment="1">
      <alignment horizontal="center"/>
    </xf>
    <xf numFmtId="3" fontId="0" fillId="6" borderId="0" xfId="0" applyNumberFormat="1" applyFill="1"/>
    <xf numFmtId="3" fontId="11" fillId="6" borderId="0" xfId="0" applyNumberFormat="1" applyFont="1" applyFill="1"/>
    <xf numFmtId="0" fontId="0" fillId="0" borderId="0" xfId="0" applyAlignment="1">
      <alignment vertical="center"/>
    </xf>
    <xf numFmtId="0" fontId="0" fillId="0" borderId="0" xfId="0" applyAlignment="1">
      <alignment wrapText="1"/>
    </xf>
    <xf numFmtId="0" fontId="0" fillId="0" borderId="0" xfId="0" applyAlignment="1"/>
    <xf numFmtId="0" fontId="0" fillId="6" borderId="26" xfId="0" applyFill="1" applyBorder="1" applyAlignment="1"/>
    <xf numFmtId="0" fontId="0" fillId="6" borderId="27" xfId="0" applyFill="1" applyBorder="1" applyAlignment="1"/>
    <xf numFmtId="0" fontId="0" fillId="6" borderId="28" xfId="0" applyFill="1" applyBorder="1" applyAlignment="1"/>
    <xf numFmtId="0" fontId="10" fillId="6" borderId="21" xfId="0" applyFont="1" applyFill="1" applyBorder="1" applyAlignment="1"/>
    <xf numFmtId="0" fontId="0" fillId="6" borderId="20" xfId="0" applyFill="1" applyBorder="1" applyAlignment="1"/>
    <xf numFmtId="0" fontId="0" fillId="6" borderId="22" xfId="0" applyFill="1" applyBorder="1" applyAlignment="1"/>
    <xf numFmtId="0" fontId="0" fillId="0" borderId="23" xfId="0" applyBorder="1" applyAlignment="1"/>
    <xf numFmtId="0" fontId="0" fillId="0" borderId="24" xfId="0" applyBorder="1" applyAlignment="1"/>
    <xf numFmtId="0" fontId="0" fillId="0" borderId="25" xfId="0" applyBorder="1" applyAlignment="1"/>
    <xf numFmtId="0" fontId="0" fillId="0" borderId="26" xfId="0" applyBorder="1" applyAlignment="1"/>
    <xf numFmtId="0" fontId="0" fillId="0" borderId="27" xfId="0" applyBorder="1" applyAlignment="1"/>
    <xf numFmtId="0" fontId="0" fillId="0" borderId="28" xfId="0" applyBorder="1" applyAlignment="1"/>
    <xf numFmtId="0" fontId="10" fillId="0" borderId="9" xfId="0" applyFont="1" applyBorder="1" applyAlignment="1">
      <alignment horizontal="center"/>
    </xf>
    <xf numFmtId="0" fontId="0" fillId="6" borderId="23" xfId="0" applyFill="1" applyBorder="1" applyAlignment="1"/>
    <xf numFmtId="0" fontId="0" fillId="6" borderId="24" xfId="0" applyFill="1" applyBorder="1" applyAlignment="1"/>
    <xf numFmtId="0" fontId="0" fillId="6" borderId="25" xfId="0" applyFill="1" applyBorder="1" applyAlignment="1"/>
    <xf numFmtId="0" fontId="0" fillId="0" borderId="18" xfId="0" applyBorder="1" applyAlignment="1">
      <alignment vertical="center" wrapText="1"/>
    </xf>
    <xf numFmtId="0" fontId="0" fillId="0" borderId="29" xfId="0" applyBorder="1" applyAlignment="1">
      <alignment vertical="center" wrapText="1"/>
    </xf>
  </cellXfs>
  <cellStyles count="5">
    <cellStyle name="=C:\WINNT\SYSTEM32\COMMAND.COM 6" xfId="3"/>
    <cellStyle name="Comma 4" xfId="4"/>
    <cellStyle name="Normal" xfId="0" builtinId="0"/>
    <cellStyle name="Normal 20" xfId="1"/>
    <cellStyle name="Normal 3" xfId="2"/>
  </cellStyles>
  <dxfs count="0"/>
  <tableStyles count="0" defaultTableStyle="TableStyleMedium9" defaultPivotStyle="PivotStyleLight16"/>
  <colors>
    <mruColors>
      <color rgb="FF0033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tabSelected="1" workbookViewId="0">
      <selection activeCell="B11" sqref="B11"/>
    </sheetView>
  </sheetViews>
  <sheetFormatPr defaultRowHeight="14.25" x14ac:dyDescent="0.45"/>
  <cols>
    <col min="1" max="1" width="5.1328125" customWidth="1"/>
    <col min="2" max="2" width="118.3984375" customWidth="1"/>
  </cols>
  <sheetData>
    <row r="1" spans="1:2" x14ac:dyDescent="0.45">
      <c r="B1" s="30" t="s">
        <v>525</v>
      </c>
    </row>
    <row r="2" spans="1:2" ht="28.5" x14ac:dyDescent="0.45">
      <c r="A2" s="102" t="s">
        <v>520</v>
      </c>
      <c r="B2" s="87" t="s">
        <v>521</v>
      </c>
    </row>
    <row r="3" spans="1:2" x14ac:dyDescent="0.45">
      <c r="A3" t="s">
        <v>522</v>
      </c>
      <c r="B3" t="s">
        <v>524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
  <sheetViews>
    <sheetView showGridLines="0" workbookViewId="0">
      <selection activeCell="G14" sqref="G14"/>
    </sheetView>
  </sheetViews>
  <sheetFormatPr defaultRowHeight="14.25" x14ac:dyDescent="0.45"/>
  <cols>
    <col min="1" max="1" width="2.59765625" customWidth="1"/>
    <col min="2" max="2" width="41.265625" customWidth="1"/>
    <col min="3" max="3" width="13.86328125" bestFit="1" customWidth="1"/>
    <col min="4" max="4" width="21.1328125" bestFit="1" customWidth="1"/>
    <col min="5" max="5" width="12.73046875" bestFit="1" customWidth="1"/>
    <col min="6" max="7" width="11.1328125" bestFit="1" customWidth="1"/>
  </cols>
  <sheetData>
    <row r="1" spans="2:9" x14ac:dyDescent="0.45">
      <c r="B1" s="30" t="s">
        <v>452</v>
      </c>
    </row>
    <row r="2" spans="2:9" x14ac:dyDescent="0.45">
      <c r="B2" t="s">
        <v>489</v>
      </c>
      <c r="C2" s="45">
        <f>(C3/2*25+C3)/2</f>
        <v>117922500</v>
      </c>
      <c r="E2" s="88" t="s">
        <v>516</v>
      </c>
    </row>
    <row r="3" spans="2:9" x14ac:dyDescent="0.45">
      <c r="B3" s="38" t="s">
        <v>488</v>
      </c>
      <c r="C3" s="100">
        <f>17470000</f>
        <v>17470000</v>
      </c>
      <c r="D3" s="38"/>
      <c r="E3" s="101" t="s">
        <v>513</v>
      </c>
      <c r="F3" s="38"/>
      <c r="G3" s="38"/>
      <c r="H3" s="38"/>
      <c r="I3" s="38"/>
    </row>
    <row r="4" spans="2:9" x14ac:dyDescent="0.45">
      <c r="E4" s="89"/>
    </row>
    <row r="5" spans="2:9" x14ac:dyDescent="0.45">
      <c r="B5" s="30" t="s">
        <v>453</v>
      </c>
      <c r="E5" s="89"/>
    </row>
    <row r="6" spans="2:9" x14ac:dyDescent="0.45">
      <c r="B6" t="s">
        <v>489</v>
      </c>
      <c r="C6" s="45">
        <f>+(C3/2*18.75+C7)/2</f>
        <v>88441875</v>
      </c>
      <c r="E6" s="88" t="s">
        <v>517</v>
      </c>
    </row>
    <row r="7" spans="2:9" x14ac:dyDescent="0.45">
      <c r="B7" t="s">
        <v>488</v>
      </c>
      <c r="C7" s="45">
        <f>+C3*1.5/2</f>
        <v>13102500</v>
      </c>
      <c r="E7" s="89" t="s">
        <v>514</v>
      </c>
    </row>
    <row r="8" spans="2:9" x14ac:dyDescent="0.45">
      <c r="C8" s="45"/>
      <c r="D8" s="45"/>
      <c r="E8" s="45"/>
    </row>
    <row r="9" spans="2:9" x14ac:dyDescent="0.45">
      <c r="B9" s="30" t="s">
        <v>515</v>
      </c>
      <c r="C9" s="45"/>
      <c r="D9" s="45"/>
      <c r="E9" s="45"/>
    </row>
    <row r="10" spans="2:9" ht="14.65" thickBot="1" x14ac:dyDescent="0.5">
      <c r="B10" s="30"/>
      <c r="C10" s="45"/>
      <c r="D10" s="45"/>
      <c r="E10" s="45"/>
    </row>
    <row r="11" spans="2:9" x14ac:dyDescent="0.45">
      <c r="B11" s="90" t="s">
        <v>519</v>
      </c>
      <c r="C11" s="91" t="s">
        <v>425</v>
      </c>
      <c r="D11" s="91" t="s">
        <v>426</v>
      </c>
      <c r="E11" s="92" t="s">
        <v>427</v>
      </c>
    </row>
    <row r="12" spans="2:9" x14ac:dyDescent="0.45">
      <c r="B12" s="93" t="s">
        <v>424</v>
      </c>
      <c r="C12" s="94">
        <f>+C2+C3*27.8</f>
        <v>603588500</v>
      </c>
      <c r="D12" s="94">
        <f>+C2+C3*35</f>
        <v>729372500</v>
      </c>
      <c r="E12" s="95">
        <f>+C3*71+C2</f>
        <v>1358292500</v>
      </c>
    </row>
    <row r="13" spans="2:9" ht="14.65" thickBot="1" x14ac:dyDescent="0.5">
      <c r="B13" s="97" t="s">
        <v>428</v>
      </c>
      <c r="C13" s="98">
        <f>+C7*27.8+C6</f>
        <v>452691375</v>
      </c>
      <c r="D13" s="98">
        <f>+C7*35+C6</f>
        <v>547029375</v>
      </c>
      <c r="E13" s="99">
        <f>+C7*71+C6</f>
        <v>1018719375</v>
      </c>
    </row>
    <row r="14" spans="2:9" ht="14.65" thickBot="1" x14ac:dyDescent="0.5">
      <c r="C14" s="45"/>
      <c r="D14" s="45"/>
      <c r="E14" s="45"/>
    </row>
    <row r="15" spans="2:9" x14ac:dyDescent="0.45">
      <c r="B15" s="90" t="s">
        <v>518</v>
      </c>
      <c r="C15" s="91" t="s">
        <v>425</v>
      </c>
      <c r="D15" s="91" t="s">
        <v>426</v>
      </c>
      <c r="E15" s="92" t="s">
        <v>427</v>
      </c>
    </row>
    <row r="16" spans="2:9" x14ac:dyDescent="0.45">
      <c r="B16" s="93" t="s">
        <v>424</v>
      </c>
      <c r="C16" s="94">
        <v>689380896</v>
      </c>
      <c r="D16" s="94">
        <v>829249202</v>
      </c>
      <c r="E16" s="95">
        <v>1563190840</v>
      </c>
    </row>
    <row r="17" spans="2:5" x14ac:dyDescent="0.45">
      <c r="B17" s="96" t="s">
        <v>428</v>
      </c>
      <c r="C17" s="94">
        <v>517035672</v>
      </c>
      <c r="D17" s="94">
        <v>621936901</v>
      </c>
      <c r="E17" s="95">
        <v>1172393130</v>
      </c>
    </row>
    <row r="18" spans="2:5" ht="14.65" thickBot="1" x14ac:dyDescent="0.5">
      <c r="B18" s="97" t="s">
        <v>429</v>
      </c>
      <c r="C18" s="98">
        <v>517035672</v>
      </c>
      <c r="D18" s="98">
        <v>621936901</v>
      </c>
      <c r="E18" s="99">
        <v>1172393130</v>
      </c>
    </row>
    <row r="22" spans="2:5" x14ac:dyDescent="0.45">
      <c r="C22">
        <f>(C3*27.8)+C2</f>
        <v>603588500</v>
      </c>
    </row>
  </sheetData>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9"/>
  <sheetViews>
    <sheetView showGridLines="0" workbookViewId="0">
      <selection activeCell="B21" sqref="B21"/>
    </sheetView>
  </sheetViews>
  <sheetFormatPr defaultRowHeight="14.25" x14ac:dyDescent="0.45"/>
  <cols>
    <col min="1" max="1" width="3.73046875" customWidth="1"/>
    <col min="2" max="2" width="34.73046875" bestFit="1" customWidth="1"/>
    <col min="3" max="3" width="23.1328125" bestFit="1" customWidth="1"/>
    <col min="5" max="5" width="13.73046875" bestFit="1" customWidth="1"/>
    <col min="6" max="6" width="18.1328125" bestFit="1" customWidth="1"/>
    <col min="7" max="7" width="18" bestFit="1" customWidth="1"/>
  </cols>
  <sheetData>
    <row r="1" spans="2:8" ht="14.65" thickBot="1" x14ac:dyDescent="0.5"/>
    <row r="2" spans="2:8" x14ac:dyDescent="0.45">
      <c r="B2" s="76" t="s">
        <v>433</v>
      </c>
      <c r="C2" s="77" t="s">
        <v>490</v>
      </c>
      <c r="D2" s="77" t="s">
        <v>434</v>
      </c>
      <c r="E2" s="77" t="s">
        <v>437</v>
      </c>
      <c r="F2" s="77" t="s">
        <v>440</v>
      </c>
      <c r="G2" s="77" t="s">
        <v>495</v>
      </c>
      <c r="H2" s="78" t="s">
        <v>430</v>
      </c>
    </row>
    <row r="3" spans="2:8" x14ac:dyDescent="0.45">
      <c r="B3" s="56" t="s">
        <v>435</v>
      </c>
      <c r="C3" s="57" t="s">
        <v>436</v>
      </c>
      <c r="D3" s="72">
        <v>2.61</v>
      </c>
      <c r="E3" s="72">
        <v>48</v>
      </c>
      <c r="F3" s="72">
        <v>0.9</v>
      </c>
      <c r="G3" s="72">
        <v>0.5</v>
      </c>
      <c r="H3" s="73">
        <f>+(F3+G3)/2</f>
        <v>0.7</v>
      </c>
    </row>
    <row r="4" spans="2:8" x14ac:dyDescent="0.45">
      <c r="B4" s="56" t="s">
        <v>438</v>
      </c>
      <c r="C4" s="57" t="s">
        <v>439</v>
      </c>
      <c r="D4" s="72">
        <v>12.6</v>
      </c>
      <c r="E4" s="72">
        <v>69</v>
      </c>
      <c r="F4" s="72">
        <v>0.05</v>
      </c>
      <c r="G4" s="72">
        <v>0.3</v>
      </c>
      <c r="H4" s="73">
        <f t="shared" ref="H4:H6" si="0">+(F4+G4)/2</f>
        <v>0.17499999999999999</v>
      </c>
    </row>
    <row r="5" spans="2:8" x14ac:dyDescent="0.45">
      <c r="B5" s="121" t="s">
        <v>494</v>
      </c>
      <c r="C5" s="57" t="s">
        <v>473</v>
      </c>
      <c r="D5" s="72">
        <v>18.14</v>
      </c>
      <c r="E5" s="72">
        <v>75</v>
      </c>
      <c r="F5" s="72">
        <v>0.05</v>
      </c>
      <c r="G5" s="72">
        <v>0.1</v>
      </c>
      <c r="H5" s="73">
        <f t="shared" si="0"/>
        <v>7.5000000000000011E-2</v>
      </c>
    </row>
    <row r="6" spans="2:8" ht="14.65" thickBot="1" x14ac:dyDescent="0.5">
      <c r="B6" s="122"/>
      <c r="C6" s="60" t="s">
        <v>474</v>
      </c>
      <c r="D6" s="63">
        <f>+'Workings 1'!F6</f>
        <v>181.71700000000001</v>
      </c>
      <c r="E6" s="63">
        <f>52*6</f>
        <v>312</v>
      </c>
      <c r="F6" s="63">
        <v>0</v>
      </c>
      <c r="G6" s="63">
        <v>0.1</v>
      </c>
      <c r="H6" s="64">
        <f t="shared" si="0"/>
        <v>0.05</v>
      </c>
    </row>
    <row r="7" spans="2:8" ht="14.65" thickBot="1" x14ac:dyDescent="0.5">
      <c r="H7">
        <f>SUM(H3:H6)</f>
        <v>1</v>
      </c>
    </row>
    <row r="8" spans="2:8" x14ac:dyDescent="0.45">
      <c r="B8" s="81" t="s">
        <v>491</v>
      </c>
      <c r="C8" s="82">
        <f>+E3*H3+E4*H4+E5*H5+E6*H6</f>
        <v>66.900000000000006</v>
      </c>
    </row>
    <row r="9" spans="2:8" ht="14.65" thickBot="1" x14ac:dyDescent="0.5">
      <c r="B9" s="83" t="s">
        <v>492</v>
      </c>
      <c r="C9" s="85">
        <f>+H3*D3+H4*D4+H5*D5+H6*D6</f>
        <v>14.478349999999999</v>
      </c>
    </row>
  </sheetData>
  <mergeCells count="1">
    <mergeCell ref="B5:B6"/>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
  <sheetViews>
    <sheetView showGridLines="0" workbookViewId="0">
      <selection activeCell="C21" sqref="C21"/>
    </sheetView>
  </sheetViews>
  <sheetFormatPr defaultRowHeight="14.25" x14ac:dyDescent="0.45"/>
  <cols>
    <col min="1" max="1" width="2.1328125" customWidth="1"/>
    <col min="2" max="3" width="26.59765625" bestFit="1" customWidth="1"/>
  </cols>
  <sheetData>
    <row r="1" spans="2:3" ht="14.65" thickBot="1" x14ac:dyDescent="0.5"/>
    <row r="2" spans="2:3" x14ac:dyDescent="0.45">
      <c r="B2" s="76" t="s">
        <v>486</v>
      </c>
      <c r="C2" s="78" t="s">
        <v>443</v>
      </c>
    </row>
    <row r="3" spans="2:3" x14ac:dyDescent="0.45">
      <c r="B3" s="56" t="s">
        <v>444</v>
      </c>
      <c r="C3" s="58">
        <f>2.21/1000</f>
        <v>2.2100000000000002E-3</v>
      </c>
    </row>
    <row r="4" spans="2:3" x14ac:dyDescent="0.45">
      <c r="B4" s="56" t="s">
        <v>445</v>
      </c>
      <c r="C4" s="58">
        <f>1.55/100</f>
        <v>1.55E-2</v>
      </c>
    </row>
    <row r="5" spans="2:3" ht="14.65" thickBot="1" x14ac:dyDescent="0.5">
      <c r="B5" s="83" t="s">
        <v>430</v>
      </c>
      <c r="C5" s="84">
        <f>(C3+C4)/2</f>
        <v>8.855E-3</v>
      </c>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1"/>
  <sheetViews>
    <sheetView showGridLines="0" workbookViewId="0">
      <selection activeCell="C7" sqref="C7"/>
    </sheetView>
  </sheetViews>
  <sheetFormatPr defaultRowHeight="14.25" x14ac:dyDescent="0.45"/>
  <cols>
    <col min="1" max="1" width="2.1328125" customWidth="1"/>
    <col min="2" max="2" width="30.86328125" customWidth="1"/>
  </cols>
  <sheetData>
    <row r="2" spans="2:13" x14ac:dyDescent="0.45">
      <c r="B2" s="30" t="s">
        <v>478</v>
      </c>
    </row>
    <row r="3" spans="2:13" ht="90.75" customHeight="1" x14ac:dyDescent="0.45">
      <c r="B3" s="103" t="s">
        <v>493</v>
      </c>
      <c r="C3" s="103"/>
      <c r="D3" s="103"/>
      <c r="E3" s="103"/>
      <c r="F3" s="103"/>
      <c r="G3" s="103"/>
      <c r="H3" s="104"/>
      <c r="I3" s="104"/>
      <c r="J3" s="104"/>
      <c r="K3" s="104"/>
      <c r="L3" s="104"/>
      <c r="M3" s="104"/>
    </row>
    <row r="4" spans="2:13" ht="14.65" thickBot="1" x14ac:dyDescent="0.5"/>
    <row r="5" spans="2:13" ht="14.65" thickBot="1" x14ac:dyDescent="0.5">
      <c r="B5" s="62" t="s">
        <v>480</v>
      </c>
      <c r="C5" s="66" t="s">
        <v>386</v>
      </c>
      <c r="D5" s="66">
        <v>2030</v>
      </c>
      <c r="E5" s="67">
        <v>2040</v>
      </c>
    </row>
    <row r="6" spans="2:13" x14ac:dyDescent="0.45">
      <c r="B6" s="61" t="s">
        <v>479</v>
      </c>
      <c r="C6" s="68">
        <f>+'Option 1'!BK19</f>
        <v>-212.24385821446725</v>
      </c>
      <c r="D6" s="68">
        <f>+'Option 1'!Q19</f>
        <v>-137.25614683177631</v>
      </c>
      <c r="E6" s="69">
        <f>+'Option 1'!AA19</f>
        <v>-176.11234850206745</v>
      </c>
    </row>
    <row r="7" spans="2:13" ht="14.65" thickBot="1" x14ac:dyDescent="0.5">
      <c r="B7" s="59" t="s">
        <v>481</v>
      </c>
      <c r="C7" s="70">
        <f>+'Option 2'!BK19</f>
        <v>-304.82202316621169</v>
      </c>
      <c r="D7" s="70">
        <f>+'Option 2'!Q19</f>
        <v>-131.43398971681282</v>
      </c>
      <c r="E7" s="71">
        <f>+'Option 2'!AA19</f>
        <v>-181.90398418179359</v>
      </c>
    </row>
    <row r="8" spans="2:13" ht="14.65" thickBot="1" x14ac:dyDescent="0.5">
      <c r="C8" s="65"/>
      <c r="D8" s="65"/>
      <c r="E8" s="65"/>
    </row>
    <row r="9" spans="2:13" ht="14.65" thickBot="1" x14ac:dyDescent="0.5">
      <c r="B9" s="62" t="s">
        <v>482</v>
      </c>
      <c r="C9" s="66" t="s">
        <v>386</v>
      </c>
      <c r="D9" s="66">
        <v>2030</v>
      </c>
      <c r="E9" s="67">
        <v>2040</v>
      </c>
    </row>
    <row r="10" spans="2:13" x14ac:dyDescent="0.45">
      <c r="B10" s="61" t="s">
        <v>479</v>
      </c>
      <c r="C10" s="68">
        <v>-222.61241130370991</v>
      </c>
      <c r="D10" s="68">
        <v>-147.62469992101896</v>
      </c>
      <c r="E10" s="69">
        <v>-186.4809015913101</v>
      </c>
    </row>
    <row r="11" spans="2:13" ht="14.65" thickBot="1" x14ac:dyDescent="0.5">
      <c r="B11" s="59" t="s">
        <v>481</v>
      </c>
      <c r="C11" s="70">
        <v>-393.85284738481022</v>
      </c>
      <c r="D11" s="70">
        <v>-166.21441914704184</v>
      </c>
      <c r="E11" s="71">
        <v>-233.56829359580922</v>
      </c>
    </row>
  </sheetData>
  <mergeCells count="1">
    <mergeCell ref="B3:M3"/>
  </mergeCells>
  <pageMargins left="0.7" right="0.7" top="0.75" bottom="0.75" header="0.3" footer="0.3"/>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A32"/>
  <sheetViews>
    <sheetView showGridLines="0" zoomScale="90" zoomScaleNormal="90" workbookViewId="0">
      <selection activeCell="C25" sqref="C25"/>
    </sheetView>
  </sheetViews>
  <sheetFormatPr defaultColWidth="9.1328125" defaultRowHeight="15.4" x14ac:dyDescent="0.6"/>
  <cols>
    <col min="1" max="1" width="1.86328125" style="8" customWidth="1"/>
    <col min="2" max="2" width="33" style="8" customWidth="1"/>
    <col min="3" max="3" width="12.73046875" style="8" customWidth="1"/>
    <col min="4" max="4" width="12.1328125" style="8" customWidth="1"/>
    <col min="5" max="5" width="11.1328125" style="8" customWidth="1"/>
    <col min="6" max="6" width="47.86328125" style="8" customWidth="1"/>
    <col min="7" max="7" width="17.265625" style="8" customWidth="1"/>
    <col min="8" max="11" width="11" style="8" customWidth="1"/>
    <col min="12" max="16384" width="9.1328125" style="8"/>
  </cols>
  <sheetData>
    <row r="1" spans="1:27" ht="18" x14ac:dyDescent="0.7">
      <c r="A1" s="9"/>
      <c r="B1" s="13" t="s">
        <v>9</v>
      </c>
      <c r="C1" s="9"/>
      <c r="D1" s="9"/>
      <c r="E1" s="9"/>
      <c r="F1" s="9"/>
      <c r="G1" s="9"/>
      <c r="H1" s="9"/>
      <c r="I1" s="9"/>
      <c r="J1" s="9"/>
      <c r="K1" s="9"/>
      <c r="L1" s="9"/>
      <c r="M1" s="9"/>
      <c r="N1" s="9"/>
      <c r="O1" s="9"/>
      <c r="P1" s="9"/>
      <c r="Q1" s="9"/>
      <c r="R1" s="9"/>
      <c r="S1" s="9"/>
      <c r="T1" s="9"/>
      <c r="U1" s="9"/>
      <c r="V1" s="9"/>
      <c r="W1" s="9"/>
      <c r="X1" s="9"/>
      <c r="Y1" s="9"/>
      <c r="Z1" s="9"/>
      <c r="AA1" s="3"/>
    </row>
    <row r="2" spans="1:27" ht="18" x14ac:dyDescent="0.7">
      <c r="A2" s="9"/>
      <c r="B2" s="13"/>
      <c r="C2" s="9"/>
      <c r="D2" s="9"/>
      <c r="E2" s="9"/>
      <c r="F2" s="9"/>
      <c r="G2" s="9"/>
      <c r="H2" s="9"/>
      <c r="I2" s="9"/>
      <c r="J2" s="9"/>
      <c r="K2" s="9"/>
      <c r="L2" s="9"/>
      <c r="M2" s="9"/>
      <c r="N2" s="9"/>
      <c r="O2" s="9"/>
      <c r="P2" s="9"/>
      <c r="Q2" s="9"/>
      <c r="R2" s="9"/>
      <c r="S2" s="9"/>
      <c r="T2" s="9"/>
      <c r="U2" s="9"/>
      <c r="V2" s="9"/>
      <c r="W2" s="9"/>
      <c r="X2" s="9"/>
      <c r="Y2" s="9"/>
      <c r="Z2" s="9"/>
      <c r="AA2" s="3"/>
    </row>
    <row r="3" spans="1:27" x14ac:dyDescent="0.6">
      <c r="A3" s="9"/>
      <c r="B3" s="10" t="s">
        <v>461</v>
      </c>
      <c r="C3" s="11">
        <v>3.5000000000000003E-2</v>
      </c>
      <c r="D3" s="9"/>
      <c r="E3" s="9"/>
      <c r="F3" s="9"/>
      <c r="G3" s="9"/>
      <c r="H3" s="9"/>
      <c r="I3" s="9"/>
      <c r="J3" s="9"/>
      <c r="K3" s="9"/>
      <c r="L3" s="9"/>
      <c r="M3" s="9"/>
      <c r="N3" s="9"/>
      <c r="O3" s="9"/>
      <c r="P3" s="9"/>
      <c r="Q3" s="9"/>
      <c r="R3" s="9"/>
      <c r="S3" s="9"/>
      <c r="T3" s="9"/>
      <c r="U3" s="9"/>
      <c r="V3" s="9"/>
      <c r="W3" s="9"/>
      <c r="X3" s="9"/>
      <c r="Y3" s="9"/>
      <c r="Z3" s="9"/>
      <c r="AA3" s="20"/>
    </row>
    <row r="4" spans="1:27" x14ac:dyDescent="0.6">
      <c r="A4" s="9"/>
      <c r="B4" s="10" t="s">
        <v>462</v>
      </c>
      <c r="C4" s="11">
        <v>1.4999999999999999E-2</v>
      </c>
      <c r="D4" s="9"/>
      <c r="E4" s="9"/>
      <c r="F4" s="9"/>
      <c r="G4" s="9"/>
      <c r="H4" s="9"/>
      <c r="I4" s="9"/>
      <c r="J4" s="9"/>
      <c r="K4" s="9"/>
      <c r="L4" s="9"/>
      <c r="M4" s="9"/>
      <c r="N4" s="9"/>
      <c r="O4" s="9"/>
      <c r="P4" s="9"/>
      <c r="Q4" s="9"/>
      <c r="R4" s="9"/>
      <c r="S4" s="9"/>
      <c r="T4" s="9"/>
      <c r="U4" s="9"/>
      <c r="V4" s="9"/>
      <c r="W4" s="9"/>
      <c r="X4" s="9"/>
      <c r="Y4" s="9"/>
      <c r="Z4" s="9"/>
      <c r="AA4" s="9"/>
    </row>
    <row r="5" spans="1:27" x14ac:dyDescent="0.6">
      <c r="A5" s="9"/>
      <c r="B5" s="10" t="s">
        <v>0</v>
      </c>
      <c r="C5" s="12">
        <v>60</v>
      </c>
      <c r="D5" s="9"/>
      <c r="E5" s="9"/>
      <c r="F5" s="9"/>
      <c r="G5" s="9"/>
      <c r="H5" s="9"/>
      <c r="I5" s="9"/>
      <c r="J5" s="9"/>
      <c r="K5" s="9"/>
      <c r="L5" s="9"/>
      <c r="M5" s="9"/>
      <c r="N5" s="9"/>
      <c r="O5" s="9"/>
      <c r="P5" s="9"/>
      <c r="Q5" s="9"/>
      <c r="R5" s="9"/>
      <c r="S5" s="9"/>
      <c r="T5" s="9"/>
      <c r="U5" s="9"/>
      <c r="V5" s="9"/>
      <c r="W5" s="9"/>
      <c r="X5" s="9"/>
      <c r="Y5" s="9"/>
      <c r="Z5" s="9"/>
      <c r="AA5" s="9"/>
    </row>
    <row r="6" spans="1:27" x14ac:dyDescent="0.6">
      <c r="A6" s="9"/>
      <c r="B6" s="9"/>
      <c r="C6" s="9"/>
      <c r="D6" s="9"/>
      <c r="E6" s="10"/>
      <c r="F6" s="9"/>
      <c r="G6" s="9"/>
      <c r="H6" s="9"/>
      <c r="I6" s="9"/>
      <c r="J6" s="9"/>
      <c r="K6" s="9"/>
      <c r="L6" s="9"/>
      <c r="M6" s="9"/>
      <c r="N6" s="9"/>
      <c r="O6" s="9"/>
      <c r="P6" s="9"/>
      <c r="Q6" s="9"/>
      <c r="R6" s="9"/>
      <c r="S6" s="9"/>
      <c r="T6" s="9"/>
      <c r="U6" s="9"/>
      <c r="V6" s="9"/>
      <c r="W6" s="9"/>
      <c r="X6" s="9"/>
      <c r="Y6" s="9"/>
      <c r="Z6" s="9"/>
      <c r="AA6" s="9"/>
    </row>
    <row r="7" spans="1:27" s="19" customFormat="1" x14ac:dyDescent="0.6">
      <c r="E7" s="51"/>
      <c r="AA7" s="52"/>
    </row>
    <row r="8" spans="1:27" s="19" customFormat="1" x14ac:dyDescent="0.6"/>
    <row r="9" spans="1:27" s="19" customFormat="1" x14ac:dyDescent="0.6"/>
    <row r="10" spans="1:27" s="19" customFormat="1" x14ac:dyDescent="0.6"/>
    <row r="11" spans="1:27" s="19" customFormat="1" x14ac:dyDescent="0.6"/>
    <row r="12" spans="1:27" s="19" customFormat="1" x14ac:dyDescent="0.6"/>
    <row r="13" spans="1:27" s="19" customFormat="1" x14ac:dyDescent="0.6"/>
    <row r="14" spans="1:27" s="19" customFormat="1" x14ac:dyDescent="0.6"/>
    <row r="15" spans="1:27" s="19" customFormat="1" x14ac:dyDescent="0.6"/>
    <row r="16" spans="1:27" s="19" customFormat="1" x14ac:dyDescent="0.6"/>
    <row r="17" s="19" customFormat="1" x14ac:dyDescent="0.6"/>
    <row r="18" s="19" customFormat="1" x14ac:dyDescent="0.6"/>
    <row r="19" s="19" customFormat="1" x14ac:dyDescent="0.6"/>
    <row r="20" s="19" customFormat="1" x14ac:dyDescent="0.6"/>
    <row r="21" s="19" customFormat="1" x14ac:dyDescent="0.6"/>
    <row r="22" s="19" customFormat="1" x14ac:dyDescent="0.6"/>
    <row r="23" s="19" customFormat="1" x14ac:dyDescent="0.6"/>
    <row r="24" s="19" customFormat="1" x14ac:dyDescent="0.6"/>
    <row r="25" s="19" customFormat="1" x14ac:dyDescent="0.6"/>
    <row r="26" s="19" customFormat="1" x14ac:dyDescent="0.6"/>
    <row r="27" s="19" customFormat="1" x14ac:dyDescent="0.6"/>
    <row r="28" s="19" customFormat="1" x14ac:dyDescent="0.6"/>
    <row r="29" s="19" customFormat="1" x14ac:dyDescent="0.6"/>
    <row r="30" s="19" customFormat="1" x14ac:dyDescent="0.6"/>
    <row r="31" s="19" customFormat="1" x14ac:dyDescent="0.6"/>
    <row r="32" s="19" customFormat="1" x14ac:dyDescent="0.6"/>
  </sheetData>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2:BL27"/>
  <sheetViews>
    <sheetView showGridLines="0" zoomScale="80" zoomScaleNormal="80" zoomScaleSheetLayoutView="75" workbookViewId="0">
      <selection activeCell="D36" sqref="D36"/>
    </sheetView>
  </sheetViews>
  <sheetFormatPr defaultColWidth="9.1328125" defaultRowHeight="15.4" outlineLevelRow="1" x14ac:dyDescent="0.6"/>
  <cols>
    <col min="1" max="1" width="2.265625" style="10" customWidth="1"/>
    <col min="2" max="2" width="39.86328125" style="3" customWidth="1"/>
    <col min="3" max="3" width="14.59765625" style="3" customWidth="1"/>
    <col min="4" max="4" width="9.86328125" style="3" customWidth="1"/>
    <col min="5" max="19" width="8.73046875" style="3" customWidth="1"/>
    <col min="20" max="63" width="9.1328125" style="10"/>
    <col min="64" max="64" width="13.3984375" style="10" bestFit="1" customWidth="1"/>
    <col min="65" max="16384" width="9.1328125" style="10"/>
  </cols>
  <sheetData>
    <row r="2" spans="2:64" x14ac:dyDescent="0.6">
      <c r="B2" s="2" t="s">
        <v>400</v>
      </c>
      <c r="C2" s="34"/>
      <c r="D2" s="34"/>
      <c r="E2" s="34"/>
      <c r="F2" s="34"/>
    </row>
    <row r="4" spans="2:64" x14ac:dyDescent="0.6">
      <c r="D4" s="3">
        <v>1</v>
      </c>
      <c r="E4" s="3">
        <f>+D4+1</f>
        <v>2</v>
      </c>
      <c r="F4" s="3">
        <f t="shared" ref="F4:BK5" si="0">+E4+1</f>
        <v>3</v>
      </c>
      <c r="G4" s="3">
        <f t="shared" si="0"/>
        <v>4</v>
      </c>
      <c r="H4" s="3">
        <f t="shared" si="0"/>
        <v>5</v>
      </c>
      <c r="I4" s="3">
        <f t="shared" si="0"/>
        <v>6</v>
      </c>
      <c r="J4" s="3">
        <f t="shared" si="0"/>
        <v>7</v>
      </c>
      <c r="K4" s="3">
        <f t="shared" si="0"/>
        <v>8</v>
      </c>
      <c r="L4" s="3">
        <f t="shared" si="0"/>
        <v>9</v>
      </c>
      <c r="M4" s="3">
        <f t="shared" si="0"/>
        <v>10</v>
      </c>
      <c r="N4" s="3">
        <f t="shared" si="0"/>
        <v>11</v>
      </c>
      <c r="O4" s="3">
        <f t="shared" si="0"/>
        <v>12</v>
      </c>
      <c r="P4" s="3">
        <f t="shared" si="0"/>
        <v>13</v>
      </c>
      <c r="Q4" s="3">
        <f t="shared" si="0"/>
        <v>14</v>
      </c>
      <c r="R4" s="3">
        <f t="shared" si="0"/>
        <v>15</v>
      </c>
      <c r="S4" s="3">
        <f t="shared" si="0"/>
        <v>16</v>
      </c>
      <c r="T4" s="3">
        <f t="shared" si="0"/>
        <v>17</v>
      </c>
      <c r="U4" s="3">
        <f t="shared" si="0"/>
        <v>18</v>
      </c>
      <c r="V4" s="3">
        <f t="shared" si="0"/>
        <v>19</v>
      </c>
      <c r="W4" s="3">
        <f t="shared" si="0"/>
        <v>20</v>
      </c>
      <c r="X4" s="3">
        <f t="shared" si="0"/>
        <v>21</v>
      </c>
      <c r="Y4" s="3">
        <f t="shared" si="0"/>
        <v>22</v>
      </c>
      <c r="Z4" s="3">
        <f t="shared" si="0"/>
        <v>23</v>
      </c>
      <c r="AA4" s="3">
        <f t="shared" si="0"/>
        <v>24</v>
      </c>
      <c r="AB4" s="3">
        <f t="shared" si="0"/>
        <v>25</v>
      </c>
      <c r="AC4" s="3">
        <f t="shared" si="0"/>
        <v>26</v>
      </c>
      <c r="AD4" s="3">
        <f t="shared" si="0"/>
        <v>27</v>
      </c>
      <c r="AE4" s="3">
        <f t="shared" si="0"/>
        <v>28</v>
      </c>
      <c r="AF4" s="3">
        <f t="shared" si="0"/>
        <v>29</v>
      </c>
      <c r="AG4" s="3">
        <f t="shared" si="0"/>
        <v>30</v>
      </c>
      <c r="AH4" s="3">
        <f t="shared" si="0"/>
        <v>31</v>
      </c>
      <c r="AI4" s="3">
        <f t="shared" si="0"/>
        <v>32</v>
      </c>
      <c r="AJ4" s="3">
        <f t="shared" si="0"/>
        <v>33</v>
      </c>
      <c r="AK4" s="3">
        <f t="shared" si="0"/>
        <v>34</v>
      </c>
      <c r="AL4" s="3">
        <f t="shared" si="0"/>
        <v>35</v>
      </c>
      <c r="AM4" s="3">
        <f t="shared" si="0"/>
        <v>36</v>
      </c>
      <c r="AN4" s="3">
        <f t="shared" si="0"/>
        <v>37</v>
      </c>
      <c r="AO4" s="3">
        <f t="shared" si="0"/>
        <v>38</v>
      </c>
      <c r="AP4" s="3">
        <f t="shared" si="0"/>
        <v>39</v>
      </c>
      <c r="AQ4" s="3">
        <f t="shared" si="0"/>
        <v>40</v>
      </c>
      <c r="AR4" s="3">
        <f t="shared" si="0"/>
        <v>41</v>
      </c>
      <c r="AS4" s="3">
        <f t="shared" si="0"/>
        <v>42</v>
      </c>
      <c r="AT4" s="3">
        <f t="shared" si="0"/>
        <v>43</v>
      </c>
      <c r="AU4" s="3">
        <f t="shared" si="0"/>
        <v>44</v>
      </c>
      <c r="AV4" s="3">
        <f t="shared" si="0"/>
        <v>45</v>
      </c>
      <c r="AW4" s="3">
        <f t="shared" si="0"/>
        <v>46</v>
      </c>
      <c r="AX4" s="3">
        <f t="shared" si="0"/>
        <v>47</v>
      </c>
      <c r="AY4" s="3">
        <f t="shared" si="0"/>
        <v>48</v>
      </c>
      <c r="AZ4" s="3">
        <f t="shared" si="0"/>
        <v>49</v>
      </c>
      <c r="BA4" s="3">
        <f t="shared" si="0"/>
        <v>50</v>
      </c>
      <c r="BB4" s="3">
        <f t="shared" si="0"/>
        <v>51</v>
      </c>
      <c r="BC4" s="3">
        <f t="shared" si="0"/>
        <v>52</v>
      </c>
      <c r="BD4" s="3">
        <f t="shared" si="0"/>
        <v>53</v>
      </c>
      <c r="BE4" s="3">
        <f t="shared" si="0"/>
        <v>54</v>
      </c>
      <c r="BF4" s="3">
        <f t="shared" si="0"/>
        <v>55</v>
      </c>
      <c r="BG4" s="3">
        <f t="shared" si="0"/>
        <v>56</v>
      </c>
      <c r="BH4" s="3">
        <f t="shared" si="0"/>
        <v>57</v>
      </c>
      <c r="BI4" s="3">
        <f t="shared" si="0"/>
        <v>58</v>
      </c>
      <c r="BJ4" s="3">
        <f t="shared" si="0"/>
        <v>59</v>
      </c>
      <c r="BK4" s="3">
        <f t="shared" si="0"/>
        <v>60</v>
      </c>
    </row>
    <row r="5" spans="2:64" x14ac:dyDescent="0.6">
      <c r="C5" s="3" t="s">
        <v>5</v>
      </c>
      <c r="D5" s="21">
        <v>2017</v>
      </c>
      <c r="E5" s="21">
        <f>+D5+1</f>
        <v>2018</v>
      </c>
      <c r="F5" s="21">
        <f t="shared" si="0"/>
        <v>2019</v>
      </c>
      <c r="G5" s="21">
        <f t="shared" si="0"/>
        <v>2020</v>
      </c>
      <c r="H5" s="21">
        <f t="shared" si="0"/>
        <v>2021</v>
      </c>
      <c r="I5" s="21">
        <f t="shared" si="0"/>
        <v>2022</v>
      </c>
      <c r="J5" s="21">
        <f t="shared" si="0"/>
        <v>2023</v>
      </c>
      <c r="K5" s="21">
        <f t="shared" si="0"/>
        <v>2024</v>
      </c>
      <c r="L5" s="21">
        <f t="shared" si="0"/>
        <v>2025</v>
      </c>
      <c r="M5" s="21">
        <f t="shared" si="0"/>
        <v>2026</v>
      </c>
      <c r="N5" s="21">
        <f t="shared" si="0"/>
        <v>2027</v>
      </c>
      <c r="O5" s="21">
        <f t="shared" si="0"/>
        <v>2028</v>
      </c>
      <c r="P5" s="21">
        <f t="shared" si="0"/>
        <v>2029</v>
      </c>
      <c r="Q5" s="21">
        <f t="shared" si="0"/>
        <v>2030</v>
      </c>
      <c r="R5" s="21">
        <f t="shared" si="0"/>
        <v>2031</v>
      </c>
      <c r="S5" s="21">
        <f t="shared" si="0"/>
        <v>2032</v>
      </c>
      <c r="T5" s="21">
        <f t="shared" si="0"/>
        <v>2033</v>
      </c>
      <c r="U5" s="21">
        <f t="shared" si="0"/>
        <v>2034</v>
      </c>
      <c r="V5" s="21">
        <f t="shared" si="0"/>
        <v>2035</v>
      </c>
      <c r="W5" s="21">
        <f t="shared" si="0"/>
        <v>2036</v>
      </c>
      <c r="X5" s="21">
        <f t="shared" si="0"/>
        <v>2037</v>
      </c>
      <c r="Y5" s="21">
        <f t="shared" si="0"/>
        <v>2038</v>
      </c>
      <c r="Z5" s="21">
        <f t="shared" si="0"/>
        <v>2039</v>
      </c>
      <c r="AA5" s="21">
        <f t="shared" si="0"/>
        <v>2040</v>
      </c>
      <c r="AB5" s="21">
        <f t="shared" si="0"/>
        <v>2041</v>
      </c>
      <c r="AC5" s="21">
        <f t="shared" si="0"/>
        <v>2042</v>
      </c>
      <c r="AD5" s="21">
        <f t="shared" si="0"/>
        <v>2043</v>
      </c>
      <c r="AE5" s="21">
        <f t="shared" si="0"/>
        <v>2044</v>
      </c>
      <c r="AF5" s="21">
        <f t="shared" si="0"/>
        <v>2045</v>
      </c>
      <c r="AG5" s="21">
        <f t="shared" si="0"/>
        <v>2046</v>
      </c>
      <c r="AH5" s="21">
        <f t="shared" si="0"/>
        <v>2047</v>
      </c>
      <c r="AI5" s="21">
        <f t="shared" si="0"/>
        <v>2048</v>
      </c>
      <c r="AJ5" s="21">
        <f t="shared" si="0"/>
        <v>2049</v>
      </c>
      <c r="AK5" s="21">
        <f t="shared" si="0"/>
        <v>2050</v>
      </c>
      <c r="AL5" s="21">
        <f t="shared" si="0"/>
        <v>2051</v>
      </c>
      <c r="AM5" s="21">
        <f t="shared" si="0"/>
        <v>2052</v>
      </c>
      <c r="AN5" s="21">
        <f t="shared" si="0"/>
        <v>2053</v>
      </c>
      <c r="AO5" s="21">
        <f t="shared" si="0"/>
        <v>2054</v>
      </c>
      <c r="AP5" s="21">
        <f t="shared" si="0"/>
        <v>2055</v>
      </c>
      <c r="AQ5" s="21">
        <f t="shared" si="0"/>
        <v>2056</v>
      </c>
      <c r="AR5" s="21">
        <f t="shared" si="0"/>
        <v>2057</v>
      </c>
      <c r="AS5" s="21">
        <f t="shared" si="0"/>
        <v>2058</v>
      </c>
      <c r="AT5" s="21">
        <f t="shared" si="0"/>
        <v>2059</v>
      </c>
      <c r="AU5" s="21">
        <f t="shared" si="0"/>
        <v>2060</v>
      </c>
      <c r="AV5" s="21">
        <f t="shared" si="0"/>
        <v>2061</v>
      </c>
      <c r="AW5" s="21">
        <f t="shared" si="0"/>
        <v>2062</v>
      </c>
      <c r="AX5" s="21">
        <f t="shared" si="0"/>
        <v>2063</v>
      </c>
      <c r="AY5" s="21">
        <f t="shared" si="0"/>
        <v>2064</v>
      </c>
      <c r="AZ5" s="21">
        <f t="shared" si="0"/>
        <v>2065</v>
      </c>
      <c r="BA5" s="21">
        <f t="shared" si="0"/>
        <v>2066</v>
      </c>
      <c r="BB5" s="21">
        <f t="shared" si="0"/>
        <v>2067</v>
      </c>
      <c r="BC5" s="21">
        <f t="shared" si="0"/>
        <v>2068</v>
      </c>
      <c r="BD5" s="21">
        <f t="shared" si="0"/>
        <v>2069</v>
      </c>
      <c r="BE5" s="21">
        <f t="shared" si="0"/>
        <v>2070</v>
      </c>
      <c r="BF5" s="21">
        <f t="shared" si="0"/>
        <v>2071</v>
      </c>
      <c r="BG5" s="21">
        <f t="shared" si="0"/>
        <v>2072</v>
      </c>
      <c r="BH5" s="21">
        <f t="shared" si="0"/>
        <v>2073</v>
      </c>
      <c r="BI5" s="21">
        <f t="shared" si="0"/>
        <v>2074</v>
      </c>
      <c r="BJ5" s="21">
        <f t="shared" si="0"/>
        <v>2075</v>
      </c>
      <c r="BK5" s="21">
        <f t="shared" si="0"/>
        <v>2076</v>
      </c>
      <c r="BL5" s="10" t="s">
        <v>386</v>
      </c>
    </row>
    <row r="6" spans="2:64" ht="15" customHeight="1" x14ac:dyDescent="0.6">
      <c r="B6" s="17" t="str">
        <f>+'Workings 1'!B6</f>
        <v>Tunnel Construction (revenue impact)</v>
      </c>
      <c r="C6" s="17" t="s">
        <v>4</v>
      </c>
      <c r="D6" s="18">
        <f>-'Workings 1'!J11-'Workings 1'!G11-'Workings 1'!H11-'Workings 1'!I11</f>
        <v>-11.3940127555757</v>
      </c>
      <c r="E6" s="18">
        <f>-'Workings 1'!K11</f>
        <v>-6.9365048948997217</v>
      </c>
      <c r="F6" s="18">
        <f>-'Workings 1'!L11</f>
        <v>-8.2797620429028278</v>
      </c>
      <c r="G6" s="18">
        <f>-'Workings 1'!M11</f>
        <v>-6.2531697758769145</v>
      </c>
      <c r="H6" s="18">
        <f>-'Workings 1'!N11</f>
        <v>-6.3631531885573906</v>
      </c>
      <c r="I6" s="18">
        <f>-'Workings 1'!O11</f>
        <v>-9.4398065282157724</v>
      </c>
      <c r="J6" s="18">
        <f>-'Workings 1'!P11</f>
        <v>-9.2922330642587454</v>
      </c>
      <c r="K6" s="18">
        <f>-'Workings 1'!Q11</f>
        <v>-9.1446596003017202</v>
      </c>
      <c r="L6" s="18">
        <f>-'Workings 1'!R11</f>
        <v>-8.997086136344695</v>
      </c>
      <c r="M6" s="18">
        <f>-'Workings 1'!S11</f>
        <v>-8.849512672387668</v>
      </c>
      <c r="N6" s="18">
        <f>-'Workings 1'!T11</f>
        <v>-8.7019392084306411</v>
      </c>
      <c r="O6" s="18">
        <f>-'Workings 1'!U11</f>
        <v>-8.5543657444736159</v>
      </c>
      <c r="P6" s="18">
        <f>-'Workings 1'!V11</f>
        <v>-8.4067922805165907</v>
      </c>
      <c r="Q6" s="18">
        <f>-'Workings 1'!W11</f>
        <v>-8.2592188165595637</v>
      </c>
      <c r="R6" s="18">
        <f>-'Workings 1'!X11</f>
        <v>-8.1116453526025367</v>
      </c>
      <c r="S6" s="18">
        <f>-'Workings 1'!Y11</f>
        <v>-7.9640718886455115</v>
      </c>
      <c r="T6" s="18">
        <f>-'Workings 1'!Z11</f>
        <v>-7.8164984246884854</v>
      </c>
      <c r="U6" s="18">
        <f>-'Workings 1'!AA11</f>
        <v>-7.6689249607314594</v>
      </c>
      <c r="V6" s="18">
        <f>-'Workings 1'!AB11</f>
        <v>-7.5213514967744333</v>
      </c>
      <c r="W6" s="18">
        <f>-'Workings 1'!AC11</f>
        <v>-7.3737780328174072</v>
      </c>
      <c r="X6" s="18">
        <f>-'Workings 1'!AD11</f>
        <v>-7.226204568860382</v>
      </c>
      <c r="Y6" s="18">
        <f>-'Workings 1'!AE11</f>
        <v>-7.078631104903355</v>
      </c>
      <c r="Z6" s="18">
        <f>-'Workings 1'!AF11</f>
        <v>-6.9310576409463289</v>
      </c>
      <c r="AA6" s="18">
        <f>-'Workings 1'!AG11</f>
        <v>-6.7834841769893028</v>
      </c>
      <c r="AB6" s="18">
        <f>-'Workings 1'!AH11</f>
        <v>-6.6359107130322776</v>
      </c>
      <c r="AC6" s="18">
        <f>-'Workings 1'!AI11</f>
        <v>-6.4883372490752507</v>
      </c>
      <c r="AD6" s="18">
        <f>-'Workings 1'!AJ11</f>
        <v>-6.3407637851182237</v>
      </c>
      <c r="AE6" s="18">
        <f>-'Workings 1'!AK11</f>
        <v>-6.1931903211611994</v>
      </c>
      <c r="AF6" s="18">
        <f>-'Workings 1'!AL11</f>
        <v>-6.0456168572041733</v>
      </c>
      <c r="AG6" s="18">
        <f>-'Workings 1'!AM11</f>
        <v>-5.8980433932471463</v>
      </c>
      <c r="AH6" s="18">
        <f>-'Workings 1'!AN11</f>
        <v>-5.7504699292901202</v>
      </c>
      <c r="AI6" s="18">
        <f>-'Workings 1'!AO11</f>
        <v>-5.602896465333095</v>
      </c>
      <c r="AJ6" s="18">
        <f>-'Workings 1'!AP11</f>
        <v>-5.455323001376069</v>
      </c>
      <c r="AK6" s="18">
        <f>-'Workings 1'!AQ11</f>
        <v>-5.307749537419042</v>
      </c>
      <c r="AL6" s="18">
        <f>-'Workings 1'!AR11</f>
        <v>-5.1601760734620168</v>
      </c>
      <c r="AM6" s="18">
        <f>-'Workings 1'!AS11</f>
        <v>-5.0126026095049907</v>
      </c>
      <c r="AN6" s="18">
        <f>-'Workings 1'!AT11</f>
        <v>-4.8650291455479646</v>
      </c>
      <c r="AO6" s="18">
        <f>-'Workings 1'!AU11</f>
        <v>-4.7174556815909385</v>
      </c>
      <c r="AP6" s="18">
        <f>-'Workings 1'!AV11</f>
        <v>-4.5698822176339124</v>
      </c>
      <c r="AQ6" s="18">
        <f>-'Workings 1'!AW11</f>
        <v>-4.4223087536768864</v>
      </c>
      <c r="AR6" s="18">
        <f>-'Workings 1'!AX11</f>
        <v>-4.2747352897198603</v>
      </c>
      <c r="AS6" s="18">
        <f>-'Workings 1'!AY11</f>
        <v>-4.1271618257628342</v>
      </c>
      <c r="AT6" s="18">
        <f>-'Workings 1'!AZ11</f>
        <v>-3.9795883618058014</v>
      </c>
      <c r="AU6" s="18">
        <f>-'Workings 1'!BA11</f>
        <v>-3.6318749417468474</v>
      </c>
      <c r="AV6" s="18">
        <f>-'Workings 1'!BB11</f>
        <v>-3.3834176224777477</v>
      </c>
      <c r="AW6" s="18">
        <f>-'Workings 1'!BC11</f>
        <v>-2.3495972792460607</v>
      </c>
      <c r="AX6" s="18">
        <f>-'Workings 1'!BD11</f>
        <v>-1.4394421832404594</v>
      </c>
      <c r="AY6" s="18">
        <f>-'Workings 1'!BE11</f>
        <v>-0.73510129672751345</v>
      </c>
      <c r="AZ6" s="18">
        <f>-'Workings 1'!BF11</f>
        <v>-4.0489859699847225E-2</v>
      </c>
      <c r="BA6" s="18">
        <f>-'Workings 1'!BG11</f>
        <v>0</v>
      </c>
      <c r="BB6" s="18">
        <f>-'Workings 1'!BH11</f>
        <v>0</v>
      </c>
      <c r="BC6" s="18">
        <f>-'Workings 1'!BI11</f>
        <v>0</v>
      </c>
      <c r="BD6" s="18">
        <f>-'Workings 1'!BJ11</f>
        <v>0</v>
      </c>
      <c r="BE6" s="18">
        <f>-'Workings 1'!BK11</f>
        <v>0</v>
      </c>
      <c r="BF6" s="18">
        <f>-'Workings 1'!BL11</f>
        <v>0</v>
      </c>
      <c r="BG6" s="18">
        <f>-'Workings 1'!BM11</f>
        <v>0</v>
      </c>
      <c r="BH6" s="18">
        <f>-'Workings 1'!BN11</f>
        <v>0</v>
      </c>
      <c r="BI6" s="18">
        <f>-'Workings 1'!BO11</f>
        <v>0</v>
      </c>
      <c r="BJ6" s="18">
        <f>-'Workings 1'!BP11</f>
        <v>0</v>
      </c>
      <c r="BK6" s="18">
        <f>-'Workings 1'!BQ11</f>
        <v>0</v>
      </c>
      <c r="BL6" s="33">
        <f>SUM(D6:BJ6)</f>
        <v>-305.77502875136099</v>
      </c>
    </row>
    <row r="7" spans="2:64" x14ac:dyDescent="0.6">
      <c r="B7" s="17" t="str">
        <f>+'Workings 1'!B13</f>
        <v>Operational / Maintenance</v>
      </c>
      <c r="C7" s="17" t="s">
        <v>4</v>
      </c>
      <c r="D7" s="18">
        <f>-'Workings 1'!$F$15</f>
        <v>-0.36784</v>
      </c>
      <c r="E7" s="18">
        <f>-'Workings 1'!$F$15</f>
        <v>-0.36784</v>
      </c>
      <c r="F7" s="18">
        <f>-'Workings 1'!$F$15</f>
        <v>-0.36784</v>
      </c>
      <c r="G7" s="18">
        <f>-'Workings 1'!$F$15</f>
        <v>-0.36784</v>
      </c>
      <c r="H7" s="18">
        <f>-'Workings 1'!$F$15</f>
        <v>-0.36784</v>
      </c>
      <c r="I7" s="18">
        <f>-'Workings 1'!$F$15</f>
        <v>-0.36784</v>
      </c>
      <c r="J7" s="18">
        <f>-'Workings 1'!$F$19</f>
        <v>-7.3374999999999996E-2</v>
      </c>
      <c r="K7" s="18">
        <f>-'Workings 1'!$F$19</f>
        <v>-7.3374999999999996E-2</v>
      </c>
      <c r="L7" s="18">
        <f>-'Workings 1'!$F$19</f>
        <v>-7.3374999999999996E-2</v>
      </c>
      <c r="M7" s="18">
        <f>-'Workings 1'!$F$19</f>
        <v>-7.3374999999999996E-2</v>
      </c>
      <c r="N7" s="18">
        <f>-'Workings 1'!$F$19</f>
        <v>-7.3374999999999996E-2</v>
      </c>
      <c r="O7" s="18">
        <f>-'Workings 1'!$F$19</f>
        <v>-7.3374999999999996E-2</v>
      </c>
      <c r="P7" s="18">
        <f>-'Workings 1'!$F$19</f>
        <v>-7.3374999999999996E-2</v>
      </c>
      <c r="Q7" s="18">
        <f>-'Workings 1'!$F$19</f>
        <v>-7.3374999999999996E-2</v>
      </c>
      <c r="R7" s="18">
        <f>-'Workings 1'!$F$19</f>
        <v>-7.3374999999999996E-2</v>
      </c>
      <c r="S7" s="18">
        <f>-'Workings 1'!$F$19</f>
        <v>-7.3374999999999996E-2</v>
      </c>
      <c r="T7" s="18">
        <f>-'Workings 1'!$F$19</f>
        <v>-7.3374999999999996E-2</v>
      </c>
      <c r="U7" s="18">
        <f>-'Workings 1'!$F$19</f>
        <v>-7.3374999999999996E-2</v>
      </c>
      <c r="V7" s="18">
        <f>-'Workings 1'!$F$19</f>
        <v>-7.3374999999999996E-2</v>
      </c>
      <c r="W7" s="18">
        <f>-'Workings 1'!$F$19</f>
        <v>-7.3374999999999996E-2</v>
      </c>
      <c r="X7" s="18">
        <f>-'Workings 1'!$F$19</f>
        <v>-7.3374999999999996E-2</v>
      </c>
      <c r="Y7" s="18">
        <f>-'Workings 1'!$F$19</f>
        <v>-7.3374999999999996E-2</v>
      </c>
      <c r="Z7" s="18">
        <f>-'Workings 1'!$F$19</f>
        <v>-7.3374999999999996E-2</v>
      </c>
      <c r="AA7" s="18">
        <f>-'Workings 1'!$F$19</f>
        <v>-7.3374999999999996E-2</v>
      </c>
      <c r="AB7" s="18">
        <f>-'Workings 1'!$F$19</f>
        <v>-7.3374999999999996E-2</v>
      </c>
      <c r="AC7" s="18">
        <f>-'Workings 1'!$F$19</f>
        <v>-7.3374999999999996E-2</v>
      </c>
      <c r="AD7" s="18">
        <f>-'Workings 1'!$F$19</f>
        <v>-7.3374999999999996E-2</v>
      </c>
      <c r="AE7" s="18">
        <f>-'Workings 1'!$F$19</f>
        <v>-7.3374999999999996E-2</v>
      </c>
      <c r="AF7" s="18">
        <f>-'Workings 1'!$F$19</f>
        <v>-7.3374999999999996E-2</v>
      </c>
      <c r="AG7" s="18">
        <f>-'Workings 1'!$F$19</f>
        <v>-7.3374999999999996E-2</v>
      </c>
      <c r="AH7" s="18">
        <f>-'Workings 1'!$F$19</f>
        <v>-7.3374999999999996E-2</v>
      </c>
      <c r="AI7" s="18">
        <f>-'Workings 1'!$F$19</f>
        <v>-7.3374999999999996E-2</v>
      </c>
      <c r="AJ7" s="18">
        <f>-'Workings 1'!$F$19</f>
        <v>-7.3374999999999996E-2</v>
      </c>
      <c r="AK7" s="18">
        <f>-'Workings 1'!$F$19</f>
        <v>-7.3374999999999996E-2</v>
      </c>
      <c r="AL7" s="18">
        <f>-'Workings 1'!$F$19</f>
        <v>-7.3374999999999996E-2</v>
      </c>
      <c r="AM7" s="18">
        <f>-'Workings 1'!$F$19</f>
        <v>-7.3374999999999996E-2</v>
      </c>
      <c r="AN7" s="18">
        <f>-'Workings 1'!$F$19</f>
        <v>-7.3374999999999996E-2</v>
      </c>
      <c r="AO7" s="18">
        <f>-'Workings 1'!$F$19</f>
        <v>-7.3374999999999996E-2</v>
      </c>
      <c r="AP7" s="18">
        <f>-'Workings 1'!$F$19</f>
        <v>-7.3374999999999996E-2</v>
      </c>
      <c r="AQ7" s="18">
        <f>-'Workings 1'!$F$19</f>
        <v>-7.3374999999999996E-2</v>
      </c>
      <c r="AR7" s="18">
        <f>-'Workings 1'!$F$19</f>
        <v>-7.3374999999999996E-2</v>
      </c>
      <c r="AS7" s="18">
        <f>-'Workings 1'!$F$19</f>
        <v>-7.3374999999999996E-2</v>
      </c>
      <c r="AT7" s="18">
        <f>-'Workings 1'!$F$19</f>
        <v>-7.3374999999999996E-2</v>
      </c>
      <c r="AU7" s="18">
        <f>-'Workings 1'!$F$19</f>
        <v>-7.3374999999999996E-2</v>
      </c>
      <c r="AV7" s="18">
        <f>-'Workings 1'!$F$19</f>
        <v>-7.3374999999999996E-2</v>
      </c>
      <c r="AW7" s="18">
        <f>-'Workings 1'!$F$19</f>
        <v>-7.3374999999999996E-2</v>
      </c>
      <c r="AX7" s="18">
        <f>-'Workings 1'!$F$19</f>
        <v>-7.3374999999999996E-2</v>
      </c>
      <c r="AY7" s="18">
        <f>-'Workings 1'!$F$19</f>
        <v>-7.3374999999999996E-2</v>
      </c>
      <c r="AZ7" s="18">
        <f>-'Workings 1'!$F$19</f>
        <v>-7.3374999999999996E-2</v>
      </c>
      <c r="BA7" s="18">
        <f>-'Workings 1'!$F$19</f>
        <v>-7.3374999999999996E-2</v>
      </c>
      <c r="BB7" s="18">
        <f>-'Workings 1'!$F$19</f>
        <v>-7.3374999999999996E-2</v>
      </c>
      <c r="BC7" s="18">
        <f>-'Workings 1'!$F$19</f>
        <v>-7.3374999999999996E-2</v>
      </c>
      <c r="BD7" s="18">
        <f>-'Workings 1'!$F$19</f>
        <v>-7.3374999999999996E-2</v>
      </c>
      <c r="BE7" s="18">
        <f>-'Workings 1'!$F$19</f>
        <v>-7.3374999999999996E-2</v>
      </c>
      <c r="BF7" s="18">
        <f>-'Workings 1'!$F$19</f>
        <v>-7.3374999999999996E-2</v>
      </c>
      <c r="BG7" s="18">
        <f>-'Workings 1'!$F$19</f>
        <v>-7.3374999999999996E-2</v>
      </c>
      <c r="BH7" s="18">
        <f>-'Workings 1'!$F$19</f>
        <v>-7.3374999999999996E-2</v>
      </c>
      <c r="BI7" s="18">
        <f>-'Workings 1'!$F$19</f>
        <v>-7.3374999999999996E-2</v>
      </c>
      <c r="BJ7" s="18">
        <f>-'Workings 1'!$F$19</f>
        <v>-7.3374999999999996E-2</v>
      </c>
      <c r="BK7" s="18">
        <f>-'Workings 1'!$F$19</f>
        <v>-7.3374999999999996E-2</v>
      </c>
      <c r="BL7" s="33">
        <f>SUM(D7:BJ7)</f>
        <v>-6.0959150000000113</v>
      </c>
    </row>
    <row r="8" spans="2:64" x14ac:dyDescent="0.6">
      <c r="B8" s="17" t="str">
        <f>+'Workings 1'!B21</f>
        <v>Routine Frond Mattress Replacement</v>
      </c>
      <c r="C8" s="17" t="s">
        <v>4</v>
      </c>
      <c r="D8" s="18">
        <f>-'Workings 1'!$F$25</f>
        <v>-0.52117405104680203</v>
      </c>
      <c r="E8" s="18">
        <f>-'Workings 1'!$F$25</f>
        <v>-0.52117405104680203</v>
      </c>
      <c r="F8" s="18">
        <f>-'Workings 1'!$F$25</f>
        <v>-0.52117405104680203</v>
      </c>
      <c r="G8" s="18">
        <f>-'Workings 1'!$F$25</f>
        <v>-0.52117405104680203</v>
      </c>
      <c r="H8" s="18">
        <f>-'Workings 1'!$F$25</f>
        <v>-0.52117405104680203</v>
      </c>
      <c r="I8" s="28"/>
      <c r="J8" s="28"/>
      <c r="K8" s="28"/>
      <c r="L8" s="28"/>
      <c r="M8" s="28"/>
      <c r="N8" s="28"/>
      <c r="O8" s="28"/>
      <c r="P8" s="28"/>
      <c r="Q8" s="28"/>
      <c r="R8" s="28"/>
      <c r="S8" s="28"/>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33">
        <f t="shared" ref="BL8:BL13" si="1">SUM(D8:BJ8)</f>
        <v>-2.6058702552340103</v>
      </c>
    </row>
    <row r="9" spans="2:64" x14ac:dyDescent="0.6">
      <c r="B9" s="17" t="str">
        <f>+'Workings 1'!B27</f>
        <v>Loss of lease</v>
      </c>
      <c r="C9" s="17" t="s">
        <v>4</v>
      </c>
      <c r="D9" s="18">
        <f>-'Workings 1'!$F$27</f>
        <v>0</v>
      </c>
      <c r="E9" s="18">
        <f>-'Workings 1'!$F$27</f>
        <v>0</v>
      </c>
      <c r="F9" s="18">
        <f>-'Workings 1'!$F$27</f>
        <v>0</v>
      </c>
      <c r="G9" s="18">
        <f>-'Workings 1'!$F$27</f>
        <v>0</v>
      </c>
      <c r="H9" s="18">
        <f>-'Workings 1'!$F$27</f>
        <v>0</v>
      </c>
      <c r="I9" s="28"/>
      <c r="J9" s="28"/>
      <c r="K9" s="28"/>
      <c r="L9" s="28"/>
      <c r="M9" s="28"/>
      <c r="N9" s="28"/>
      <c r="O9" s="28"/>
      <c r="P9" s="28"/>
      <c r="Q9" s="28"/>
      <c r="R9" s="28"/>
      <c r="S9" s="28"/>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33">
        <f t="shared" si="1"/>
        <v>0</v>
      </c>
    </row>
    <row r="10" spans="2:64" x14ac:dyDescent="0.6">
      <c r="B10" s="17" t="str">
        <f>+'Workings 1'!B30</f>
        <v>Freespan - &lt;20m section develops</v>
      </c>
      <c r="C10" s="17" t="s">
        <v>4</v>
      </c>
      <c r="D10" s="18">
        <f>-'Workings 1'!$F$34</f>
        <v>-1.0653174151525699</v>
      </c>
      <c r="E10" s="18">
        <f>-'Workings 1'!$F$34</f>
        <v>-1.0653174151525699</v>
      </c>
      <c r="F10" s="18">
        <f>-'Workings 1'!$F$34</f>
        <v>-1.0653174151525699</v>
      </c>
      <c r="G10" s="18">
        <f>-'Workings 1'!$F$34</f>
        <v>-1.0653174151525699</v>
      </c>
      <c r="H10" s="18">
        <f>-'Workings 1'!$F$34</f>
        <v>-1.0653174151525699</v>
      </c>
      <c r="I10" s="28"/>
      <c r="J10" s="28"/>
      <c r="K10" s="28"/>
      <c r="L10" s="28"/>
      <c r="M10" s="28"/>
      <c r="N10" s="28"/>
      <c r="O10" s="28"/>
      <c r="P10" s="28"/>
      <c r="Q10" s="28"/>
      <c r="R10" s="28"/>
      <c r="S10" s="28"/>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33">
        <f t="shared" si="1"/>
        <v>-5.3265870757628502</v>
      </c>
    </row>
    <row r="11" spans="2:64" x14ac:dyDescent="0.6">
      <c r="B11" s="17" t="str">
        <f>+'Workings 1'!B36</f>
        <v>Freespan &gt;20m section develops</v>
      </c>
      <c r="C11" s="17" t="s">
        <v>4</v>
      </c>
      <c r="D11" s="18">
        <f>-'Workings 1'!$F$42-'Workings 1'!$F$45-'Workings 1'!$F$49-'Workings 1'!$F$53</f>
        <v>-5.1782307049439291</v>
      </c>
      <c r="E11" s="18">
        <f>-'Workings 1'!$F$42-'Workings 1'!$F$45-'Workings 1'!$F$49-'Workings 1'!$F$53</f>
        <v>-5.1782307049439291</v>
      </c>
      <c r="F11" s="18">
        <f>-'Workings 1'!$F$42-'Workings 1'!$F$45-'Workings 1'!$F$49-'Workings 1'!$F$53</f>
        <v>-5.1782307049439291</v>
      </c>
      <c r="G11" s="18">
        <f>-'Workings 1'!$F$42-'Workings 1'!$F$45-'Workings 1'!$F$49-'Workings 1'!$F$53</f>
        <v>-5.1782307049439291</v>
      </c>
      <c r="H11" s="18">
        <f>-'Workings 1'!$F$42-'Workings 1'!$F$45-'Workings 1'!$F$49-'Workings 1'!$F$53</f>
        <v>-5.1782307049439291</v>
      </c>
      <c r="I11" s="28"/>
      <c r="J11" s="28"/>
      <c r="K11" s="28"/>
      <c r="L11" s="28"/>
      <c r="M11" s="28"/>
      <c r="N11" s="28"/>
      <c r="O11" s="28"/>
      <c r="P11" s="28"/>
      <c r="Q11" s="28"/>
      <c r="R11" s="28"/>
      <c r="S11" s="28"/>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33">
        <f t="shared" si="1"/>
        <v>-25.891153524719645</v>
      </c>
    </row>
    <row r="12" spans="2:64" x14ac:dyDescent="0.6">
      <c r="B12" s="17" t="str">
        <f>+'Workings 1'!B55</f>
        <v>Freespan &gt;55m section develops</v>
      </c>
      <c r="C12" s="17" t="s">
        <v>4</v>
      </c>
      <c r="D12" s="18">
        <f>-'Workings 1'!$F$61-'Workings 1'!$F$64-'Workings 1'!$F$68-'Workings 1'!$F$72</f>
        <v>-2.1970053651987458</v>
      </c>
      <c r="E12" s="18">
        <f>-'Workings 1'!$F$61-'Workings 1'!$F$64-'Workings 1'!$F$68-'Workings 1'!$F$72</f>
        <v>-2.1970053651987458</v>
      </c>
      <c r="F12" s="18">
        <f>-'Workings 1'!$F$61-'Workings 1'!$F$64-'Workings 1'!$F$68-'Workings 1'!$F$72</f>
        <v>-2.1970053651987458</v>
      </c>
      <c r="G12" s="18">
        <f>-'Workings 1'!$F$61-'Workings 1'!$F$64-'Workings 1'!$F$68-'Workings 1'!$F$72</f>
        <v>-2.1970053651987458</v>
      </c>
      <c r="H12" s="18">
        <f>-'Workings 1'!$F$61-'Workings 1'!$F$64-'Workings 1'!$F$68-'Workings 1'!$F$72</f>
        <v>-2.1970053651987458</v>
      </c>
      <c r="I12" s="28"/>
      <c r="J12" s="28"/>
      <c r="K12" s="28"/>
      <c r="L12" s="28"/>
      <c r="M12" s="28"/>
      <c r="N12" s="28"/>
      <c r="O12" s="28"/>
      <c r="P12" s="28"/>
      <c r="Q12" s="28"/>
      <c r="R12" s="28"/>
      <c r="S12" s="28"/>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33">
        <f t="shared" si="1"/>
        <v>-10.985026825993728</v>
      </c>
    </row>
    <row r="13" spans="2:64" x14ac:dyDescent="0.6">
      <c r="B13" s="17" t="str">
        <f>+'Workings 1'!B75</f>
        <v>Third Party Interference</v>
      </c>
      <c r="C13" s="17" t="s">
        <v>4</v>
      </c>
      <c r="D13" s="18">
        <f>-'Workings 1'!$F$79-'Workings 1'!$F$88-'Workings 1'!$F$92-'Workings 1'!$F$96-'Workings 1'!$F$100-'Workings 1'!$F$104-'Workings 1'!$F$108</f>
        <v>-0.39039172395833338</v>
      </c>
      <c r="E13" s="18">
        <f>-'Workings 1'!$F$79-'Workings 1'!$F$88-'Workings 1'!$F$92-'Workings 1'!$F$96-'Workings 1'!$F$100-'Workings 1'!$F$104-'Workings 1'!$F$108</f>
        <v>-0.39039172395833338</v>
      </c>
      <c r="F13" s="18">
        <f>-'Workings 1'!$F$79-'Workings 1'!$F$88-'Workings 1'!$F$92-'Workings 1'!$F$96-'Workings 1'!$F$100-'Workings 1'!$F$104-'Workings 1'!$F$108</f>
        <v>-0.39039172395833338</v>
      </c>
      <c r="G13" s="18">
        <f>-'Workings 1'!$F$79-'Workings 1'!$F$88-'Workings 1'!$F$92-'Workings 1'!$F$96-'Workings 1'!$F$100-'Workings 1'!$F$104-'Workings 1'!$F$108</f>
        <v>-0.39039172395833338</v>
      </c>
      <c r="H13" s="18">
        <f>-'Workings 1'!$F$79-'Workings 1'!$F$88-'Workings 1'!$F$92-'Workings 1'!$F$96-'Workings 1'!$F$100-'Workings 1'!$F$104-'Workings 1'!$F$108</f>
        <v>-0.39039172395833338</v>
      </c>
      <c r="I13" s="28"/>
      <c r="J13" s="28"/>
      <c r="K13" s="28"/>
      <c r="L13" s="28"/>
      <c r="M13" s="28"/>
      <c r="N13" s="28"/>
      <c r="O13" s="28"/>
      <c r="P13" s="28"/>
      <c r="Q13" s="28"/>
      <c r="R13" s="28"/>
      <c r="S13" s="28"/>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33">
        <f t="shared" si="1"/>
        <v>-1.951958619791667</v>
      </c>
    </row>
    <row r="14" spans="2:64" ht="15.75" thickBot="1" x14ac:dyDescent="0.65">
      <c r="B14" s="17"/>
      <c r="C14" s="17" t="s">
        <v>4</v>
      </c>
      <c r="D14" s="28">
        <v>0</v>
      </c>
      <c r="E14" s="28">
        <v>0</v>
      </c>
      <c r="F14" s="28">
        <v>0</v>
      </c>
      <c r="G14" s="28">
        <v>0</v>
      </c>
      <c r="H14" s="28">
        <v>0</v>
      </c>
      <c r="I14" s="28">
        <v>0</v>
      </c>
      <c r="J14" s="28">
        <v>0</v>
      </c>
      <c r="K14" s="28">
        <v>0</v>
      </c>
      <c r="L14" s="28">
        <v>0</v>
      </c>
      <c r="M14" s="28">
        <v>0</v>
      </c>
      <c r="N14" s="28">
        <v>0</v>
      </c>
      <c r="O14" s="28">
        <v>0</v>
      </c>
      <c r="P14" s="28">
        <v>0</v>
      </c>
      <c r="Q14" s="28">
        <v>0</v>
      </c>
      <c r="R14" s="28">
        <v>0</v>
      </c>
      <c r="S14" s="28">
        <v>0</v>
      </c>
      <c r="T14" s="28">
        <v>0</v>
      </c>
      <c r="U14" s="28">
        <v>0</v>
      </c>
      <c r="V14" s="28">
        <v>0</v>
      </c>
      <c r="W14" s="28">
        <v>0</v>
      </c>
      <c r="X14" s="28">
        <v>0</v>
      </c>
      <c r="Y14" s="28">
        <v>0</v>
      </c>
      <c r="Z14" s="28">
        <v>0</v>
      </c>
      <c r="AA14" s="28">
        <v>0</v>
      </c>
      <c r="AB14" s="28">
        <v>0</v>
      </c>
      <c r="AC14" s="28">
        <v>0</v>
      </c>
      <c r="AD14" s="28">
        <v>0</v>
      </c>
      <c r="AE14" s="28">
        <v>0</v>
      </c>
      <c r="AF14" s="28">
        <v>0</v>
      </c>
      <c r="AG14" s="28">
        <v>0</v>
      </c>
      <c r="AH14" s="28">
        <v>0</v>
      </c>
      <c r="AI14" s="28">
        <v>0</v>
      </c>
      <c r="AJ14" s="28">
        <v>0</v>
      </c>
      <c r="AK14" s="28">
        <v>0</v>
      </c>
      <c r="AL14" s="28">
        <v>0</v>
      </c>
      <c r="AM14" s="28">
        <v>0</v>
      </c>
      <c r="AN14" s="28">
        <v>0</v>
      </c>
      <c r="AO14" s="28">
        <v>0</v>
      </c>
      <c r="AP14" s="28">
        <v>0</v>
      </c>
      <c r="AQ14" s="28">
        <v>0</v>
      </c>
      <c r="AR14" s="28">
        <v>0</v>
      </c>
      <c r="AS14" s="28">
        <v>0</v>
      </c>
      <c r="AT14" s="28">
        <v>0</v>
      </c>
      <c r="AU14" s="28">
        <v>0</v>
      </c>
      <c r="AV14" s="28">
        <v>0</v>
      </c>
      <c r="AW14" s="28">
        <v>0</v>
      </c>
      <c r="AX14" s="28">
        <v>0</v>
      </c>
      <c r="AY14" s="28">
        <v>0</v>
      </c>
      <c r="AZ14" s="28">
        <v>0</v>
      </c>
      <c r="BA14" s="28">
        <v>0</v>
      </c>
      <c r="BB14" s="28">
        <v>0</v>
      </c>
      <c r="BC14" s="28">
        <v>0</v>
      </c>
      <c r="BD14" s="28">
        <v>0</v>
      </c>
      <c r="BE14" s="28">
        <v>0</v>
      </c>
      <c r="BF14" s="28">
        <v>0</v>
      </c>
      <c r="BG14" s="28">
        <v>0</v>
      </c>
      <c r="BH14" s="28">
        <v>0</v>
      </c>
      <c r="BI14" s="28">
        <v>0</v>
      </c>
      <c r="BJ14" s="28">
        <v>0</v>
      </c>
      <c r="BK14" s="28">
        <v>0</v>
      </c>
      <c r="BL14" s="33">
        <f t="shared" ref="BL14:BL17" si="2">SUM(D14:BJ14)</f>
        <v>0</v>
      </c>
    </row>
    <row r="15" spans="2:64" x14ac:dyDescent="0.6">
      <c r="B15" s="35" t="s">
        <v>1</v>
      </c>
      <c r="C15" s="35" t="s">
        <v>4</v>
      </c>
      <c r="D15" s="36">
        <f t="shared" ref="D15:AI15" si="3">SUM(D6:D14)</f>
        <v>-21.11397201587608</v>
      </c>
      <c r="E15" s="36">
        <f t="shared" si="3"/>
        <v>-16.656464155200101</v>
      </c>
      <c r="F15" s="36">
        <f t="shared" si="3"/>
        <v>-17.999721303203209</v>
      </c>
      <c r="G15" s="36">
        <f t="shared" si="3"/>
        <v>-15.973129036177292</v>
      </c>
      <c r="H15" s="36">
        <f t="shared" si="3"/>
        <v>-16.083112448857772</v>
      </c>
      <c r="I15" s="36">
        <f t="shared" si="3"/>
        <v>-9.8076465282157717</v>
      </c>
      <c r="J15" s="36">
        <f t="shared" si="3"/>
        <v>-9.3656080642587458</v>
      </c>
      <c r="K15" s="36">
        <f t="shared" si="3"/>
        <v>-9.2180346003017206</v>
      </c>
      <c r="L15" s="36">
        <f t="shared" si="3"/>
        <v>-9.0704611363446954</v>
      </c>
      <c r="M15" s="36">
        <f t="shared" si="3"/>
        <v>-8.9228876723876684</v>
      </c>
      <c r="N15" s="36">
        <f t="shared" si="3"/>
        <v>-8.7753142084306415</v>
      </c>
      <c r="O15" s="36">
        <f t="shared" si="3"/>
        <v>-8.6277407444736163</v>
      </c>
      <c r="P15" s="36">
        <f t="shared" si="3"/>
        <v>-8.4801672805165911</v>
      </c>
      <c r="Q15" s="36">
        <f t="shared" si="3"/>
        <v>-8.3325938165595641</v>
      </c>
      <c r="R15" s="36">
        <f t="shared" si="3"/>
        <v>-8.1850203526025371</v>
      </c>
      <c r="S15" s="36">
        <f t="shared" si="3"/>
        <v>-8.0374468886455119</v>
      </c>
      <c r="T15" s="36">
        <f t="shared" si="3"/>
        <v>-7.8898734246884858</v>
      </c>
      <c r="U15" s="36">
        <f t="shared" si="3"/>
        <v>-7.7422999607314598</v>
      </c>
      <c r="V15" s="36">
        <f t="shared" si="3"/>
        <v>-7.5947264967744337</v>
      </c>
      <c r="W15" s="36">
        <f t="shared" si="3"/>
        <v>-7.4471530328174076</v>
      </c>
      <c r="X15" s="36">
        <f t="shared" si="3"/>
        <v>-7.2995795688603824</v>
      </c>
      <c r="Y15" s="36">
        <f t="shared" si="3"/>
        <v>-7.1520061049033554</v>
      </c>
      <c r="Z15" s="36">
        <f t="shared" si="3"/>
        <v>-7.0044326409463293</v>
      </c>
      <c r="AA15" s="36">
        <f t="shared" si="3"/>
        <v>-6.8568591769893033</v>
      </c>
      <c r="AB15" s="36">
        <f t="shared" si="3"/>
        <v>-6.7092857130322781</v>
      </c>
      <c r="AC15" s="36">
        <f t="shared" si="3"/>
        <v>-6.5617122490752511</v>
      </c>
      <c r="AD15" s="36">
        <f t="shared" si="3"/>
        <v>-6.4141387851182241</v>
      </c>
      <c r="AE15" s="36">
        <f t="shared" si="3"/>
        <v>-6.2665653211611998</v>
      </c>
      <c r="AF15" s="36">
        <f t="shared" si="3"/>
        <v>-6.1189918572041737</v>
      </c>
      <c r="AG15" s="36">
        <f t="shared" si="3"/>
        <v>-5.9714183932471467</v>
      </c>
      <c r="AH15" s="36">
        <f t="shared" si="3"/>
        <v>-5.8238449292901207</v>
      </c>
      <c r="AI15" s="36">
        <f t="shared" si="3"/>
        <v>-5.6762714653330955</v>
      </c>
      <c r="AJ15" s="36">
        <f t="shared" ref="AJ15:BJ15" si="4">SUM(AJ6:AJ14)</f>
        <v>-5.5286980013760694</v>
      </c>
      <c r="AK15" s="36">
        <f t="shared" si="4"/>
        <v>-5.3811245374190424</v>
      </c>
      <c r="AL15" s="36">
        <f t="shared" si="4"/>
        <v>-5.2335510734620172</v>
      </c>
      <c r="AM15" s="36">
        <f t="shared" si="4"/>
        <v>-5.0859776095049911</v>
      </c>
      <c r="AN15" s="36">
        <f t="shared" si="4"/>
        <v>-4.938404145547965</v>
      </c>
      <c r="AO15" s="36">
        <f t="shared" si="4"/>
        <v>-4.7908306815909389</v>
      </c>
      <c r="AP15" s="36">
        <f t="shared" si="4"/>
        <v>-4.6432572176339129</v>
      </c>
      <c r="AQ15" s="36">
        <f t="shared" si="4"/>
        <v>-4.4956837536768868</v>
      </c>
      <c r="AR15" s="36">
        <f t="shared" si="4"/>
        <v>-4.3481102897198607</v>
      </c>
      <c r="AS15" s="36">
        <f t="shared" si="4"/>
        <v>-4.2005368257628346</v>
      </c>
      <c r="AT15" s="36">
        <f t="shared" si="4"/>
        <v>-4.0529633618058014</v>
      </c>
      <c r="AU15" s="36">
        <f t="shared" si="4"/>
        <v>-3.7052499417468474</v>
      </c>
      <c r="AV15" s="36">
        <f t="shared" si="4"/>
        <v>-3.4567926224777477</v>
      </c>
      <c r="AW15" s="36">
        <f t="shared" si="4"/>
        <v>-2.4229722792460606</v>
      </c>
      <c r="AX15" s="36">
        <f t="shared" si="4"/>
        <v>-1.5128171832404593</v>
      </c>
      <c r="AY15" s="36">
        <f t="shared" si="4"/>
        <v>-0.80847629672751342</v>
      </c>
      <c r="AZ15" s="36">
        <f t="shared" si="4"/>
        <v>-0.11386485969984722</v>
      </c>
      <c r="BA15" s="36">
        <f t="shared" si="4"/>
        <v>-7.3374999999999996E-2</v>
      </c>
      <c r="BB15" s="36">
        <f t="shared" si="4"/>
        <v>-7.3374999999999996E-2</v>
      </c>
      <c r="BC15" s="36">
        <f t="shared" si="4"/>
        <v>-7.3374999999999996E-2</v>
      </c>
      <c r="BD15" s="36">
        <f t="shared" si="4"/>
        <v>-7.3374999999999996E-2</v>
      </c>
      <c r="BE15" s="36">
        <f t="shared" si="4"/>
        <v>-7.3374999999999996E-2</v>
      </c>
      <c r="BF15" s="36">
        <f t="shared" si="4"/>
        <v>-7.3374999999999996E-2</v>
      </c>
      <c r="BG15" s="36">
        <f t="shared" si="4"/>
        <v>-7.3374999999999996E-2</v>
      </c>
      <c r="BH15" s="36">
        <f t="shared" si="4"/>
        <v>-7.3374999999999996E-2</v>
      </c>
      <c r="BI15" s="36">
        <f t="shared" si="4"/>
        <v>-7.3374999999999996E-2</v>
      </c>
      <c r="BJ15" s="36">
        <f t="shared" si="4"/>
        <v>-7.3374999999999996E-2</v>
      </c>
      <c r="BK15" s="36">
        <f t="shared" ref="BK15" si="5">SUM(BK6:BK14)</f>
        <v>-7.3374999999999996E-2</v>
      </c>
      <c r="BL15" s="33">
        <f t="shared" si="2"/>
        <v>-358.63154005286287</v>
      </c>
    </row>
    <row r="16" spans="2:64" outlineLevel="1" x14ac:dyDescent="0.6">
      <c r="B16" s="3" t="s">
        <v>6</v>
      </c>
      <c r="C16" s="4"/>
      <c r="D16" s="15">
        <f>1/(1+'Fixed data'!$C$3)^D4</f>
        <v>0.96618357487922713</v>
      </c>
      <c r="E16" s="15">
        <f>1/(1+'Fixed data'!$C$3)^E4</f>
        <v>0.93351070036640305</v>
      </c>
      <c r="F16" s="15">
        <f>1/(1+'Fixed data'!$C$3)^F4</f>
        <v>0.90194270566802237</v>
      </c>
      <c r="G16" s="15">
        <f>1/(1+'Fixed data'!$C$3)^G4</f>
        <v>0.87144222769857238</v>
      </c>
      <c r="H16" s="15">
        <f>1/(1+'Fixed data'!$C$3)^H4</f>
        <v>0.84197316685852419</v>
      </c>
      <c r="I16" s="15">
        <f>1/(1+'Fixed data'!$C$3)^I4</f>
        <v>0.81350064430775282</v>
      </c>
      <c r="J16" s="15">
        <f>1/(1+'Fixed data'!$C$3)^J4</f>
        <v>0.78599096068381913</v>
      </c>
      <c r="K16" s="15">
        <f>1/(1+'Fixed data'!$C$3)^K4</f>
        <v>0.75941155621625056</v>
      </c>
      <c r="L16" s="15">
        <f>1/(1+'Fixed data'!$C$3)^L4</f>
        <v>0.73373097218961414</v>
      </c>
      <c r="M16" s="15">
        <f>1/(1+'Fixed data'!$C$3)^M4</f>
        <v>0.70891881370977217</v>
      </c>
      <c r="N16" s="15">
        <f>1/(1+'Fixed data'!$C$3)^N4</f>
        <v>0.68494571372924851</v>
      </c>
      <c r="O16" s="15">
        <f>1/(1+'Fixed data'!$C$3)^O4</f>
        <v>0.66178329828912896</v>
      </c>
      <c r="P16" s="15">
        <f>1/(1+'Fixed data'!$C$3)^P4</f>
        <v>0.63940415293635666</v>
      </c>
      <c r="Q16" s="15">
        <f>1/(1+'Fixed data'!$C$3)^Q4</f>
        <v>0.61778179027667302</v>
      </c>
      <c r="R16" s="15">
        <f>1/(1+'Fixed data'!$C$3)^R4</f>
        <v>0.59689061862480497</v>
      </c>
      <c r="S16" s="15">
        <f>1/(1+'Fixed data'!$C$3)^S4</f>
        <v>0.57670591171478747</v>
      </c>
      <c r="T16" s="15">
        <f>1/(1+'Fixed data'!$C$3)^T4</f>
        <v>0.55720377943457733</v>
      </c>
      <c r="U16" s="15">
        <f>1/(1+'Fixed data'!$C$3)^U4</f>
        <v>0.53836113955031628</v>
      </c>
      <c r="V16" s="15">
        <f>1/(1+'Fixed data'!$C$3)^V4</f>
        <v>0.52015569038677911</v>
      </c>
      <c r="W16" s="15">
        <f>1/(1+'Fixed data'!$C$3)^W4</f>
        <v>0.50256588443167061</v>
      </c>
      <c r="X16" s="15">
        <f>1/(1+'Fixed data'!$C$3)^X4</f>
        <v>0.48557090283253213</v>
      </c>
      <c r="Y16" s="15">
        <f>1/(1+'Fixed data'!$C$3)^Y4</f>
        <v>0.46915063075606966</v>
      </c>
      <c r="Z16" s="15">
        <f>1/(1+'Fixed data'!$C$3)^Z4</f>
        <v>0.45328563358074364</v>
      </c>
      <c r="AA16" s="15">
        <f>1/(1+'Fixed data'!$C$3)^AA4</f>
        <v>0.43795713389443841</v>
      </c>
      <c r="AB16" s="15">
        <f>1/(1+'Fixed data'!$C$3)^AB4</f>
        <v>0.42314698926998884</v>
      </c>
      <c r="AC16" s="15">
        <f>1/(1+'Fixed data'!$C$3)^AC4</f>
        <v>0.40883767079225974</v>
      </c>
      <c r="AD16" s="15">
        <f>1/(1+'Fixed data'!$C$3)^AD4</f>
        <v>0.39501224231136206</v>
      </c>
      <c r="AE16" s="15">
        <f>1/(1+'Fixed data'!$C$3)^AE4</f>
        <v>0.38165434039745127</v>
      </c>
      <c r="AF16" s="15">
        <f>1/(1+'Fixed data'!$C$3)^AF4</f>
        <v>0.36874815497338298</v>
      </c>
      <c r="AG16" s="15">
        <f>1/(1+'Fixed data'!$C$3)^AG4</f>
        <v>0.35627841060230236</v>
      </c>
      <c r="AH16" s="15">
        <f>1/(1+'Fixed data'!$C$3)^AH4</f>
        <v>0.34423034840802164</v>
      </c>
      <c r="AI16" s="15">
        <f>1/(1+'Fixed data'!$C$3)^AI4</f>
        <v>0.33258970860678427</v>
      </c>
      <c r="AJ16" s="15">
        <f>1/(1+'Fixed data'!$C$3)^AJ4</f>
        <v>0.32134271362974326</v>
      </c>
      <c r="AK16" s="15">
        <f>1/(1+'Fixed data'!$C$3)^AK4</f>
        <v>0.3104760518161771</v>
      </c>
      <c r="AL16" s="15">
        <f>1/(1+'Fixed data'!$C$3)^AL4</f>
        <v>0.29997686165814214</v>
      </c>
      <c r="AM16" s="15">
        <f>1/(1+'Fixed data'!$C$3)^AM4</f>
        <v>0.28983271657791515</v>
      </c>
      <c r="AN16" s="15">
        <f>1/(1+'Fixed data'!$C$3)^AN4</f>
        <v>0.28003161022020789</v>
      </c>
      <c r="AO16" s="15">
        <f>1/(1+'Fixed data'!$C$3)^AO4</f>
        <v>0.27056194224174673</v>
      </c>
      <c r="AP16" s="15">
        <f>1/(1+'Fixed data'!$C$3)^AP4</f>
        <v>0.26141250458139786</v>
      </c>
      <c r="AQ16" s="15">
        <f>1/(1+'Fixed data'!$C$3)^AQ4</f>
        <v>0.25257246819458734</v>
      </c>
      <c r="AR16" s="15">
        <f>1/(1+'Fixed data'!$C$3)^AR4</f>
        <v>0.24403137023631633</v>
      </c>
      <c r="AS16" s="15">
        <f>1/(1+'Fixed data'!$C$3)^AS4</f>
        <v>0.2357791016776003</v>
      </c>
      <c r="AT16" s="15">
        <f>1/(1+'Fixed data'!$C$3)^AT4</f>
        <v>0.22780589534067661</v>
      </c>
      <c r="AU16" s="15">
        <f>1/(1+'Fixed data'!$C$3)^AU4</f>
        <v>0.22010231433881802</v>
      </c>
      <c r="AV16" s="15">
        <f>1/(1+'Fixed data'!$C$3)^AV4</f>
        <v>0.21265924090707056</v>
      </c>
      <c r="AW16" s="15">
        <f>1/(1+'Fixed data'!$C$3)^AW4</f>
        <v>0.20546786561069619</v>
      </c>
      <c r="AX16" s="15">
        <f>1/(1+'Fixed data'!$C$3)^AX4</f>
        <v>0.19851967691854708</v>
      </c>
      <c r="AY16" s="15">
        <f>1/(1+'Fixed data'!$C$3)^AY4</f>
        <v>0.19180645112903102</v>
      </c>
      <c r="AZ16" s="15">
        <f>1/(1+'Fixed data'!$C$3)^AZ4</f>
        <v>0.18532024263674499</v>
      </c>
      <c r="BA16" s="15">
        <f>1/(1+'Fixed data'!$C$3)^BA4</f>
        <v>0.17905337452825601</v>
      </c>
      <c r="BB16" s="15">
        <f>1/(1+'Fixed data'!$C$3)^BB4</f>
        <v>0.17299842949589955</v>
      </c>
      <c r="BC16" s="15">
        <f>1/(1+'Fixed data'!$C$3)^BC4</f>
        <v>0.16714824105884016</v>
      </c>
      <c r="BD16" s="15">
        <f>1/(1+'Fixed data'!$C$3)^BD4</f>
        <v>0.16149588508100501</v>
      </c>
      <c r="BE16" s="15">
        <f>1/(1+'Fixed data'!$C$3)^BE4</f>
        <v>0.15603467157585027</v>
      </c>
      <c r="BF16" s="15">
        <f>1/(1+'Fixed data'!$C$3)^BF4</f>
        <v>0.15075813678826111</v>
      </c>
      <c r="BG16" s="15">
        <f>1/(1+'Fixed data'!$C$3)^BG4</f>
        <v>0.14566003554421367</v>
      </c>
      <c r="BH16" s="15">
        <f>1/(1+'Fixed data'!$C$3)^BH4</f>
        <v>0.14073433385914366</v>
      </c>
      <c r="BI16" s="15">
        <f>1/(1+'Fixed data'!$C$3)^BI4</f>
        <v>0.13597520179627406</v>
      </c>
      <c r="BJ16" s="15">
        <f>1/(1+'Fixed data'!$C$3)^BJ4</f>
        <v>0.13137700656644835</v>
      </c>
      <c r="BK16" s="15">
        <f>1/(1+'Fixed data'!$C$3)^BK4</f>
        <v>0.12693430586130278</v>
      </c>
      <c r="BL16" s="33"/>
    </row>
    <row r="17" spans="2:64" x14ac:dyDescent="0.6">
      <c r="B17" s="5" t="s">
        <v>2</v>
      </c>
      <c r="C17" s="4" t="s">
        <v>4</v>
      </c>
      <c r="D17" s="15">
        <f t="shared" ref="D17:BJ17" si="6">+D15*D16</f>
        <v>-20.399972962199111</v>
      </c>
      <c r="E17" s="15">
        <f t="shared" si="6"/>
        <v>-15.548987519148735</v>
      </c>
      <c r="F17" s="15">
        <f t="shared" si="6"/>
        <v>-16.234717333481445</v>
      </c>
      <c r="G17" s="15">
        <f t="shared" si="6"/>
        <v>-13.91965915060309</v>
      </c>
      <c r="H17" s="15">
        <f t="shared" si="6"/>
        <v>-13.541549121506533</v>
      </c>
      <c r="I17" s="15">
        <f t="shared" si="6"/>
        <v>-7.9785267698462254</v>
      </c>
      <c r="J17" s="15">
        <f t="shared" si="6"/>
        <v>-7.3612832798148551</v>
      </c>
      <c r="K17" s="15">
        <f t="shared" si="6"/>
        <v>-7.0002820010703726</v>
      </c>
      <c r="L17" s="15">
        <f t="shared" si="6"/>
        <v>-6.6552782677783053</v>
      </c>
      <c r="M17" s="15">
        <f t="shared" si="6"/>
        <v>-6.3256029435746157</v>
      </c>
      <c r="N17" s="15">
        <f t="shared" si="6"/>
        <v>-6.0106138536919413</v>
      </c>
      <c r="O17" s="15">
        <f t="shared" si="6"/>
        <v>-5.7096947266612545</v>
      </c>
      <c r="P17" s="15">
        <f t="shared" si="6"/>
        <v>-5.4222541767573178</v>
      </c>
      <c r="Q17" s="15">
        <f t="shared" si="6"/>
        <v>-5.1477247256425027</v>
      </c>
      <c r="R17" s="15">
        <f t="shared" si="6"/>
        <v>-4.8855618617215475</v>
      </c>
      <c r="S17" s="15">
        <f t="shared" si="6"/>
        <v>-4.6352431357754922</v>
      </c>
      <c r="T17" s="15">
        <f t="shared" si="6"/>
        <v>-4.3962672914968559</v>
      </c>
      <c r="U17" s="15">
        <f t="shared" si="6"/>
        <v>-4.1681534295997578</v>
      </c>
      <c r="V17" s="15">
        <f t="shared" si="6"/>
        <v>-3.9504402042284701</v>
      </c>
      <c r="W17" s="15">
        <f t="shared" si="6"/>
        <v>-3.7426850504358784</v>
      </c>
      <c r="X17" s="15">
        <f t="shared" si="6"/>
        <v>-3.5444634415494414</v>
      </c>
      <c r="Y17" s="15">
        <f t="shared" si="6"/>
        <v>-3.35536817528667</v>
      </c>
      <c r="Z17" s="15">
        <f t="shared" si="6"/>
        <v>-3.1750086875249983</v>
      </c>
      <c r="AA17" s="15">
        <f t="shared" si="6"/>
        <v>-3.0030103926720129</v>
      </c>
      <c r="AB17" s="15">
        <f t="shared" si="6"/>
        <v>-2.8390140496217589</v>
      </c>
      <c r="AC17" s="15">
        <f t="shared" si="6"/>
        <v>-2.6826751523209658</v>
      </c>
      <c r="AD17" s="15">
        <f t="shared" si="6"/>
        <v>-2.5336633440058254</v>
      </c>
      <c r="AE17" s="15">
        <f t="shared" si="6"/>
        <v>-2.3916618542053203</v>
      </c>
      <c r="AF17" s="15">
        <f t="shared" si="6"/>
        <v>-2.2563669576411933</v>
      </c>
      <c r="AG17" s="15">
        <f t="shared" si="6"/>
        <v>-2.1274874541874476</v>
      </c>
      <c r="AH17" s="15">
        <f t="shared" si="6"/>
        <v>-2.0047441690838284</v>
      </c>
      <c r="AI17" s="15">
        <f t="shared" si="6"/>
        <v>-1.8878694726281386</v>
      </c>
      <c r="AJ17" s="15">
        <f t="shared" si="6"/>
        <v>-1.7766068186015243</v>
      </c>
      <c r="AK17" s="15">
        <f t="shared" si="6"/>
        <v>-1.6707103007090167</v>
      </c>
      <c r="AL17" s="15">
        <f t="shared" si="6"/>
        <v>-1.5699442263447367</v>
      </c>
      <c r="AM17" s="15">
        <f t="shared" si="6"/>
        <v>-1.4740827070172826</v>
      </c>
      <c r="AN17" s="15">
        <f t="shared" si="6"/>
        <v>-1.3829092647959464</v>
      </c>
      <c r="AO17" s="15">
        <f t="shared" si="6"/>
        <v>-1.2962164541625958</v>
      </c>
      <c r="AP17" s="15">
        <f t="shared" si="6"/>
        <v>-1.2138054986773339</v>
      </c>
      <c r="AQ17" s="15">
        <f t="shared" si="6"/>
        <v>-1.1354859418884786</v>
      </c>
      <c r="AR17" s="15">
        <f t="shared" si="6"/>
        <v>-1.061075311938964</v>
      </c>
      <c r="AS17" s="15">
        <f t="shared" si="6"/>
        <v>-0.99039879934203978</v>
      </c>
      <c r="AT17" s="15">
        <f t="shared" si="6"/>
        <v>-0.92328894741912926</v>
      </c>
      <c r="AU17" s="15">
        <f t="shared" si="6"/>
        <v>-0.81553408738225175</v>
      </c>
      <c r="AV17" s="15">
        <f t="shared" si="6"/>
        <v>-0.73511889506927952</v>
      </c>
      <c r="AW17" s="15">
        <f t="shared" si="6"/>
        <v>-0.49784294265057183</v>
      </c>
      <c r="AX17" s="15">
        <f t="shared" si="6"/>
        <v>-0.30032397845372244</v>
      </c>
      <c r="AY17" s="15">
        <f t="shared" si="6"/>
        <v>-0.15507096929724579</v>
      </c>
      <c r="AZ17" s="15">
        <f t="shared" si="6"/>
        <v>-2.1101463427374612E-2</v>
      </c>
      <c r="BA17" s="15">
        <f t="shared" si="6"/>
        <v>-1.3138041356010785E-2</v>
      </c>
      <c r="BB17" s="15">
        <f t="shared" si="6"/>
        <v>-1.2693759764261629E-2</v>
      </c>
      <c r="BC17" s="15">
        <f t="shared" si="6"/>
        <v>-1.2264502187692396E-2</v>
      </c>
      <c r="BD17" s="15">
        <f t="shared" si="6"/>
        <v>-1.1849760567818743E-2</v>
      </c>
      <c r="BE17" s="15">
        <f t="shared" si="6"/>
        <v>-1.1449044026878012E-2</v>
      </c>
      <c r="BF17" s="15">
        <f t="shared" si="6"/>
        <v>-1.1061878286838658E-2</v>
      </c>
      <c r="BG17" s="15">
        <f t="shared" si="6"/>
        <v>-1.0687805108056678E-2</v>
      </c>
      <c r="BH17" s="15">
        <f t="shared" si="6"/>
        <v>-1.0326381746914666E-2</v>
      </c>
      <c r="BI17" s="15">
        <f t="shared" si="6"/>
        <v>-9.9771804318016088E-3</v>
      </c>
      <c r="BJ17" s="15">
        <f t="shared" si="6"/>
        <v>-9.6397878568131468E-3</v>
      </c>
      <c r="BK17" s="15">
        <f t="shared" ref="BK17" si="7">+BK15*BK16</f>
        <v>-9.3138046925730911E-3</v>
      </c>
      <c r="BL17" s="33">
        <f t="shared" si="2"/>
        <v>-211.96843570427259</v>
      </c>
    </row>
    <row r="18" spans="2:64" x14ac:dyDescent="0.6">
      <c r="B18" s="5" t="s">
        <v>397</v>
      </c>
      <c r="C18" s="4" t="s">
        <v>4</v>
      </c>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f>+BK17/'Fixed data'!C3</f>
        <v>-0.26610870550208832</v>
      </c>
      <c r="BL18" s="33">
        <f>SUM(BJ18)</f>
        <v>0</v>
      </c>
    </row>
    <row r="19" spans="2:64" x14ac:dyDescent="0.6">
      <c r="B19" s="7" t="s">
        <v>3</v>
      </c>
      <c r="C19" s="6" t="s">
        <v>4</v>
      </c>
      <c r="D19" s="16">
        <f>+D17</f>
        <v>-20.399972962199111</v>
      </c>
      <c r="E19" s="16">
        <f t="shared" ref="E19:BI19" si="8">+E17+D19</f>
        <v>-35.948960481347846</v>
      </c>
      <c r="F19" s="16">
        <f t="shared" si="8"/>
        <v>-52.183677814829295</v>
      </c>
      <c r="G19" s="16">
        <f t="shared" si="8"/>
        <v>-66.103336965432391</v>
      </c>
      <c r="H19" s="16">
        <f t="shared" si="8"/>
        <v>-79.644886086938925</v>
      </c>
      <c r="I19" s="16">
        <f t="shared" si="8"/>
        <v>-87.623412856785151</v>
      </c>
      <c r="J19" s="16">
        <f t="shared" si="8"/>
        <v>-94.984696136600007</v>
      </c>
      <c r="K19" s="16">
        <f t="shared" si="8"/>
        <v>-101.98497813767038</v>
      </c>
      <c r="L19" s="16">
        <f t="shared" si="8"/>
        <v>-108.64025640544868</v>
      </c>
      <c r="M19" s="16">
        <f t="shared" si="8"/>
        <v>-114.9658593490233</v>
      </c>
      <c r="N19" s="16">
        <f t="shared" si="8"/>
        <v>-120.97647320271524</v>
      </c>
      <c r="O19" s="16">
        <f t="shared" si="8"/>
        <v>-126.6861679293765</v>
      </c>
      <c r="P19" s="16">
        <f t="shared" si="8"/>
        <v>-132.10842210613382</v>
      </c>
      <c r="Q19" s="16">
        <f t="shared" si="8"/>
        <v>-137.25614683177631</v>
      </c>
      <c r="R19" s="16">
        <f t="shared" si="8"/>
        <v>-142.14170869349786</v>
      </c>
      <c r="S19" s="16">
        <f t="shared" si="8"/>
        <v>-146.77695182927334</v>
      </c>
      <c r="T19" s="16">
        <f t="shared" si="8"/>
        <v>-151.1732191207702</v>
      </c>
      <c r="U19" s="16">
        <f t="shared" si="8"/>
        <v>-155.34137255036995</v>
      </c>
      <c r="V19" s="16">
        <f t="shared" si="8"/>
        <v>-159.29181275459842</v>
      </c>
      <c r="W19" s="16">
        <f t="shared" si="8"/>
        <v>-163.03449780503431</v>
      </c>
      <c r="X19" s="16">
        <f t="shared" si="8"/>
        <v>-166.57896124658376</v>
      </c>
      <c r="Y19" s="16">
        <f t="shared" si="8"/>
        <v>-169.93432942187042</v>
      </c>
      <c r="Z19" s="16">
        <f t="shared" si="8"/>
        <v>-173.10933810939542</v>
      </c>
      <c r="AA19" s="16">
        <f t="shared" si="8"/>
        <v>-176.11234850206745</v>
      </c>
      <c r="AB19" s="16">
        <f t="shared" si="8"/>
        <v>-178.95136255168921</v>
      </c>
      <c r="AC19" s="16">
        <f t="shared" si="8"/>
        <v>-181.63403770401018</v>
      </c>
      <c r="AD19" s="16">
        <f t="shared" si="8"/>
        <v>-184.167701048016</v>
      </c>
      <c r="AE19" s="16">
        <f t="shared" si="8"/>
        <v>-186.55936290222132</v>
      </c>
      <c r="AF19" s="16">
        <f t="shared" si="8"/>
        <v>-188.81572985986253</v>
      </c>
      <c r="AG19" s="16">
        <f t="shared" si="8"/>
        <v>-190.94321731404997</v>
      </c>
      <c r="AH19" s="16">
        <f t="shared" si="8"/>
        <v>-192.94796148313381</v>
      </c>
      <c r="AI19" s="16">
        <f t="shared" si="8"/>
        <v>-194.83583095576194</v>
      </c>
      <c r="AJ19" s="16">
        <f t="shared" si="8"/>
        <v>-196.61243777436346</v>
      </c>
      <c r="AK19" s="16">
        <f t="shared" si="8"/>
        <v>-198.28314807507246</v>
      </c>
      <c r="AL19" s="16">
        <f t="shared" si="8"/>
        <v>-199.85309230141721</v>
      </c>
      <c r="AM19" s="16">
        <f t="shared" si="8"/>
        <v>-201.32717500843449</v>
      </c>
      <c r="AN19" s="16">
        <f t="shared" si="8"/>
        <v>-202.71008427323045</v>
      </c>
      <c r="AO19" s="16">
        <f t="shared" si="8"/>
        <v>-204.00630072739304</v>
      </c>
      <c r="AP19" s="16">
        <f t="shared" si="8"/>
        <v>-205.22010622607038</v>
      </c>
      <c r="AQ19" s="16">
        <f t="shared" si="8"/>
        <v>-206.35559216795886</v>
      </c>
      <c r="AR19" s="16">
        <f t="shared" si="8"/>
        <v>-207.41666747989782</v>
      </c>
      <c r="AS19" s="16">
        <f t="shared" si="8"/>
        <v>-208.40706627923987</v>
      </c>
      <c r="AT19" s="16">
        <f t="shared" si="8"/>
        <v>-209.33035522665901</v>
      </c>
      <c r="AU19" s="16">
        <f t="shared" si="8"/>
        <v>-210.14588931404126</v>
      </c>
      <c r="AV19" s="16">
        <f t="shared" si="8"/>
        <v>-210.88100820911055</v>
      </c>
      <c r="AW19" s="16">
        <f t="shared" si="8"/>
        <v>-211.37885115176113</v>
      </c>
      <c r="AX19" s="16">
        <f t="shared" si="8"/>
        <v>-211.67917513021484</v>
      </c>
      <c r="AY19" s="16">
        <f t="shared" si="8"/>
        <v>-211.83424609951209</v>
      </c>
      <c r="AZ19" s="16">
        <f t="shared" si="8"/>
        <v>-211.85534756293947</v>
      </c>
      <c r="BA19" s="16">
        <f t="shared" si="8"/>
        <v>-211.86848560429547</v>
      </c>
      <c r="BB19" s="16">
        <f t="shared" si="8"/>
        <v>-211.88117936405973</v>
      </c>
      <c r="BC19" s="16">
        <f t="shared" si="8"/>
        <v>-211.89344386624742</v>
      </c>
      <c r="BD19" s="16">
        <f t="shared" si="8"/>
        <v>-211.90529362681525</v>
      </c>
      <c r="BE19" s="16">
        <f t="shared" si="8"/>
        <v>-211.91674267084213</v>
      </c>
      <c r="BF19" s="16">
        <f t="shared" si="8"/>
        <v>-211.92780454912898</v>
      </c>
      <c r="BG19" s="16">
        <f t="shared" si="8"/>
        <v>-211.93849235423704</v>
      </c>
      <c r="BH19" s="16">
        <f t="shared" si="8"/>
        <v>-211.94881873598396</v>
      </c>
      <c r="BI19" s="16">
        <f t="shared" si="8"/>
        <v>-211.95879591641577</v>
      </c>
      <c r="BJ19" s="16">
        <f>+BJ17+BI19+BJ18</f>
        <v>-211.96843570427259</v>
      </c>
      <c r="BK19" s="16">
        <f>+BK17+BJ19+BK18</f>
        <v>-212.24385821446725</v>
      </c>
      <c r="BL19" s="33"/>
    </row>
    <row r="20" spans="2:64" x14ac:dyDescent="0.6">
      <c r="B20" s="6"/>
    </row>
    <row r="21" spans="2:64" x14ac:dyDescent="0.6">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row>
    <row r="27" spans="2:64" x14ac:dyDescent="0.6">
      <c r="C27" s="10"/>
      <c r="D27" s="10"/>
      <c r="E27" s="10"/>
      <c r="F27" s="10"/>
      <c r="G27" s="10"/>
      <c r="H27" s="10"/>
      <c r="I27" s="10"/>
      <c r="J27" s="10"/>
      <c r="K27" s="10"/>
      <c r="L27" s="10"/>
      <c r="M27" s="10"/>
      <c r="N27" s="10"/>
      <c r="O27" s="10"/>
      <c r="P27" s="10"/>
      <c r="Q27" s="10"/>
      <c r="R27" s="10"/>
      <c r="S27" s="10"/>
    </row>
  </sheetData>
  <pageMargins left="0.70866141732283472" right="0.70866141732283472" top="0.74803149606299213" bottom="0.74803149606299213" header="0.31496062992125984" footer="0.31496062992125984"/>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BF108"/>
  <sheetViews>
    <sheetView showGridLines="0" topLeftCell="C91" workbookViewId="0">
      <selection activeCell="E105" sqref="E105"/>
    </sheetView>
  </sheetViews>
  <sheetFormatPr defaultRowHeight="14.25" x14ac:dyDescent="0.45"/>
  <cols>
    <col min="1" max="1" width="5.86328125" customWidth="1"/>
    <col min="2" max="2" width="43.3984375" customWidth="1"/>
    <col min="3" max="3" width="2.86328125" customWidth="1"/>
    <col min="4" max="4" width="24.265625" customWidth="1"/>
    <col min="5" max="5" width="48" customWidth="1"/>
    <col min="6" max="6" width="15.265625" bestFit="1" customWidth="1"/>
    <col min="7" max="7" width="15.3984375" bestFit="1" customWidth="1"/>
    <col min="8" max="8" width="13.3984375" bestFit="1" customWidth="1"/>
  </cols>
  <sheetData>
    <row r="1" spans="1:58" ht="18" x14ac:dyDescent="0.55000000000000004">
      <c r="A1" s="1" t="s">
        <v>378</v>
      </c>
    </row>
    <row r="2" spans="1:58" x14ac:dyDescent="0.45">
      <c r="A2" t="s">
        <v>8</v>
      </c>
    </row>
    <row r="4" spans="1:58" x14ac:dyDescent="0.45">
      <c r="E4" t="s">
        <v>394</v>
      </c>
      <c r="F4" s="23">
        <v>1.2281413211584551</v>
      </c>
    </row>
    <row r="6" spans="1:58" x14ac:dyDescent="0.45">
      <c r="B6" s="30" t="s">
        <v>463</v>
      </c>
      <c r="E6" t="s">
        <v>496</v>
      </c>
      <c r="F6">
        <v>181.71700000000001</v>
      </c>
    </row>
    <row r="7" spans="1:58" x14ac:dyDescent="0.45">
      <c r="E7" t="s">
        <v>497</v>
      </c>
      <c r="F7">
        <v>138.15700000000001</v>
      </c>
    </row>
    <row r="9" spans="1:58" s="32" customFormat="1" x14ac:dyDescent="0.45">
      <c r="E9"/>
      <c r="F9" s="32" t="s">
        <v>386</v>
      </c>
      <c r="G9" s="86" t="s">
        <v>13</v>
      </c>
      <c r="H9" s="86">
        <v>2015</v>
      </c>
      <c r="I9" s="86">
        <v>2016</v>
      </c>
      <c r="J9" s="86">
        <v>2017</v>
      </c>
      <c r="K9" s="86">
        <v>2018</v>
      </c>
      <c r="L9" s="86">
        <v>2019</v>
      </c>
      <c r="M9" s="86">
        <v>2020</v>
      </c>
      <c r="N9" s="86">
        <v>2021</v>
      </c>
      <c r="O9" s="86">
        <v>2022</v>
      </c>
      <c r="P9" s="86">
        <v>2023</v>
      </c>
      <c r="Q9" s="86">
        <v>2024</v>
      </c>
      <c r="R9" s="86">
        <v>2025</v>
      </c>
      <c r="S9" s="86">
        <v>2026</v>
      </c>
      <c r="T9" s="86">
        <v>2027</v>
      </c>
      <c r="U9" s="86">
        <v>2028</v>
      </c>
      <c r="V9" s="86">
        <v>2029</v>
      </c>
      <c r="W9" s="86">
        <v>2030</v>
      </c>
      <c r="X9" s="86">
        <v>2031</v>
      </c>
      <c r="Y9" s="86">
        <v>2032</v>
      </c>
      <c r="Z9" s="86">
        <v>2033</v>
      </c>
      <c r="AA9" s="86">
        <v>2034</v>
      </c>
      <c r="AB9" s="86">
        <v>2035</v>
      </c>
      <c r="AC9" s="86">
        <v>2036</v>
      </c>
      <c r="AD9" s="86">
        <v>2037</v>
      </c>
      <c r="AE9" s="86">
        <v>2038</v>
      </c>
      <c r="AF9" s="86">
        <v>2039</v>
      </c>
      <c r="AG9" s="86">
        <v>2040</v>
      </c>
      <c r="AH9" s="86">
        <v>2041</v>
      </c>
      <c r="AI9" s="86">
        <v>2042</v>
      </c>
      <c r="AJ9" s="86">
        <v>2043</v>
      </c>
      <c r="AK9" s="86">
        <v>2044</v>
      </c>
      <c r="AL9" s="86">
        <v>2045</v>
      </c>
      <c r="AM9" s="86">
        <v>2046</v>
      </c>
      <c r="AN9" s="86">
        <v>2047</v>
      </c>
      <c r="AO9" s="86">
        <v>2048</v>
      </c>
      <c r="AP9" s="86">
        <v>2049</v>
      </c>
      <c r="AQ9" s="86">
        <v>2050</v>
      </c>
      <c r="AR9" s="86">
        <v>2051</v>
      </c>
      <c r="AS9" s="86">
        <v>2052</v>
      </c>
      <c r="AT9" s="86">
        <v>2053</v>
      </c>
      <c r="AU9" s="86">
        <v>2054</v>
      </c>
      <c r="AV9" s="86">
        <v>2055</v>
      </c>
      <c r="AW9" s="86">
        <v>2056</v>
      </c>
      <c r="AX9" s="86">
        <v>2057</v>
      </c>
      <c r="AY9" s="86">
        <v>2058</v>
      </c>
      <c r="AZ9" s="86">
        <v>2059</v>
      </c>
      <c r="BA9" s="86">
        <v>2060</v>
      </c>
      <c r="BB9" s="86">
        <v>2061</v>
      </c>
      <c r="BC9" s="86">
        <v>2062</v>
      </c>
      <c r="BD9" s="86">
        <v>2063</v>
      </c>
      <c r="BE9" s="86">
        <v>2064</v>
      </c>
      <c r="BF9" s="86">
        <v>2065</v>
      </c>
    </row>
    <row r="10" spans="1:58" x14ac:dyDescent="0.45">
      <c r="E10" t="s">
        <v>393</v>
      </c>
      <c r="F10" s="46">
        <f>SUM(G10:BG10)</f>
        <v>248.97381391168898</v>
      </c>
      <c r="G10">
        <v>0.56454888531209235</v>
      </c>
      <c r="H10">
        <v>0.57302994822941855</v>
      </c>
      <c r="I10">
        <v>2.890072928332529</v>
      </c>
      <c r="J10">
        <v>5.2497925837230923</v>
      </c>
      <c r="K10">
        <v>5.6479696394848133</v>
      </c>
      <c r="L10">
        <v>6.7417013826168386</v>
      </c>
      <c r="M10">
        <v>5.0915718477565406</v>
      </c>
      <c r="N10">
        <v>5.1811245814571976</v>
      </c>
      <c r="O10">
        <v>7.6862543142116513</v>
      </c>
      <c r="P10">
        <v>7.5660943119263875</v>
      </c>
      <c r="Q10">
        <v>7.4459343096411246</v>
      </c>
      <c r="R10">
        <v>7.3257743073558617</v>
      </c>
      <c r="S10">
        <v>7.2056143050705987</v>
      </c>
      <c r="T10">
        <v>7.0854543027853349</v>
      </c>
      <c r="U10">
        <v>6.965294300500072</v>
      </c>
      <c r="V10">
        <v>6.8451342982148091</v>
      </c>
      <c r="W10">
        <v>6.7249742959295453</v>
      </c>
      <c r="X10">
        <v>6.6048142936442824</v>
      </c>
      <c r="Y10">
        <v>6.4846542913590195</v>
      </c>
      <c r="Z10">
        <v>6.3644942890737566</v>
      </c>
      <c r="AA10">
        <v>6.2443342867884928</v>
      </c>
      <c r="AB10">
        <v>6.1241742845032299</v>
      </c>
      <c r="AC10">
        <v>6.004014282217967</v>
      </c>
      <c r="AD10">
        <v>5.883854279932704</v>
      </c>
      <c r="AE10">
        <v>5.7636942776474402</v>
      </c>
      <c r="AF10">
        <v>5.6435342753621773</v>
      </c>
      <c r="AG10">
        <v>5.5233742730769144</v>
      </c>
      <c r="AH10">
        <v>5.4032142707916515</v>
      </c>
      <c r="AI10">
        <v>5.2830542685063877</v>
      </c>
      <c r="AJ10">
        <v>5.1628942662211239</v>
      </c>
      <c r="AK10">
        <v>5.0427342639358619</v>
      </c>
      <c r="AL10">
        <v>4.922574261650599</v>
      </c>
      <c r="AM10">
        <v>4.8024142593653352</v>
      </c>
      <c r="AN10">
        <v>4.6822542570800723</v>
      </c>
      <c r="AO10">
        <v>4.5620942547948093</v>
      </c>
      <c r="AP10">
        <v>4.4419342525095464</v>
      </c>
      <c r="AQ10">
        <v>4.3217742502242826</v>
      </c>
      <c r="AR10">
        <v>4.2016142479390197</v>
      </c>
      <c r="AS10">
        <v>4.0814542456537568</v>
      </c>
      <c r="AT10">
        <v>3.9612942433684935</v>
      </c>
      <c r="AU10">
        <v>3.8411342410832305</v>
      </c>
      <c r="AV10">
        <v>3.7209742387979672</v>
      </c>
      <c r="AW10">
        <v>3.6008142365127043</v>
      </c>
      <c r="AX10">
        <v>3.4806542342274409</v>
      </c>
      <c r="AY10">
        <v>3.360494231942178</v>
      </c>
      <c r="AZ10">
        <v>3.2403342296569093</v>
      </c>
      <c r="BA10">
        <v>2.9572125611090501</v>
      </c>
      <c r="BB10">
        <v>2.7549090354571812</v>
      </c>
      <c r="BC10">
        <v>1.9131326654083933</v>
      </c>
      <c r="BD10">
        <v>1.1720493060869355</v>
      </c>
      <c r="BE10">
        <v>0.59854780884183811</v>
      </c>
      <c r="BF10">
        <v>3.2968404370316937E-2</v>
      </c>
    </row>
    <row r="11" spans="1:58" s="30" customFormat="1" x14ac:dyDescent="0.45">
      <c r="E11" s="30" t="s">
        <v>392</v>
      </c>
      <c r="F11" s="46">
        <f>SUM(G11:BG11)</f>
        <v>305.77502875136099</v>
      </c>
      <c r="G11" s="37">
        <f t="shared" ref="G11:AL11" si="0">+G10*$F$4</f>
        <v>0.69334581386572625</v>
      </c>
      <c r="H11" s="37">
        <f t="shared" si="0"/>
        <v>0.70376175768183924</v>
      </c>
      <c r="I11" s="37">
        <f t="shared" si="0"/>
        <v>3.5494179844465972</v>
      </c>
      <c r="J11" s="37">
        <f t="shared" si="0"/>
        <v>6.4474871995815377</v>
      </c>
      <c r="K11" s="37">
        <f t="shared" si="0"/>
        <v>6.9365048948997217</v>
      </c>
      <c r="L11" s="37">
        <f t="shared" si="0"/>
        <v>8.2797620429028278</v>
      </c>
      <c r="M11" s="37">
        <f t="shared" si="0"/>
        <v>6.2531697758769145</v>
      </c>
      <c r="N11" s="37">
        <f t="shared" si="0"/>
        <v>6.3631531885573906</v>
      </c>
      <c r="O11" s="37">
        <f t="shared" si="0"/>
        <v>9.4398065282157724</v>
      </c>
      <c r="P11" s="37">
        <f t="shared" si="0"/>
        <v>9.2922330642587454</v>
      </c>
      <c r="Q11" s="37">
        <f t="shared" si="0"/>
        <v>9.1446596003017202</v>
      </c>
      <c r="R11" s="37">
        <f t="shared" si="0"/>
        <v>8.997086136344695</v>
      </c>
      <c r="S11" s="37">
        <f t="shared" si="0"/>
        <v>8.849512672387668</v>
      </c>
      <c r="T11" s="37">
        <f t="shared" si="0"/>
        <v>8.7019392084306411</v>
      </c>
      <c r="U11" s="37">
        <f t="shared" si="0"/>
        <v>8.5543657444736159</v>
      </c>
      <c r="V11" s="37">
        <f t="shared" si="0"/>
        <v>8.4067922805165907</v>
      </c>
      <c r="W11" s="37">
        <f t="shared" si="0"/>
        <v>8.2592188165595637</v>
      </c>
      <c r="X11" s="37">
        <f t="shared" si="0"/>
        <v>8.1116453526025367</v>
      </c>
      <c r="Y11" s="37">
        <f t="shared" si="0"/>
        <v>7.9640718886455115</v>
      </c>
      <c r="Z11" s="37">
        <f t="shared" si="0"/>
        <v>7.8164984246884854</v>
      </c>
      <c r="AA11" s="37">
        <f t="shared" si="0"/>
        <v>7.6689249607314594</v>
      </c>
      <c r="AB11" s="37">
        <f t="shared" si="0"/>
        <v>7.5213514967744333</v>
      </c>
      <c r="AC11" s="37">
        <f t="shared" si="0"/>
        <v>7.3737780328174072</v>
      </c>
      <c r="AD11" s="37">
        <f t="shared" si="0"/>
        <v>7.226204568860382</v>
      </c>
      <c r="AE11" s="37">
        <f t="shared" si="0"/>
        <v>7.078631104903355</v>
      </c>
      <c r="AF11" s="37">
        <f t="shared" si="0"/>
        <v>6.9310576409463289</v>
      </c>
      <c r="AG11" s="37">
        <f t="shared" si="0"/>
        <v>6.7834841769893028</v>
      </c>
      <c r="AH11" s="37">
        <f t="shared" si="0"/>
        <v>6.6359107130322776</v>
      </c>
      <c r="AI11" s="37">
        <f t="shared" si="0"/>
        <v>6.4883372490752507</v>
      </c>
      <c r="AJ11" s="37">
        <f t="shared" si="0"/>
        <v>6.3407637851182237</v>
      </c>
      <c r="AK11" s="37">
        <f t="shared" si="0"/>
        <v>6.1931903211611994</v>
      </c>
      <c r="AL11" s="37">
        <f t="shared" si="0"/>
        <v>6.0456168572041733</v>
      </c>
      <c r="AM11" s="37">
        <f t="shared" ref="AM11:BF11" si="1">+AM10*$F$4</f>
        <v>5.8980433932471463</v>
      </c>
      <c r="AN11" s="37">
        <f t="shared" si="1"/>
        <v>5.7504699292901202</v>
      </c>
      <c r="AO11" s="37">
        <f t="shared" si="1"/>
        <v>5.602896465333095</v>
      </c>
      <c r="AP11" s="37">
        <f t="shared" si="1"/>
        <v>5.455323001376069</v>
      </c>
      <c r="AQ11" s="37">
        <f t="shared" si="1"/>
        <v>5.307749537419042</v>
      </c>
      <c r="AR11" s="37">
        <f t="shared" si="1"/>
        <v>5.1601760734620168</v>
      </c>
      <c r="AS11" s="37">
        <f t="shared" si="1"/>
        <v>5.0126026095049907</v>
      </c>
      <c r="AT11" s="37">
        <f t="shared" si="1"/>
        <v>4.8650291455479646</v>
      </c>
      <c r="AU11" s="37">
        <f t="shared" si="1"/>
        <v>4.7174556815909385</v>
      </c>
      <c r="AV11" s="37">
        <f t="shared" si="1"/>
        <v>4.5698822176339124</v>
      </c>
      <c r="AW11" s="37">
        <f t="shared" si="1"/>
        <v>4.4223087536768864</v>
      </c>
      <c r="AX11" s="37">
        <f t="shared" si="1"/>
        <v>4.2747352897198603</v>
      </c>
      <c r="AY11" s="37">
        <f t="shared" si="1"/>
        <v>4.1271618257628342</v>
      </c>
      <c r="AZ11" s="37">
        <f t="shared" si="1"/>
        <v>3.9795883618058014</v>
      </c>
      <c r="BA11" s="37">
        <f t="shared" si="1"/>
        <v>3.6318749417468474</v>
      </c>
      <c r="BB11" s="37">
        <f t="shared" si="1"/>
        <v>3.3834176224777477</v>
      </c>
      <c r="BC11" s="37">
        <f t="shared" si="1"/>
        <v>2.3495972792460607</v>
      </c>
      <c r="BD11" s="37">
        <f t="shared" si="1"/>
        <v>1.4394421832404594</v>
      </c>
      <c r="BE11" s="37">
        <f t="shared" si="1"/>
        <v>0.73510129672751345</v>
      </c>
      <c r="BF11" s="37">
        <f t="shared" si="1"/>
        <v>4.0489859699847225E-2</v>
      </c>
    </row>
    <row r="13" spans="1:58" ht="15" customHeight="1" x14ac:dyDescent="0.45">
      <c r="B13" s="30" t="s">
        <v>380</v>
      </c>
      <c r="D13" t="s">
        <v>382</v>
      </c>
      <c r="E13" s="27" t="s">
        <v>381</v>
      </c>
      <c r="F13" s="46">
        <v>0.35124</v>
      </c>
    </row>
    <row r="14" spans="1:58" x14ac:dyDescent="0.45">
      <c r="E14" s="27" t="s">
        <v>383</v>
      </c>
      <c r="F14" s="46">
        <f>16600/1000000</f>
        <v>1.66E-2</v>
      </c>
    </row>
    <row r="15" spans="1:58" x14ac:dyDescent="0.45">
      <c r="E15" s="27" t="s">
        <v>386</v>
      </c>
      <c r="F15" s="47">
        <f>SUM(F13:F14)</f>
        <v>0.36784</v>
      </c>
    </row>
    <row r="16" spans="1:58" x14ac:dyDescent="0.45">
      <c r="F16" s="46"/>
    </row>
    <row r="17" spans="2:6" x14ac:dyDescent="0.45">
      <c r="D17" t="s">
        <v>396</v>
      </c>
      <c r="E17" t="s">
        <v>384</v>
      </c>
      <c r="F17" s="46">
        <f>55750/1000000</f>
        <v>5.5750000000000001E-2</v>
      </c>
    </row>
    <row r="18" spans="2:6" x14ac:dyDescent="0.45">
      <c r="E18" t="s">
        <v>385</v>
      </c>
      <c r="F18" s="46">
        <f>17625/1000000</f>
        <v>1.7624999999999998E-2</v>
      </c>
    </row>
    <row r="19" spans="2:6" x14ac:dyDescent="0.45">
      <c r="E19" t="s">
        <v>386</v>
      </c>
      <c r="F19" s="47">
        <f>SUM(F17:F18)</f>
        <v>7.3374999999999996E-2</v>
      </c>
    </row>
    <row r="20" spans="2:6" ht="15.75" customHeight="1" x14ac:dyDescent="0.45">
      <c r="F20" s="46"/>
    </row>
    <row r="21" spans="2:6" x14ac:dyDescent="0.45">
      <c r="B21" s="31" t="s">
        <v>395</v>
      </c>
      <c r="D21" t="s">
        <v>382</v>
      </c>
      <c r="E21" t="s">
        <v>387</v>
      </c>
      <c r="F21" s="46">
        <v>0.88200000000000001</v>
      </c>
    </row>
    <row r="22" spans="2:6" x14ac:dyDescent="0.45">
      <c r="E22" t="s">
        <v>388</v>
      </c>
      <c r="F22" s="46">
        <v>7.0810000000000004</v>
      </c>
    </row>
    <row r="23" spans="2:6" x14ac:dyDescent="0.45">
      <c r="E23" t="s">
        <v>390</v>
      </c>
      <c r="F23" s="46">
        <v>5</v>
      </c>
    </row>
    <row r="24" spans="2:6" x14ac:dyDescent="0.45">
      <c r="E24" t="s">
        <v>389</v>
      </c>
      <c r="F24" s="46">
        <f>+(F21*0.8+F22*0.2)/F23</f>
        <v>0.42436000000000007</v>
      </c>
    </row>
    <row r="25" spans="2:6" x14ac:dyDescent="0.45">
      <c r="E25" t="s">
        <v>391</v>
      </c>
      <c r="F25" s="47">
        <f>+F24*F4</f>
        <v>0.52117405104680203</v>
      </c>
    </row>
    <row r="26" spans="2:6" x14ac:dyDescent="0.45">
      <c r="F26" s="50"/>
    </row>
    <row r="27" spans="2:6" ht="28.5" x14ac:dyDescent="0.45">
      <c r="B27" s="30" t="s">
        <v>404</v>
      </c>
      <c r="D27" t="s">
        <v>382</v>
      </c>
      <c r="E27" s="39" t="s">
        <v>405</v>
      </c>
      <c r="F27" s="47">
        <v>0</v>
      </c>
    </row>
    <row r="28" spans="2:6" x14ac:dyDescent="0.45">
      <c r="F28" s="46"/>
    </row>
    <row r="29" spans="2:6" x14ac:dyDescent="0.45">
      <c r="F29" s="46"/>
    </row>
    <row r="30" spans="2:6" ht="28.5" x14ac:dyDescent="0.45">
      <c r="B30" s="30" t="s">
        <v>407</v>
      </c>
      <c r="D30" t="s">
        <v>382</v>
      </c>
      <c r="E30" s="39" t="s">
        <v>458</v>
      </c>
      <c r="F30" s="46">
        <f>+F22*F4</f>
        <v>8.6964686951230217</v>
      </c>
    </row>
    <row r="31" spans="2:6" x14ac:dyDescent="0.45">
      <c r="F31" s="46"/>
    </row>
    <row r="32" spans="2:6" ht="28.5" x14ac:dyDescent="0.45">
      <c r="E32" s="39" t="s">
        <v>408</v>
      </c>
      <c r="F32" s="46">
        <f>0.35*0.35</f>
        <v>0.12249999999999998</v>
      </c>
    </row>
    <row r="33" spans="2:7" x14ac:dyDescent="0.45">
      <c r="F33" s="46"/>
    </row>
    <row r="34" spans="2:7" x14ac:dyDescent="0.45">
      <c r="E34" s="37" t="s">
        <v>406</v>
      </c>
      <c r="F34" s="47">
        <f>+F30*F32</f>
        <v>1.0653174151525699</v>
      </c>
    </row>
    <row r="35" spans="2:7" x14ac:dyDescent="0.45">
      <c r="F35" s="46"/>
    </row>
    <row r="36" spans="2:7" ht="28.5" x14ac:dyDescent="0.45">
      <c r="B36" s="30" t="s">
        <v>409</v>
      </c>
      <c r="D36" t="s">
        <v>382</v>
      </c>
      <c r="E36" s="39" t="s">
        <v>417</v>
      </c>
      <c r="F36" s="46">
        <f>0.35*0.068</f>
        <v>2.3800000000000002E-2</v>
      </c>
    </row>
    <row r="37" spans="2:7" x14ac:dyDescent="0.45">
      <c r="F37" s="46"/>
    </row>
    <row r="38" spans="2:7" ht="42.75" x14ac:dyDescent="0.45">
      <c r="E38" s="39" t="s">
        <v>459</v>
      </c>
      <c r="F38" s="46"/>
    </row>
    <row r="39" spans="2:7" x14ac:dyDescent="0.45">
      <c r="F39" s="46"/>
    </row>
    <row r="40" spans="2:7" ht="57" x14ac:dyDescent="0.45">
      <c r="E40" s="39" t="s">
        <v>498</v>
      </c>
      <c r="F40" s="46">
        <f>+Constraints!F10</f>
        <v>33.880000000000003</v>
      </c>
    </row>
    <row r="41" spans="2:7" x14ac:dyDescent="0.45">
      <c r="F41" s="46"/>
    </row>
    <row r="42" spans="2:7" x14ac:dyDescent="0.45">
      <c r="E42" s="37" t="s">
        <v>416</v>
      </c>
      <c r="F42" s="47">
        <f>+F36*F40</f>
        <v>0.80634400000000017</v>
      </c>
    </row>
    <row r="43" spans="2:7" ht="57" x14ac:dyDescent="0.45">
      <c r="E43" s="39" t="s">
        <v>423</v>
      </c>
      <c r="F43" s="46">
        <f>+Constraints!F19*3</f>
        <v>22.133750000000003</v>
      </c>
    </row>
    <row r="44" spans="2:7" x14ac:dyDescent="0.45">
      <c r="F44" s="46"/>
    </row>
    <row r="45" spans="2:7" x14ac:dyDescent="0.45">
      <c r="E45" s="37" t="s">
        <v>471</v>
      </c>
      <c r="F45" s="47">
        <f>+F43*F36</f>
        <v>0.52678325000000015</v>
      </c>
    </row>
    <row r="46" spans="2:7" x14ac:dyDescent="0.45">
      <c r="F46" s="46"/>
    </row>
    <row r="47" spans="2:7" ht="71.25" x14ac:dyDescent="0.45">
      <c r="E47" s="44" t="s">
        <v>465</v>
      </c>
      <c r="F47" s="46">
        <f>(+'Wholesale gas price impact'!C2+2*'Wholesale gas price impact'!C3)/1000000</f>
        <v>152.86250000000001</v>
      </c>
      <c r="G47" t="s">
        <v>454</v>
      </c>
    </row>
    <row r="48" spans="2:7" x14ac:dyDescent="0.45">
      <c r="F48" s="46"/>
    </row>
    <row r="49" spans="2:6" x14ac:dyDescent="0.45">
      <c r="E49" s="37" t="s">
        <v>499</v>
      </c>
      <c r="F49" s="48">
        <f>+F36*F47</f>
        <v>3.6381275000000004</v>
      </c>
    </row>
    <row r="50" spans="2:6" x14ac:dyDescent="0.45">
      <c r="F50" s="46"/>
    </row>
    <row r="51" spans="2:6" ht="57" x14ac:dyDescent="0.45">
      <c r="E51" s="44" t="s">
        <v>466</v>
      </c>
      <c r="F51" s="46">
        <f>+F22*F4</f>
        <v>8.6964686951230217</v>
      </c>
    </row>
    <row r="53" spans="2:6" x14ac:dyDescent="0.45">
      <c r="E53" s="37" t="s">
        <v>431</v>
      </c>
      <c r="F53" s="48">
        <f>+F51*F36</f>
        <v>0.20697595494392793</v>
      </c>
    </row>
    <row r="55" spans="2:6" ht="57" x14ac:dyDescent="0.45">
      <c r="B55" s="30" t="s">
        <v>432</v>
      </c>
      <c r="D55" t="s">
        <v>382</v>
      </c>
      <c r="E55" s="39" t="s">
        <v>469</v>
      </c>
      <c r="F55" s="49">
        <f>0.35*0.001+F36*0.2</f>
        <v>5.11E-3</v>
      </c>
    </row>
    <row r="56" spans="2:6" x14ac:dyDescent="0.45">
      <c r="F56" s="46"/>
    </row>
    <row r="57" spans="2:6" ht="42.75" x14ac:dyDescent="0.45">
      <c r="E57" s="39" t="s">
        <v>500</v>
      </c>
      <c r="F57" s="46"/>
    </row>
    <row r="58" spans="2:6" x14ac:dyDescent="0.45">
      <c r="F58" s="46"/>
    </row>
    <row r="59" spans="2:6" ht="57" x14ac:dyDescent="0.45">
      <c r="E59" s="39" t="s">
        <v>410</v>
      </c>
      <c r="F59" s="46">
        <f>+Constraints!F10</f>
        <v>33.880000000000003</v>
      </c>
    </row>
    <row r="60" spans="2:6" x14ac:dyDescent="0.45">
      <c r="F60" s="46"/>
    </row>
    <row r="61" spans="2:6" x14ac:dyDescent="0.45">
      <c r="E61" s="37" t="s">
        <v>416</v>
      </c>
      <c r="F61" s="47">
        <f>+(F55-F36*0.2)*F59</f>
        <v>1.1857999999999988E-2</v>
      </c>
    </row>
    <row r="62" spans="2:6" ht="57" x14ac:dyDescent="0.45">
      <c r="E62" s="39" t="s">
        <v>423</v>
      </c>
      <c r="F62" s="46">
        <f>+Constraints!F18*16/12</f>
        <v>118.04666666666668</v>
      </c>
    </row>
    <row r="63" spans="2:6" x14ac:dyDescent="0.45">
      <c r="F63" s="46"/>
    </row>
    <row r="64" spans="2:6" x14ac:dyDescent="0.45">
      <c r="E64" s="37" t="s">
        <v>475</v>
      </c>
      <c r="F64" s="47">
        <f>+F62*F55</f>
        <v>0.60321846666666679</v>
      </c>
    </row>
    <row r="65" spans="2:7" x14ac:dyDescent="0.45">
      <c r="F65" s="46"/>
    </row>
    <row r="66" spans="2:7" ht="85.5" x14ac:dyDescent="0.45">
      <c r="E66" s="44" t="s">
        <v>472</v>
      </c>
      <c r="F66" s="46">
        <f>(+'Wholesale gas price impact'!C2+15*'Wholesale gas price impact'!C3)/1000000</f>
        <v>379.97250000000003</v>
      </c>
      <c r="G66" t="s">
        <v>456</v>
      </c>
    </row>
    <row r="67" spans="2:7" x14ac:dyDescent="0.45">
      <c r="E67" s="44"/>
      <c r="F67" s="46"/>
    </row>
    <row r="68" spans="2:7" x14ac:dyDescent="0.45">
      <c r="E68" s="37" t="s">
        <v>476</v>
      </c>
      <c r="F68" s="47">
        <f>+F66*(F55-F36*0.2)+F36*0.2*16*'Wholesale gas price impact'!C3/1000000</f>
        <v>1.4635055750000001</v>
      </c>
    </row>
    <row r="69" spans="2:7" x14ac:dyDescent="0.45">
      <c r="F69" s="46"/>
    </row>
    <row r="70" spans="2:7" ht="57" x14ac:dyDescent="0.45">
      <c r="E70" s="44" t="s">
        <v>504</v>
      </c>
      <c r="F70" s="46">
        <f>+Intervention!C9+F22*F4</f>
        <v>23.174818695123022</v>
      </c>
    </row>
    <row r="72" spans="2:7" x14ac:dyDescent="0.45">
      <c r="E72" s="37" t="s">
        <v>490</v>
      </c>
      <c r="F72" s="47">
        <f>+F70*F55</f>
        <v>0.11842332353207864</v>
      </c>
    </row>
    <row r="75" spans="2:7" x14ac:dyDescent="0.45">
      <c r="B75" s="30" t="s">
        <v>442</v>
      </c>
      <c r="E75" t="s">
        <v>446</v>
      </c>
      <c r="F75">
        <f>+'Loss of life'!C5</f>
        <v>8.855E-3</v>
      </c>
    </row>
    <row r="77" spans="2:7" x14ac:dyDescent="0.45">
      <c r="E77" s="39" t="s">
        <v>447</v>
      </c>
      <c r="F77">
        <v>16</v>
      </c>
    </row>
    <row r="79" spans="2:7" x14ac:dyDescent="0.45">
      <c r="E79" s="37" t="s">
        <v>448</v>
      </c>
      <c r="F79" s="37">
        <f>+F75*F77</f>
        <v>0.14168</v>
      </c>
    </row>
    <row r="82" spans="5:7" ht="28.5" x14ac:dyDescent="0.45">
      <c r="E82" s="44" t="s">
        <v>467</v>
      </c>
      <c r="F82">
        <f>1/3200</f>
        <v>3.1250000000000001E-4</v>
      </c>
    </row>
    <row r="84" spans="5:7" ht="42.75" x14ac:dyDescent="0.45">
      <c r="E84" s="39" t="s">
        <v>477</v>
      </c>
      <c r="F84" s="46"/>
    </row>
    <row r="85" spans="5:7" x14ac:dyDescent="0.45">
      <c r="F85" s="46"/>
    </row>
    <row r="86" spans="5:7" ht="57" x14ac:dyDescent="0.45">
      <c r="E86" s="39" t="s">
        <v>410</v>
      </c>
      <c r="F86" s="46">
        <f>+Constraints!F10</f>
        <v>33.880000000000003</v>
      </c>
    </row>
    <row r="87" spans="5:7" x14ac:dyDescent="0.45">
      <c r="F87" s="46"/>
    </row>
    <row r="88" spans="5:7" x14ac:dyDescent="0.45">
      <c r="E88" s="37" t="s">
        <v>416</v>
      </c>
      <c r="F88" s="47">
        <f>+F82*F86</f>
        <v>1.0587500000000001E-2</v>
      </c>
    </row>
    <row r="89" spans="5:7" x14ac:dyDescent="0.45">
      <c r="E89" s="32"/>
      <c r="F89" s="50"/>
    </row>
    <row r="90" spans="5:7" ht="57" x14ac:dyDescent="0.45">
      <c r="E90" s="39" t="s">
        <v>423</v>
      </c>
      <c r="F90" s="46">
        <f>+Constraints!F18*16/12</f>
        <v>118.04666666666668</v>
      </c>
    </row>
    <row r="91" spans="5:7" x14ac:dyDescent="0.45">
      <c r="F91" s="46"/>
    </row>
    <row r="92" spans="5:7" x14ac:dyDescent="0.45">
      <c r="E92" s="37" t="s">
        <v>475</v>
      </c>
      <c r="F92" s="47">
        <f>+F90*F82</f>
        <v>3.6889583333333337E-2</v>
      </c>
    </row>
    <row r="93" spans="5:7" x14ac:dyDescent="0.45">
      <c r="F93" s="46"/>
    </row>
    <row r="94" spans="5:7" ht="85.5" x14ac:dyDescent="0.45">
      <c r="E94" s="44" t="s">
        <v>502</v>
      </c>
      <c r="F94" s="46">
        <f>(+'Wholesale gas price impact'!C2+'Wholesale gas price impact'!C3*15)/1000000</f>
        <v>379.97250000000003</v>
      </c>
      <c r="G94" t="s">
        <v>456</v>
      </c>
    </row>
    <row r="95" spans="5:7" x14ac:dyDescent="0.45">
      <c r="F95" s="46"/>
    </row>
    <row r="96" spans="5:7" x14ac:dyDescent="0.45">
      <c r="E96" s="37" t="s">
        <v>501</v>
      </c>
      <c r="F96" s="47">
        <f>+F82*F94</f>
        <v>0.11874140625000001</v>
      </c>
    </row>
    <row r="97" spans="5:6" x14ac:dyDescent="0.45">
      <c r="F97" s="46"/>
    </row>
    <row r="98" spans="5:6" ht="28.5" x14ac:dyDescent="0.45">
      <c r="E98" s="44" t="s">
        <v>503</v>
      </c>
      <c r="F98" s="46">
        <f>+Intervention!C9</f>
        <v>14.478349999999999</v>
      </c>
    </row>
    <row r="100" spans="5:6" x14ac:dyDescent="0.45">
      <c r="E100" s="37" t="s">
        <v>490</v>
      </c>
      <c r="F100" s="53">
        <f>+F98*F82</f>
        <v>4.5244843749999994E-3</v>
      </c>
    </row>
    <row r="102" spans="5:6" x14ac:dyDescent="0.45">
      <c r="E102" s="39" t="s">
        <v>526</v>
      </c>
      <c r="F102">
        <v>8.5</v>
      </c>
    </row>
    <row r="104" spans="5:6" x14ac:dyDescent="0.45">
      <c r="E104" s="37" t="s">
        <v>527</v>
      </c>
      <c r="F104" s="53">
        <f>+F102*F82</f>
        <v>2.6562500000000002E-3</v>
      </c>
    </row>
    <row r="106" spans="5:6" ht="28.5" x14ac:dyDescent="0.45">
      <c r="E106" s="39" t="s">
        <v>451</v>
      </c>
      <c r="F106">
        <v>241</v>
      </c>
    </row>
    <row r="108" spans="5:6" x14ac:dyDescent="0.45">
      <c r="E108" s="37" t="s">
        <v>450</v>
      </c>
      <c r="F108" s="37">
        <f>+F106*F82</f>
        <v>7.5312500000000004E-2</v>
      </c>
    </row>
  </sheetData>
  <pageMargins left="0.70866141732283472" right="0.70866141732283472" top="0.74803149606299213" bottom="0.74803149606299213" header="0.31496062992125984" footer="0.31496062992125984"/>
  <pageSetup paperSize="9" scale="62" fitToHeight="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2:BL27"/>
  <sheetViews>
    <sheetView showGridLines="0" zoomScale="80" zoomScaleNormal="80" zoomScaleSheetLayoutView="75" workbookViewId="0">
      <selection activeCell="BK19" sqref="BK19"/>
    </sheetView>
  </sheetViews>
  <sheetFormatPr defaultColWidth="9.1328125" defaultRowHeight="15.4" outlineLevelRow="1" x14ac:dyDescent="0.6"/>
  <cols>
    <col min="1" max="1" width="2.86328125" style="10" customWidth="1"/>
    <col min="2" max="2" width="37" style="3" customWidth="1"/>
    <col min="3" max="3" width="8.1328125" style="3" customWidth="1"/>
    <col min="4" max="4" width="9.86328125" style="3" customWidth="1"/>
    <col min="5" max="19" width="8.73046875" style="3" customWidth="1"/>
    <col min="20" max="16384" width="9.1328125" style="10"/>
  </cols>
  <sheetData>
    <row r="2" spans="2:64" x14ac:dyDescent="0.6">
      <c r="B2" s="2" t="s">
        <v>399</v>
      </c>
      <c r="C2" s="34"/>
      <c r="D2" s="34"/>
      <c r="E2" s="34"/>
      <c r="F2" s="34"/>
    </row>
    <row r="4" spans="2:64" x14ac:dyDescent="0.6">
      <c r="D4" s="3">
        <v>1</v>
      </c>
      <c r="E4" s="3">
        <f>+D4+1</f>
        <v>2</v>
      </c>
      <c r="F4" s="3">
        <f t="shared" ref="F4:BK5" si="0">+E4+1</f>
        <v>3</v>
      </c>
      <c r="G4" s="3">
        <f t="shared" si="0"/>
        <v>4</v>
      </c>
      <c r="H4" s="3">
        <f t="shared" si="0"/>
        <v>5</v>
      </c>
      <c r="I4" s="3">
        <f t="shared" si="0"/>
        <v>6</v>
      </c>
      <c r="J4" s="3">
        <f t="shared" si="0"/>
        <v>7</v>
      </c>
      <c r="K4" s="3">
        <f t="shared" si="0"/>
        <v>8</v>
      </c>
      <c r="L4" s="3">
        <f t="shared" si="0"/>
        <v>9</v>
      </c>
      <c r="M4" s="3">
        <f t="shared" si="0"/>
        <v>10</v>
      </c>
      <c r="N4" s="3">
        <f t="shared" si="0"/>
        <v>11</v>
      </c>
      <c r="O4" s="3">
        <f t="shared" si="0"/>
        <v>12</v>
      </c>
      <c r="P4" s="3">
        <f t="shared" si="0"/>
        <v>13</v>
      </c>
      <c r="Q4" s="3">
        <f t="shared" si="0"/>
        <v>14</v>
      </c>
      <c r="R4" s="3">
        <f t="shared" si="0"/>
        <v>15</v>
      </c>
      <c r="S4" s="3">
        <f t="shared" si="0"/>
        <v>16</v>
      </c>
      <c r="T4" s="3">
        <f t="shared" si="0"/>
        <v>17</v>
      </c>
      <c r="U4" s="3">
        <f t="shared" si="0"/>
        <v>18</v>
      </c>
      <c r="V4" s="3">
        <f t="shared" si="0"/>
        <v>19</v>
      </c>
      <c r="W4" s="3">
        <f t="shared" si="0"/>
        <v>20</v>
      </c>
      <c r="X4" s="3">
        <f t="shared" si="0"/>
        <v>21</v>
      </c>
      <c r="Y4" s="3">
        <f t="shared" si="0"/>
        <v>22</v>
      </c>
      <c r="Z4" s="3">
        <f t="shared" si="0"/>
        <v>23</v>
      </c>
      <c r="AA4" s="3">
        <f t="shared" si="0"/>
        <v>24</v>
      </c>
      <c r="AB4" s="3">
        <f t="shared" si="0"/>
        <v>25</v>
      </c>
      <c r="AC4" s="3">
        <f t="shared" si="0"/>
        <v>26</v>
      </c>
      <c r="AD4" s="3">
        <f t="shared" si="0"/>
        <v>27</v>
      </c>
      <c r="AE4" s="3">
        <f t="shared" si="0"/>
        <v>28</v>
      </c>
      <c r="AF4" s="3">
        <f t="shared" si="0"/>
        <v>29</v>
      </c>
      <c r="AG4" s="3">
        <f t="shared" si="0"/>
        <v>30</v>
      </c>
      <c r="AH4" s="3">
        <f t="shared" si="0"/>
        <v>31</v>
      </c>
      <c r="AI4" s="3">
        <f t="shared" si="0"/>
        <v>32</v>
      </c>
      <c r="AJ4" s="3">
        <f t="shared" si="0"/>
        <v>33</v>
      </c>
      <c r="AK4" s="3">
        <f t="shared" si="0"/>
        <v>34</v>
      </c>
      <c r="AL4" s="3">
        <f t="shared" si="0"/>
        <v>35</v>
      </c>
      <c r="AM4" s="3">
        <f t="shared" si="0"/>
        <v>36</v>
      </c>
      <c r="AN4" s="3">
        <f t="shared" si="0"/>
        <v>37</v>
      </c>
      <c r="AO4" s="3">
        <f t="shared" si="0"/>
        <v>38</v>
      </c>
      <c r="AP4" s="3">
        <f t="shared" si="0"/>
        <v>39</v>
      </c>
      <c r="AQ4" s="3">
        <f t="shared" si="0"/>
        <v>40</v>
      </c>
      <c r="AR4" s="3">
        <f t="shared" si="0"/>
        <v>41</v>
      </c>
      <c r="AS4" s="3">
        <f t="shared" si="0"/>
        <v>42</v>
      </c>
      <c r="AT4" s="3">
        <f t="shared" si="0"/>
        <v>43</v>
      </c>
      <c r="AU4" s="3">
        <f t="shared" si="0"/>
        <v>44</v>
      </c>
      <c r="AV4" s="3">
        <f t="shared" si="0"/>
        <v>45</v>
      </c>
      <c r="AW4" s="3">
        <f t="shared" si="0"/>
        <v>46</v>
      </c>
      <c r="AX4" s="3">
        <f t="shared" si="0"/>
        <v>47</v>
      </c>
      <c r="AY4" s="3">
        <f t="shared" si="0"/>
        <v>48</v>
      </c>
      <c r="AZ4" s="3">
        <f t="shared" si="0"/>
        <v>49</v>
      </c>
      <c r="BA4" s="3">
        <f t="shared" si="0"/>
        <v>50</v>
      </c>
      <c r="BB4" s="3">
        <f t="shared" si="0"/>
        <v>51</v>
      </c>
      <c r="BC4" s="3">
        <f t="shared" si="0"/>
        <v>52</v>
      </c>
      <c r="BD4" s="3">
        <f t="shared" si="0"/>
        <v>53</v>
      </c>
      <c r="BE4" s="3">
        <f t="shared" si="0"/>
        <v>54</v>
      </c>
      <c r="BF4" s="3">
        <f t="shared" si="0"/>
        <v>55</v>
      </c>
      <c r="BG4" s="3">
        <f t="shared" si="0"/>
        <v>56</v>
      </c>
      <c r="BH4" s="3">
        <f t="shared" si="0"/>
        <v>57</v>
      </c>
      <c r="BI4" s="3">
        <f t="shared" si="0"/>
        <v>58</v>
      </c>
      <c r="BJ4" s="3">
        <f t="shared" si="0"/>
        <v>59</v>
      </c>
      <c r="BK4" s="3">
        <f t="shared" si="0"/>
        <v>60</v>
      </c>
    </row>
    <row r="5" spans="2:64" x14ac:dyDescent="0.6">
      <c r="C5" s="3" t="s">
        <v>5</v>
      </c>
      <c r="D5" s="21">
        <v>2017</v>
      </c>
      <c r="E5" s="21">
        <f>+D5+1</f>
        <v>2018</v>
      </c>
      <c r="F5" s="21">
        <f t="shared" si="0"/>
        <v>2019</v>
      </c>
      <c r="G5" s="21">
        <f t="shared" si="0"/>
        <v>2020</v>
      </c>
      <c r="H5" s="21">
        <f t="shared" si="0"/>
        <v>2021</v>
      </c>
      <c r="I5" s="21">
        <f t="shared" si="0"/>
        <v>2022</v>
      </c>
      <c r="J5" s="21">
        <f t="shared" si="0"/>
        <v>2023</v>
      </c>
      <c r="K5" s="21">
        <f t="shared" si="0"/>
        <v>2024</v>
      </c>
      <c r="L5" s="21">
        <f t="shared" si="0"/>
        <v>2025</v>
      </c>
      <c r="M5" s="21">
        <f t="shared" si="0"/>
        <v>2026</v>
      </c>
      <c r="N5" s="21">
        <f t="shared" si="0"/>
        <v>2027</v>
      </c>
      <c r="O5" s="21">
        <f t="shared" si="0"/>
        <v>2028</v>
      </c>
      <c r="P5" s="21">
        <f t="shared" si="0"/>
        <v>2029</v>
      </c>
      <c r="Q5" s="21">
        <f t="shared" si="0"/>
        <v>2030</v>
      </c>
      <c r="R5" s="21">
        <f t="shared" si="0"/>
        <v>2031</v>
      </c>
      <c r="S5" s="21">
        <f t="shared" si="0"/>
        <v>2032</v>
      </c>
      <c r="T5" s="21">
        <f t="shared" si="0"/>
        <v>2033</v>
      </c>
      <c r="U5" s="21">
        <f t="shared" si="0"/>
        <v>2034</v>
      </c>
      <c r="V5" s="21">
        <f t="shared" si="0"/>
        <v>2035</v>
      </c>
      <c r="W5" s="21">
        <f t="shared" si="0"/>
        <v>2036</v>
      </c>
      <c r="X5" s="21">
        <f t="shared" si="0"/>
        <v>2037</v>
      </c>
      <c r="Y5" s="21">
        <f t="shared" si="0"/>
        <v>2038</v>
      </c>
      <c r="Z5" s="21">
        <f t="shared" si="0"/>
        <v>2039</v>
      </c>
      <c r="AA5" s="21">
        <f t="shared" si="0"/>
        <v>2040</v>
      </c>
      <c r="AB5" s="21">
        <f t="shared" si="0"/>
        <v>2041</v>
      </c>
      <c r="AC5" s="21">
        <f t="shared" si="0"/>
        <v>2042</v>
      </c>
      <c r="AD5" s="21">
        <f t="shared" si="0"/>
        <v>2043</v>
      </c>
      <c r="AE5" s="21">
        <f t="shared" si="0"/>
        <v>2044</v>
      </c>
      <c r="AF5" s="21">
        <f t="shared" si="0"/>
        <v>2045</v>
      </c>
      <c r="AG5" s="21">
        <f t="shared" si="0"/>
        <v>2046</v>
      </c>
      <c r="AH5" s="21">
        <f t="shared" si="0"/>
        <v>2047</v>
      </c>
      <c r="AI5" s="21">
        <f t="shared" si="0"/>
        <v>2048</v>
      </c>
      <c r="AJ5" s="21">
        <f t="shared" si="0"/>
        <v>2049</v>
      </c>
      <c r="AK5" s="21">
        <f t="shared" si="0"/>
        <v>2050</v>
      </c>
      <c r="AL5" s="21">
        <f t="shared" si="0"/>
        <v>2051</v>
      </c>
      <c r="AM5" s="21">
        <f t="shared" si="0"/>
        <v>2052</v>
      </c>
      <c r="AN5" s="21">
        <f t="shared" si="0"/>
        <v>2053</v>
      </c>
      <c r="AO5" s="21">
        <f t="shared" si="0"/>
        <v>2054</v>
      </c>
      <c r="AP5" s="21">
        <f t="shared" si="0"/>
        <v>2055</v>
      </c>
      <c r="AQ5" s="21">
        <f t="shared" si="0"/>
        <v>2056</v>
      </c>
      <c r="AR5" s="21">
        <f t="shared" si="0"/>
        <v>2057</v>
      </c>
      <c r="AS5" s="21">
        <f t="shared" si="0"/>
        <v>2058</v>
      </c>
      <c r="AT5" s="21">
        <f t="shared" si="0"/>
        <v>2059</v>
      </c>
      <c r="AU5" s="21">
        <f t="shared" si="0"/>
        <v>2060</v>
      </c>
      <c r="AV5" s="21">
        <f t="shared" si="0"/>
        <v>2061</v>
      </c>
      <c r="AW5" s="21">
        <f t="shared" si="0"/>
        <v>2062</v>
      </c>
      <c r="AX5" s="21">
        <f t="shared" si="0"/>
        <v>2063</v>
      </c>
      <c r="AY5" s="21">
        <f t="shared" si="0"/>
        <v>2064</v>
      </c>
      <c r="AZ5" s="21">
        <f t="shared" si="0"/>
        <v>2065</v>
      </c>
      <c r="BA5" s="21">
        <f t="shared" si="0"/>
        <v>2066</v>
      </c>
      <c r="BB5" s="21">
        <f t="shared" si="0"/>
        <v>2067</v>
      </c>
      <c r="BC5" s="21">
        <f t="shared" si="0"/>
        <v>2068</v>
      </c>
      <c r="BD5" s="21">
        <f t="shared" si="0"/>
        <v>2069</v>
      </c>
      <c r="BE5" s="21">
        <f t="shared" si="0"/>
        <v>2070</v>
      </c>
      <c r="BF5" s="21">
        <f t="shared" si="0"/>
        <v>2071</v>
      </c>
      <c r="BG5" s="21">
        <f t="shared" si="0"/>
        <v>2072</v>
      </c>
      <c r="BH5" s="21">
        <f t="shared" si="0"/>
        <v>2073</v>
      </c>
      <c r="BI5" s="21">
        <f t="shared" si="0"/>
        <v>2074</v>
      </c>
      <c r="BJ5" s="21">
        <f t="shared" si="0"/>
        <v>2075</v>
      </c>
      <c r="BK5" s="21">
        <f t="shared" si="0"/>
        <v>2076</v>
      </c>
      <c r="BL5" s="10" t="s">
        <v>386</v>
      </c>
    </row>
    <row r="6" spans="2:64" x14ac:dyDescent="0.6">
      <c r="B6" s="17" t="str">
        <f>+'Workings 2'!B7</f>
        <v>Operational / Maintenance</v>
      </c>
      <c r="C6" s="17" t="s">
        <v>4</v>
      </c>
      <c r="D6" s="18">
        <f>-'Workings 2'!$E$9</f>
        <v>-0.36784</v>
      </c>
      <c r="E6" s="18">
        <f>-'Workings 2'!$E$9</f>
        <v>-0.36784</v>
      </c>
      <c r="F6" s="18">
        <f>-'Workings 2'!$E$9</f>
        <v>-0.36784</v>
      </c>
      <c r="G6" s="18">
        <f>-'Workings 2'!$E$9</f>
        <v>-0.36784</v>
      </c>
      <c r="H6" s="18">
        <f>-'Workings 2'!$E$9</f>
        <v>-0.36784</v>
      </c>
      <c r="I6" s="18">
        <f>-'Workings 2'!$E$9</f>
        <v>-0.36784</v>
      </c>
      <c r="J6" s="18">
        <f>-'Workings 2'!$E$9</f>
        <v>-0.36784</v>
      </c>
      <c r="K6" s="18">
        <f>-'Workings 2'!$E$9</f>
        <v>-0.36784</v>
      </c>
      <c r="L6" s="18">
        <f>-'Workings 2'!$E$9</f>
        <v>-0.36784</v>
      </c>
      <c r="M6" s="18">
        <f>-'Workings 2'!$E$9</f>
        <v>-0.36784</v>
      </c>
      <c r="N6" s="18">
        <f>-'Workings 2'!$E$9</f>
        <v>-0.36784</v>
      </c>
      <c r="O6" s="18">
        <f>-'Workings 2'!$E$9</f>
        <v>-0.36784</v>
      </c>
      <c r="P6" s="18">
        <f>-'Workings 2'!$E$9</f>
        <v>-0.36784</v>
      </c>
      <c r="Q6" s="18">
        <f>-'Workings 2'!$E$9</f>
        <v>-0.36784</v>
      </c>
      <c r="R6" s="18">
        <f>-'Workings 2'!$E$9</f>
        <v>-0.36784</v>
      </c>
      <c r="S6" s="18">
        <f>-'Workings 2'!$E$9</f>
        <v>-0.36784</v>
      </c>
      <c r="T6" s="18">
        <f>-'Workings 2'!$E$9</f>
        <v>-0.36784</v>
      </c>
      <c r="U6" s="18">
        <f>-'Workings 2'!$E$9</f>
        <v>-0.36784</v>
      </c>
      <c r="V6" s="18">
        <f>-'Workings 2'!$E$9</f>
        <v>-0.36784</v>
      </c>
      <c r="W6" s="18">
        <f>-'Workings 2'!$E$9</f>
        <v>-0.36784</v>
      </c>
      <c r="X6" s="18">
        <f>-'Workings 2'!$E$9</f>
        <v>-0.36784</v>
      </c>
      <c r="Y6" s="18">
        <f>-'Workings 2'!$E$9</f>
        <v>-0.36784</v>
      </c>
      <c r="Z6" s="18">
        <f>-'Workings 2'!$E$9</f>
        <v>-0.36784</v>
      </c>
      <c r="AA6" s="18">
        <f>-'Workings 2'!$E$9</f>
        <v>-0.36784</v>
      </c>
      <c r="AB6" s="18">
        <f>-'Workings 2'!$E$9</f>
        <v>-0.36784</v>
      </c>
      <c r="AC6" s="18">
        <f>-'Workings 2'!$E$9</f>
        <v>-0.36784</v>
      </c>
      <c r="AD6" s="18">
        <f>-'Workings 2'!$E$9</f>
        <v>-0.36784</v>
      </c>
      <c r="AE6" s="18">
        <f>-'Workings 2'!$E$9</f>
        <v>-0.36784</v>
      </c>
      <c r="AF6" s="18">
        <f>-'Workings 2'!$E$9</f>
        <v>-0.36784</v>
      </c>
      <c r="AG6" s="18">
        <f>-'Workings 2'!$E$9</f>
        <v>-0.36784</v>
      </c>
      <c r="AH6" s="18">
        <f>-'Workings 2'!$E$9</f>
        <v>-0.36784</v>
      </c>
      <c r="AI6" s="18">
        <f>-'Workings 2'!$E$9</f>
        <v>-0.36784</v>
      </c>
      <c r="AJ6" s="18">
        <f>-'Workings 2'!$E$9</f>
        <v>-0.36784</v>
      </c>
      <c r="AK6" s="18">
        <f>-'Workings 2'!$E$9</f>
        <v>-0.36784</v>
      </c>
      <c r="AL6" s="18">
        <f>-'Workings 2'!$E$9</f>
        <v>-0.36784</v>
      </c>
      <c r="AM6" s="18">
        <f>-'Workings 2'!$E$9</f>
        <v>-0.36784</v>
      </c>
      <c r="AN6" s="18">
        <f>-'Workings 2'!$E$9</f>
        <v>-0.36784</v>
      </c>
      <c r="AO6" s="18">
        <f>-'Workings 2'!$E$9</f>
        <v>-0.36784</v>
      </c>
      <c r="AP6" s="18">
        <f>-'Workings 2'!$E$9</f>
        <v>-0.36784</v>
      </c>
      <c r="AQ6" s="18">
        <f>-'Workings 2'!$E$9</f>
        <v>-0.36784</v>
      </c>
      <c r="AR6" s="18">
        <f>-'Workings 2'!$E$9</f>
        <v>-0.36784</v>
      </c>
      <c r="AS6" s="18">
        <f>-'Workings 2'!$E$9</f>
        <v>-0.36784</v>
      </c>
      <c r="AT6" s="18">
        <f>-'Workings 2'!$E$9</f>
        <v>-0.36784</v>
      </c>
      <c r="AU6" s="18">
        <f>-'Workings 2'!$E$9</f>
        <v>-0.36784</v>
      </c>
      <c r="AV6" s="18">
        <f>-'Workings 2'!$E$9</f>
        <v>-0.36784</v>
      </c>
      <c r="AW6" s="18">
        <f>-'Workings 2'!$E$9</f>
        <v>-0.36784</v>
      </c>
      <c r="AX6" s="18">
        <f>-'Workings 2'!$E$9</f>
        <v>-0.36784</v>
      </c>
      <c r="AY6" s="18">
        <f>-'Workings 2'!$E$9</f>
        <v>-0.36784</v>
      </c>
      <c r="AZ6" s="18">
        <f>-'Workings 2'!$E$9</f>
        <v>-0.36784</v>
      </c>
      <c r="BA6" s="18">
        <f>-'Workings 2'!$E$9</f>
        <v>-0.36784</v>
      </c>
      <c r="BB6" s="18">
        <f>-'Workings 2'!$E$9</f>
        <v>-0.36784</v>
      </c>
      <c r="BC6" s="18">
        <f>-'Workings 2'!$E$9</f>
        <v>-0.36784</v>
      </c>
      <c r="BD6" s="18">
        <f>-'Workings 2'!$E$9</f>
        <v>-0.36784</v>
      </c>
      <c r="BE6" s="18">
        <f>-'Workings 2'!$E$9</f>
        <v>-0.36784</v>
      </c>
      <c r="BF6" s="18">
        <f>-'Workings 2'!$E$9</f>
        <v>-0.36784</v>
      </c>
      <c r="BG6" s="18">
        <f>-'Workings 2'!$E$9</f>
        <v>-0.36784</v>
      </c>
      <c r="BH6" s="18">
        <f>-'Workings 2'!$E$9</f>
        <v>-0.36784</v>
      </c>
      <c r="BI6" s="18">
        <f>-'Workings 2'!$E$9</f>
        <v>-0.36784</v>
      </c>
      <c r="BJ6" s="18">
        <f>-'Workings 2'!$E$9</f>
        <v>-0.36784</v>
      </c>
      <c r="BK6" s="18">
        <f>-'Workings 2'!$E$9</f>
        <v>-0.36784</v>
      </c>
      <c r="BL6" s="33">
        <f>SUM(D6:BJ6)</f>
        <v>-21.702560000000002</v>
      </c>
    </row>
    <row r="7" spans="2:64" x14ac:dyDescent="0.6">
      <c r="B7" s="17" t="str">
        <f>+'Workings 2'!B11</f>
        <v>Routine Frond Mattress Replacement</v>
      </c>
      <c r="C7" s="17" t="s">
        <v>4</v>
      </c>
      <c r="D7" s="18">
        <f>-'Workings 2'!$E$15</f>
        <v>-0.52117405104680203</v>
      </c>
      <c r="E7" s="18">
        <f>-'Workings 2'!$E$15</f>
        <v>-0.52117405104680203</v>
      </c>
      <c r="F7" s="18">
        <f>-'Workings 2'!$E$15</f>
        <v>-0.52117405104680203</v>
      </c>
      <c r="G7" s="18">
        <f>-'Workings 2'!$E$15</f>
        <v>-0.52117405104680203</v>
      </c>
      <c r="H7" s="18">
        <f>-'Workings 2'!$E$15</f>
        <v>-0.52117405104680203</v>
      </c>
      <c r="I7" s="18">
        <f>-'Workings 2'!$E$15</f>
        <v>-0.52117405104680203</v>
      </c>
      <c r="J7" s="18">
        <f>-'Workings 2'!$E$15</f>
        <v>-0.52117405104680203</v>
      </c>
      <c r="K7" s="18">
        <f>-'Workings 2'!$E$15</f>
        <v>-0.52117405104680203</v>
      </c>
      <c r="L7" s="18">
        <f>-'Workings 2'!$E$15</f>
        <v>-0.52117405104680203</v>
      </c>
      <c r="M7" s="18">
        <f>-'Workings 2'!$E$15</f>
        <v>-0.52117405104680203</v>
      </c>
      <c r="N7" s="18">
        <f>-'Workings 2'!$E$15</f>
        <v>-0.52117405104680203</v>
      </c>
      <c r="O7" s="18">
        <f>-'Workings 2'!$E$15</f>
        <v>-0.52117405104680203</v>
      </c>
      <c r="P7" s="18">
        <f>-'Workings 2'!$E$15</f>
        <v>-0.52117405104680203</v>
      </c>
      <c r="Q7" s="18">
        <f>-'Workings 2'!$E$15</f>
        <v>-0.52117405104680203</v>
      </c>
      <c r="R7" s="18">
        <f>-'Workings 2'!$E$15</f>
        <v>-0.52117405104680203</v>
      </c>
      <c r="S7" s="18">
        <f>-'Workings 2'!$E$15</f>
        <v>-0.52117405104680203</v>
      </c>
      <c r="T7" s="18">
        <f>-'Workings 2'!$E$15</f>
        <v>-0.52117405104680203</v>
      </c>
      <c r="U7" s="18">
        <f>-'Workings 2'!$E$15</f>
        <v>-0.52117405104680203</v>
      </c>
      <c r="V7" s="18">
        <f>-'Workings 2'!$E$15</f>
        <v>-0.52117405104680203</v>
      </c>
      <c r="W7" s="18">
        <f>-'Workings 2'!$E$15</f>
        <v>-0.52117405104680203</v>
      </c>
      <c r="X7" s="18">
        <f>-'Workings 2'!$E$15</f>
        <v>-0.52117405104680203</v>
      </c>
      <c r="Y7" s="18">
        <f>-'Workings 2'!$E$15</f>
        <v>-0.52117405104680203</v>
      </c>
      <c r="Z7" s="18">
        <f>-'Workings 2'!$E$15</f>
        <v>-0.52117405104680203</v>
      </c>
      <c r="AA7" s="18">
        <f>-'Workings 2'!$E$15</f>
        <v>-0.52117405104680203</v>
      </c>
      <c r="AB7" s="18">
        <f>-'Workings 2'!$E$15</f>
        <v>-0.52117405104680203</v>
      </c>
      <c r="AC7" s="18">
        <f>-'Workings 2'!$E$15</f>
        <v>-0.52117405104680203</v>
      </c>
      <c r="AD7" s="18">
        <f>-'Workings 2'!$E$15</f>
        <v>-0.52117405104680203</v>
      </c>
      <c r="AE7" s="18">
        <f>-'Workings 2'!$E$15</f>
        <v>-0.52117405104680203</v>
      </c>
      <c r="AF7" s="18">
        <f>-'Workings 2'!$E$15</f>
        <v>-0.52117405104680203</v>
      </c>
      <c r="AG7" s="18">
        <f>-'Workings 2'!$E$15</f>
        <v>-0.52117405104680203</v>
      </c>
      <c r="AH7" s="18">
        <f>-'Workings 2'!$E$15</f>
        <v>-0.52117405104680203</v>
      </c>
      <c r="AI7" s="18">
        <f>-'Workings 2'!$E$15</f>
        <v>-0.52117405104680203</v>
      </c>
      <c r="AJ7" s="18">
        <f>-'Workings 2'!$E$15</f>
        <v>-0.52117405104680203</v>
      </c>
      <c r="AK7" s="18">
        <f>-'Workings 2'!$E$15</f>
        <v>-0.52117405104680203</v>
      </c>
      <c r="AL7" s="18">
        <f>-'Workings 2'!$E$15</f>
        <v>-0.52117405104680203</v>
      </c>
      <c r="AM7" s="18">
        <f>-'Workings 2'!$E$15</f>
        <v>-0.52117405104680203</v>
      </c>
      <c r="AN7" s="18">
        <f>-'Workings 2'!$E$15</f>
        <v>-0.52117405104680203</v>
      </c>
      <c r="AO7" s="18">
        <f>-'Workings 2'!$E$15</f>
        <v>-0.52117405104680203</v>
      </c>
      <c r="AP7" s="18">
        <f>-'Workings 2'!$E$15</f>
        <v>-0.52117405104680203</v>
      </c>
      <c r="AQ7" s="18">
        <f>-'Workings 2'!$E$15</f>
        <v>-0.52117405104680203</v>
      </c>
      <c r="AR7" s="18">
        <f>-'Workings 2'!$E$15</f>
        <v>-0.52117405104680203</v>
      </c>
      <c r="AS7" s="18">
        <f>-'Workings 2'!$E$15</f>
        <v>-0.52117405104680203</v>
      </c>
      <c r="AT7" s="18">
        <f>-'Workings 2'!$E$15</f>
        <v>-0.52117405104680203</v>
      </c>
      <c r="AU7" s="18">
        <f>-'Workings 2'!$E$15</f>
        <v>-0.52117405104680203</v>
      </c>
      <c r="AV7" s="18">
        <f>-'Workings 2'!$E$15</f>
        <v>-0.52117405104680203</v>
      </c>
      <c r="AW7" s="18">
        <f>-'Workings 2'!$E$15</f>
        <v>-0.52117405104680203</v>
      </c>
      <c r="AX7" s="18">
        <f>-'Workings 2'!$E$15</f>
        <v>-0.52117405104680203</v>
      </c>
      <c r="AY7" s="18">
        <f>-'Workings 2'!$E$15</f>
        <v>-0.52117405104680203</v>
      </c>
      <c r="AZ7" s="18">
        <f>-'Workings 2'!$E$15</f>
        <v>-0.52117405104680203</v>
      </c>
      <c r="BA7" s="18">
        <f>-'Workings 2'!$E$15</f>
        <v>-0.52117405104680203</v>
      </c>
      <c r="BB7" s="18">
        <f>-'Workings 2'!$E$15</f>
        <v>-0.52117405104680203</v>
      </c>
      <c r="BC7" s="18">
        <f>-'Workings 2'!$E$15</f>
        <v>-0.52117405104680203</v>
      </c>
      <c r="BD7" s="18">
        <f>-'Workings 2'!$E$15</f>
        <v>-0.52117405104680203</v>
      </c>
      <c r="BE7" s="18">
        <f>-'Workings 2'!$E$15</f>
        <v>-0.52117405104680203</v>
      </c>
      <c r="BF7" s="18">
        <f>-'Workings 2'!$E$15</f>
        <v>-0.52117405104680203</v>
      </c>
      <c r="BG7" s="18">
        <f>-'Workings 2'!$E$15</f>
        <v>-0.52117405104680203</v>
      </c>
      <c r="BH7" s="18">
        <f>-'Workings 2'!$E$15</f>
        <v>-0.52117405104680203</v>
      </c>
      <c r="BI7" s="18">
        <f>-'Workings 2'!$E$15</f>
        <v>-0.52117405104680203</v>
      </c>
      <c r="BJ7" s="18">
        <f>-'Workings 2'!$E$15</f>
        <v>-0.52117405104680203</v>
      </c>
      <c r="BK7" s="18">
        <f>-'Workings 2'!$E$15</f>
        <v>-0.52117405104680203</v>
      </c>
      <c r="BL7" s="33">
        <f t="shared" ref="BL7:BL17" si="1">SUM(D7:BJ7)</f>
        <v>-30.749269011761342</v>
      </c>
    </row>
    <row r="8" spans="2:64" x14ac:dyDescent="0.6">
      <c r="B8" s="3" t="str">
        <f>+'Workings 2'!B17</f>
        <v>Sunk &amp; cancellation costs</v>
      </c>
      <c r="C8" s="17" t="s">
        <v>4</v>
      </c>
      <c r="D8" s="18">
        <f>-'Workings 2'!E18</f>
        <v>-15.720208910828227</v>
      </c>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33">
        <f t="shared" si="1"/>
        <v>-15.720208910828227</v>
      </c>
    </row>
    <row r="9" spans="2:64" x14ac:dyDescent="0.6">
      <c r="B9" s="17" t="str">
        <f>+'Workings 2'!B20</f>
        <v>Loss of lease</v>
      </c>
      <c r="C9" s="17" t="s">
        <v>4</v>
      </c>
      <c r="D9" s="18">
        <f>-'Workings 2'!$E$22</f>
        <v>-1.4083134602104961</v>
      </c>
      <c r="E9" s="18">
        <f>-'Workings 2'!$E$22</f>
        <v>-1.4083134602104961</v>
      </c>
      <c r="F9" s="18">
        <f>-'Workings 2'!$E$22</f>
        <v>-1.4083134602104961</v>
      </c>
      <c r="G9" s="18">
        <f>-'Workings 2'!$E$22</f>
        <v>-1.4083134602104961</v>
      </c>
      <c r="H9" s="18">
        <f>-'Workings 2'!$E$22</f>
        <v>-1.4083134602104961</v>
      </c>
      <c r="I9" s="18">
        <f>-'Workings 2'!$E$22</f>
        <v>-1.4083134602104961</v>
      </c>
      <c r="J9" s="18">
        <f>-'Workings 2'!$E$22</f>
        <v>-1.4083134602104961</v>
      </c>
      <c r="K9" s="18">
        <f>-'Workings 2'!$E$22</f>
        <v>-1.4083134602104961</v>
      </c>
      <c r="L9" s="18">
        <f>-'Workings 2'!$E$22</f>
        <v>-1.4083134602104961</v>
      </c>
      <c r="M9" s="18">
        <f>-'Workings 2'!$E$22</f>
        <v>-1.4083134602104961</v>
      </c>
      <c r="N9" s="18">
        <f>-'Workings 2'!$E$22</f>
        <v>-1.4083134602104961</v>
      </c>
      <c r="O9" s="18">
        <f>-'Workings 2'!$E$22</f>
        <v>-1.4083134602104961</v>
      </c>
      <c r="P9" s="18">
        <f>-'Workings 2'!$E$22</f>
        <v>-1.4083134602104961</v>
      </c>
      <c r="Q9" s="18">
        <f>-'Workings 2'!$E$22</f>
        <v>-1.4083134602104961</v>
      </c>
      <c r="R9" s="18">
        <f>-'Workings 2'!$E$22</f>
        <v>-1.4083134602104961</v>
      </c>
      <c r="S9" s="18">
        <f>-'Workings 2'!$E$22</f>
        <v>-1.4083134602104961</v>
      </c>
      <c r="T9" s="18">
        <f>-'Workings 2'!$E$22</f>
        <v>-1.4083134602104961</v>
      </c>
      <c r="U9" s="18">
        <f>-'Workings 2'!$E$22</f>
        <v>-1.4083134602104961</v>
      </c>
      <c r="V9" s="18">
        <f>-'Workings 2'!$E$22</f>
        <v>-1.4083134602104961</v>
      </c>
      <c r="W9" s="18">
        <f>-'Workings 2'!$E$22</f>
        <v>-1.4083134602104961</v>
      </c>
      <c r="X9" s="18">
        <f>-'Workings 2'!$E$22</f>
        <v>-1.4083134602104961</v>
      </c>
      <c r="Y9" s="18">
        <f>-'Workings 2'!$E$22</f>
        <v>-1.4083134602104961</v>
      </c>
      <c r="Z9" s="18">
        <f>-'Workings 2'!$E$22</f>
        <v>-1.4083134602104961</v>
      </c>
      <c r="AA9" s="18">
        <f>-'Workings 2'!$E$22</f>
        <v>-1.4083134602104961</v>
      </c>
      <c r="AB9" s="18">
        <f>-'Workings 2'!$E$22</f>
        <v>-1.4083134602104961</v>
      </c>
      <c r="AC9" s="18">
        <f>-'Workings 2'!$E$22</f>
        <v>-1.4083134602104961</v>
      </c>
      <c r="AD9" s="18">
        <f>-'Workings 2'!$E$22</f>
        <v>-1.4083134602104961</v>
      </c>
      <c r="AE9" s="18">
        <f>-'Workings 2'!$E$22</f>
        <v>-1.4083134602104961</v>
      </c>
      <c r="AF9" s="18">
        <f>-'Workings 2'!$E$22</f>
        <v>-1.4083134602104961</v>
      </c>
      <c r="AG9" s="18">
        <f>-'Workings 2'!$E$22</f>
        <v>-1.4083134602104961</v>
      </c>
      <c r="AH9" s="18">
        <f>-'Workings 2'!$E$22</f>
        <v>-1.4083134602104961</v>
      </c>
      <c r="AI9" s="18">
        <f>-'Workings 2'!$E$22</f>
        <v>-1.4083134602104961</v>
      </c>
      <c r="AJ9" s="18">
        <f>-'Workings 2'!$E$22</f>
        <v>-1.4083134602104961</v>
      </c>
      <c r="AK9" s="18">
        <f>-'Workings 2'!$E$22</f>
        <v>-1.4083134602104961</v>
      </c>
      <c r="AL9" s="18">
        <f>-'Workings 2'!$E$22</f>
        <v>-1.4083134602104961</v>
      </c>
      <c r="AM9" s="18">
        <f>-'Workings 2'!$E$22</f>
        <v>-1.4083134602104961</v>
      </c>
      <c r="AN9" s="18">
        <f>-'Workings 2'!$E$22</f>
        <v>-1.4083134602104961</v>
      </c>
      <c r="AO9" s="18">
        <f>-'Workings 2'!$E$22</f>
        <v>-1.4083134602104961</v>
      </c>
      <c r="AP9" s="18">
        <f>-'Workings 2'!$E$22</f>
        <v>-1.4083134602104961</v>
      </c>
      <c r="AQ9" s="18">
        <f>-'Workings 2'!$E$22</f>
        <v>-1.4083134602104961</v>
      </c>
      <c r="AR9" s="18">
        <f>-'Workings 2'!$E$22</f>
        <v>-1.4083134602104961</v>
      </c>
      <c r="AS9" s="18">
        <f>-'Workings 2'!$E$22</f>
        <v>-1.4083134602104961</v>
      </c>
      <c r="AT9" s="18">
        <f>-'Workings 2'!$E$22</f>
        <v>-1.4083134602104961</v>
      </c>
      <c r="AU9" s="18">
        <f>-'Workings 2'!$E$22</f>
        <v>-1.4083134602104961</v>
      </c>
      <c r="AV9" s="18">
        <f>-'Workings 2'!$E$22</f>
        <v>-1.4083134602104961</v>
      </c>
      <c r="AW9" s="18">
        <f>-'Workings 2'!$E$22</f>
        <v>-1.4083134602104961</v>
      </c>
      <c r="AX9" s="18">
        <f>-'Workings 2'!$E$22</f>
        <v>-1.4083134602104961</v>
      </c>
      <c r="AY9" s="18">
        <f>-'Workings 2'!$E$22</f>
        <v>-1.4083134602104961</v>
      </c>
      <c r="AZ9" s="18">
        <f>-'Workings 2'!$E$22</f>
        <v>-1.4083134602104961</v>
      </c>
      <c r="BA9" s="18">
        <f>-'Workings 2'!$E$22</f>
        <v>-1.4083134602104961</v>
      </c>
      <c r="BB9" s="18">
        <f>-'Workings 2'!$E$22</f>
        <v>-1.4083134602104961</v>
      </c>
      <c r="BC9" s="18">
        <f>-'Workings 2'!$E$22</f>
        <v>-1.4083134602104961</v>
      </c>
      <c r="BD9" s="18">
        <f>-'Workings 2'!$E$22</f>
        <v>-1.4083134602104961</v>
      </c>
      <c r="BE9" s="18">
        <f>-'Workings 2'!$E$22</f>
        <v>-1.4083134602104961</v>
      </c>
      <c r="BF9" s="18">
        <f>-'Workings 2'!$E$22</f>
        <v>-1.4083134602104961</v>
      </c>
      <c r="BG9" s="18">
        <f>-'Workings 2'!$E$22</f>
        <v>-1.4083134602104961</v>
      </c>
      <c r="BH9" s="18">
        <f>-'Workings 2'!$E$22</f>
        <v>-1.4083134602104961</v>
      </c>
      <c r="BI9" s="18">
        <f>-'Workings 2'!$E$22</f>
        <v>-1.4083134602104961</v>
      </c>
      <c r="BJ9" s="18">
        <f>-'Workings 2'!$E$22</f>
        <v>-1.4083134602104961</v>
      </c>
      <c r="BK9" s="18">
        <f>-'Workings 2'!$E$22</f>
        <v>-1.4083134602104961</v>
      </c>
      <c r="BL9" s="33">
        <f t="shared" si="1"/>
        <v>-83.090494152419183</v>
      </c>
    </row>
    <row r="10" spans="2:64" x14ac:dyDescent="0.6">
      <c r="B10" s="17" t="str">
        <f>+'Workings 2'!B24</f>
        <v>Freespan - &lt;20m section develops</v>
      </c>
      <c r="C10" s="17" t="s">
        <v>4</v>
      </c>
      <c r="D10" s="18">
        <f>-'Workings 2'!$E$28</f>
        <v>-1.0653174151525699</v>
      </c>
      <c r="E10" s="18">
        <f>-'Workings 2'!$E$28</f>
        <v>-1.0653174151525699</v>
      </c>
      <c r="F10" s="18">
        <f>-'Workings 2'!$E$28</f>
        <v>-1.0653174151525699</v>
      </c>
      <c r="G10" s="18">
        <f>-'Workings 2'!$E$28</f>
        <v>-1.0653174151525699</v>
      </c>
      <c r="H10" s="18">
        <f>-'Workings 2'!$E$28</f>
        <v>-1.0653174151525699</v>
      </c>
      <c r="I10" s="18">
        <f>-'Workings 2'!$E$28</f>
        <v>-1.0653174151525699</v>
      </c>
      <c r="J10" s="18">
        <f>-'Workings 2'!$E$28</f>
        <v>-1.0653174151525699</v>
      </c>
      <c r="K10" s="18">
        <f>-'Workings 2'!$E$28</f>
        <v>-1.0653174151525699</v>
      </c>
      <c r="L10" s="18">
        <f>-'Workings 2'!$E$28</f>
        <v>-1.0653174151525699</v>
      </c>
      <c r="M10" s="18">
        <f>-'Workings 2'!$E$28</f>
        <v>-1.0653174151525699</v>
      </c>
      <c r="N10" s="18">
        <f>-'Workings 2'!$E$28</f>
        <v>-1.0653174151525699</v>
      </c>
      <c r="O10" s="18">
        <f>-'Workings 2'!$E$28</f>
        <v>-1.0653174151525699</v>
      </c>
      <c r="P10" s="18">
        <f>-'Workings 2'!$E$28</f>
        <v>-1.0653174151525699</v>
      </c>
      <c r="Q10" s="18">
        <f>-'Workings 2'!$E$28</f>
        <v>-1.0653174151525699</v>
      </c>
      <c r="R10" s="18">
        <f>-'Workings 2'!$E$28</f>
        <v>-1.0653174151525699</v>
      </c>
      <c r="S10" s="18">
        <f>-'Workings 2'!$E$28</f>
        <v>-1.0653174151525699</v>
      </c>
      <c r="T10" s="18">
        <f>-'Workings 2'!$E$28</f>
        <v>-1.0653174151525699</v>
      </c>
      <c r="U10" s="18">
        <f>-'Workings 2'!$E$28</f>
        <v>-1.0653174151525699</v>
      </c>
      <c r="V10" s="18">
        <f>-'Workings 2'!$E$28</f>
        <v>-1.0653174151525699</v>
      </c>
      <c r="W10" s="18">
        <f>-'Workings 2'!$E$28</f>
        <v>-1.0653174151525699</v>
      </c>
      <c r="X10" s="18">
        <f>-'Workings 2'!$E$28</f>
        <v>-1.0653174151525699</v>
      </c>
      <c r="Y10" s="18">
        <f>-'Workings 2'!$E$28</f>
        <v>-1.0653174151525699</v>
      </c>
      <c r="Z10" s="18">
        <f>-'Workings 2'!$E$28</f>
        <v>-1.0653174151525699</v>
      </c>
      <c r="AA10" s="18">
        <f>-'Workings 2'!$E$28</f>
        <v>-1.0653174151525699</v>
      </c>
      <c r="AB10" s="18">
        <f>-'Workings 2'!$E$28</f>
        <v>-1.0653174151525699</v>
      </c>
      <c r="AC10" s="18">
        <f>-'Workings 2'!$E$28</f>
        <v>-1.0653174151525699</v>
      </c>
      <c r="AD10" s="18">
        <f>-'Workings 2'!$E$28</f>
        <v>-1.0653174151525699</v>
      </c>
      <c r="AE10" s="18">
        <f>-'Workings 2'!$E$28</f>
        <v>-1.0653174151525699</v>
      </c>
      <c r="AF10" s="18">
        <f>-'Workings 2'!$E$28</f>
        <v>-1.0653174151525699</v>
      </c>
      <c r="AG10" s="18">
        <f>-'Workings 2'!$E$28</f>
        <v>-1.0653174151525699</v>
      </c>
      <c r="AH10" s="18">
        <f>-'Workings 2'!$E$28</f>
        <v>-1.0653174151525699</v>
      </c>
      <c r="AI10" s="18">
        <f>-'Workings 2'!$E$28</f>
        <v>-1.0653174151525699</v>
      </c>
      <c r="AJ10" s="18">
        <f>-'Workings 2'!$E$28</f>
        <v>-1.0653174151525699</v>
      </c>
      <c r="AK10" s="18">
        <f>-'Workings 2'!$E$28</f>
        <v>-1.0653174151525699</v>
      </c>
      <c r="AL10" s="18">
        <f>-'Workings 2'!$E$28</f>
        <v>-1.0653174151525699</v>
      </c>
      <c r="AM10" s="18">
        <f>-'Workings 2'!$E$28</f>
        <v>-1.0653174151525699</v>
      </c>
      <c r="AN10" s="18">
        <f>-'Workings 2'!$E$28</f>
        <v>-1.0653174151525699</v>
      </c>
      <c r="AO10" s="18">
        <f>-'Workings 2'!$E$28</f>
        <v>-1.0653174151525699</v>
      </c>
      <c r="AP10" s="18">
        <f>-'Workings 2'!$E$28</f>
        <v>-1.0653174151525699</v>
      </c>
      <c r="AQ10" s="18">
        <f>-'Workings 2'!$E$28</f>
        <v>-1.0653174151525699</v>
      </c>
      <c r="AR10" s="18">
        <f>-'Workings 2'!$E$28</f>
        <v>-1.0653174151525699</v>
      </c>
      <c r="AS10" s="18">
        <f>-'Workings 2'!$E$28</f>
        <v>-1.0653174151525699</v>
      </c>
      <c r="AT10" s="18">
        <f>-'Workings 2'!$E$28</f>
        <v>-1.0653174151525699</v>
      </c>
      <c r="AU10" s="18">
        <f>-'Workings 2'!$E$28</f>
        <v>-1.0653174151525699</v>
      </c>
      <c r="AV10" s="18">
        <f>-'Workings 2'!$E$28</f>
        <v>-1.0653174151525699</v>
      </c>
      <c r="AW10" s="18">
        <f>-'Workings 2'!$E$28</f>
        <v>-1.0653174151525699</v>
      </c>
      <c r="AX10" s="18">
        <f>-'Workings 2'!$E$28</f>
        <v>-1.0653174151525699</v>
      </c>
      <c r="AY10" s="18">
        <f>-'Workings 2'!$E$28</f>
        <v>-1.0653174151525699</v>
      </c>
      <c r="AZ10" s="18">
        <f>-'Workings 2'!$E$28</f>
        <v>-1.0653174151525699</v>
      </c>
      <c r="BA10" s="18">
        <f>-'Workings 2'!$E$28</f>
        <v>-1.0653174151525699</v>
      </c>
      <c r="BB10" s="18">
        <f>-'Workings 2'!$E$28</f>
        <v>-1.0653174151525699</v>
      </c>
      <c r="BC10" s="18">
        <f>-'Workings 2'!$E$28</f>
        <v>-1.0653174151525699</v>
      </c>
      <c r="BD10" s="18">
        <f>-'Workings 2'!$E$28</f>
        <v>-1.0653174151525699</v>
      </c>
      <c r="BE10" s="18">
        <f>-'Workings 2'!$E$28</f>
        <v>-1.0653174151525699</v>
      </c>
      <c r="BF10" s="18">
        <f>-'Workings 2'!$E$28</f>
        <v>-1.0653174151525699</v>
      </c>
      <c r="BG10" s="18">
        <f>-'Workings 2'!$E$28</f>
        <v>-1.0653174151525699</v>
      </c>
      <c r="BH10" s="18">
        <f>-'Workings 2'!$E$28</f>
        <v>-1.0653174151525699</v>
      </c>
      <c r="BI10" s="18">
        <f>-'Workings 2'!$E$28</f>
        <v>-1.0653174151525699</v>
      </c>
      <c r="BJ10" s="18">
        <f>-'Workings 2'!$E$28</f>
        <v>-1.0653174151525699</v>
      </c>
      <c r="BK10" s="18">
        <f>-'Workings 2'!$E$28</f>
        <v>-1.0653174151525699</v>
      </c>
      <c r="BL10" s="33">
        <f t="shared" si="1"/>
        <v>-62.853727494001646</v>
      </c>
    </row>
    <row r="11" spans="2:64" x14ac:dyDescent="0.6">
      <c r="B11" s="17" t="str">
        <f>+'Workings 2'!B31</f>
        <v>Freespan &gt;20m section develops</v>
      </c>
      <c r="C11" s="17" t="s">
        <v>4</v>
      </c>
      <c r="D11" s="18">
        <f>-'Workings 2'!$E$37-'Workings 2'!$E$41-'Workings 2'!$E$45-'Workings 2'!$E$50</f>
        <v>-5.1782307049439291</v>
      </c>
      <c r="E11" s="18">
        <f>-'Workings 2'!$E$37-'Workings 2'!$E$41-'Workings 2'!$E$45-'Workings 2'!$E$50</f>
        <v>-5.1782307049439291</v>
      </c>
      <c r="F11" s="18">
        <f>-'Workings 2'!$E$37-'Workings 2'!$E$41-'Workings 2'!$E$45-'Workings 2'!$E$50</f>
        <v>-5.1782307049439291</v>
      </c>
      <c r="G11" s="18">
        <f>-'Workings 2'!$E$37-'Workings 2'!$E$41-'Workings 2'!$E$45-'Workings 2'!$E$50</f>
        <v>-5.1782307049439291</v>
      </c>
      <c r="H11" s="18">
        <f>-'Workings 2'!$E$37-'Workings 2'!$E$41-'Workings 2'!$E$45-'Workings 2'!$E$50</f>
        <v>-5.1782307049439291</v>
      </c>
      <c r="I11" s="18">
        <f>-'Workings 2'!$E$37-'Workings 2'!$E$41-'Workings 2'!$E$45-'Workings 2'!$E$50</f>
        <v>-5.1782307049439291</v>
      </c>
      <c r="J11" s="18">
        <f>-'Workings 2'!$E$37-'Workings 2'!$E$41-'Workings 2'!$E$45-'Workings 2'!$E$50</f>
        <v>-5.1782307049439291</v>
      </c>
      <c r="K11" s="18">
        <f>-'Workings 2'!$E$37-'Workings 2'!$E$41-'Workings 2'!$E$45-'Workings 2'!$E$50</f>
        <v>-5.1782307049439291</v>
      </c>
      <c r="L11" s="18">
        <f>-'Workings 2'!$E$37-'Workings 2'!$E$41-'Workings 2'!$E$46-'Workings 2'!$E$50</f>
        <v>-4.2686988299439292</v>
      </c>
      <c r="M11" s="18">
        <f>-'Workings 2'!$E$37-'Workings 2'!$E$41-'Workings 2'!$E$46-'Workings 2'!$E$50</f>
        <v>-4.2686988299439292</v>
      </c>
      <c r="N11" s="18">
        <f>-'Workings 2'!$E$37-'Workings 2'!$E$41-'Workings 2'!$E$46-'Workings 2'!$E$50</f>
        <v>-4.2686988299439292</v>
      </c>
      <c r="O11" s="18">
        <f>-'Workings 2'!$E$37-'Workings 2'!$E$41-'Workings 2'!$E$46-'Workings 2'!$E$50</f>
        <v>-4.2686988299439292</v>
      </c>
      <c r="P11" s="18">
        <f>-'Workings 2'!$E$37-'Workings 2'!$E$41-'Workings 2'!$E$46-'Workings 2'!$E$50</f>
        <v>-4.2686988299439292</v>
      </c>
      <c r="Q11" s="18">
        <f>-'Workings 2'!$E$37-'Workings 2'!$E$41-'Workings 2'!$E$46-'Workings 2'!$E$50</f>
        <v>-4.2686988299439292</v>
      </c>
      <c r="R11" s="18">
        <f>-'Workings 2'!$E$37-'Workings 2'!$E$41-'Workings 2'!$E$46-'Workings 2'!$E$50</f>
        <v>-4.2686988299439292</v>
      </c>
      <c r="S11" s="18">
        <f>-'Workings 2'!$E$37-'Workings 2'!$E$41-'Workings 2'!$E$46-'Workings 2'!$E$50</f>
        <v>-4.2686988299439292</v>
      </c>
      <c r="T11" s="18">
        <f>-'Workings 2'!$E$37-'Workings 2'!$E$41-'Workings 2'!$E$46-'Workings 2'!$E$50</f>
        <v>-4.2686988299439292</v>
      </c>
      <c r="U11" s="18">
        <f>-'Workings 2'!$E$37-'Workings 2'!$E$41-'Workings 2'!$E$46-'Workings 2'!$E$50</f>
        <v>-4.2686988299439292</v>
      </c>
      <c r="V11" s="18">
        <f>-'Workings 2'!$E$37-'Workings 2'!$E$41-'Workings 2'!$E$46-'Workings 2'!$E$50</f>
        <v>-4.2686988299439292</v>
      </c>
      <c r="W11" s="18">
        <f>-'Workings 2'!$E$37-'Workings 2'!$E$41-'Workings 2'!$E$46-'Workings 2'!$E$50</f>
        <v>-4.2686988299439292</v>
      </c>
      <c r="X11" s="18">
        <f>-'Workings 2'!$E$37-'Workings 2'!$E$41-'Workings 2'!$E$46-'Workings 2'!$E$50</f>
        <v>-4.2686988299439292</v>
      </c>
      <c r="Y11" s="18">
        <f>-'Workings 2'!$E$37-'Workings 2'!$E$41-'Workings 2'!$E$46-'Workings 2'!$E$50</f>
        <v>-4.2686988299439292</v>
      </c>
      <c r="Z11" s="18">
        <f>-'Workings 2'!$E$37-'Workings 2'!$E$41-'Workings 2'!$E$46-'Workings 2'!$E$50</f>
        <v>-4.2686988299439292</v>
      </c>
      <c r="AA11" s="18">
        <f>-'Workings 2'!$E$37-'Workings 2'!$E$41-'Workings 2'!$E$46-'Workings 2'!$E$50</f>
        <v>-4.2686988299439292</v>
      </c>
      <c r="AB11" s="18">
        <f>-'Workings 2'!$E$37-'Workings 2'!$E$41-'Workings 2'!$E$46-'Workings 2'!$E$50</f>
        <v>-4.2686988299439292</v>
      </c>
      <c r="AC11" s="18">
        <f>-'Workings 2'!$E$37-'Workings 2'!$E$41-'Workings 2'!$E$46-'Workings 2'!$E$50</f>
        <v>-4.2686988299439292</v>
      </c>
      <c r="AD11" s="18">
        <f>-'Workings 2'!$E$37-'Workings 2'!$E$41-'Workings 2'!$E$46-'Workings 2'!$E$50</f>
        <v>-4.2686988299439292</v>
      </c>
      <c r="AE11" s="18">
        <f>-'Workings 2'!$E$37-'Workings 2'!$E$41-'Workings 2'!$E$46-'Workings 2'!$E$50</f>
        <v>-4.2686988299439292</v>
      </c>
      <c r="AF11" s="18">
        <f>-'Workings 2'!$E$37-'Workings 2'!$E$41-'Workings 2'!$E$46-'Workings 2'!$E$50</f>
        <v>-4.2686988299439292</v>
      </c>
      <c r="AG11" s="18">
        <f>-'Workings 2'!$E$37-'Workings 2'!$E$41-'Workings 2'!$E$46-'Workings 2'!$E$50</f>
        <v>-4.2686988299439292</v>
      </c>
      <c r="AH11" s="18">
        <f>-'Workings 2'!$E$37-'Workings 2'!$E$41-'Workings 2'!$E$46-'Workings 2'!$E$50</f>
        <v>-4.2686988299439292</v>
      </c>
      <c r="AI11" s="18">
        <f>-'Workings 2'!$E$37-'Workings 2'!$E$41-'Workings 2'!$E$46-'Workings 2'!$E$50</f>
        <v>-4.2686988299439292</v>
      </c>
      <c r="AJ11" s="18">
        <f>-'Workings 2'!$E$37-'Workings 2'!$E$41-'Workings 2'!$E$46-'Workings 2'!$E$50</f>
        <v>-4.2686988299439292</v>
      </c>
      <c r="AK11" s="18">
        <f>-'Workings 2'!$E$37-'Workings 2'!$E$41-'Workings 2'!$E$46-'Workings 2'!$E$50</f>
        <v>-4.2686988299439292</v>
      </c>
      <c r="AL11" s="18">
        <f>-'Workings 2'!$E$37-'Workings 2'!$E$41-'Workings 2'!$E$46-'Workings 2'!$E$50</f>
        <v>-4.2686988299439292</v>
      </c>
      <c r="AM11" s="18">
        <f>-'Workings 2'!$E$37-'Workings 2'!$E$41-'Workings 2'!$E$46-'Workings 2'!$E$50</f>
        <v>-4.2686988299439292</v>
      </c>
      <c r="AN11" s="18">
        <f>-'Workings 2'!$E$37-'Workings 2'!$E$41-'Workings 2'!$E$46-'Workings 2'!$E$50</f>
        <v>-4.2686988299439292</v>
      </c>
      <c r="AO11" s="18">
        <f>-'Workings 2'!$E$37-'Workings 2'!$E$41-'Workings 2'!$E$46-'Workings 2'!$E$50</f>
        <v>-4.2686988299439292</v>
      </c>
      <c r="AP11" s="18">
        <f>-'Workings 2'!$E$37-'Workings 2'!$E$41-'Workings 2'!$E$46-'Workings 2'!$E$50</f>
        <v>-4.2686988299439292</v>
      </c>
      <c r="AQ11" s="18">
        <f>-'Workings 2'!$E$37-'Workings 2'!$E$41-'Workings 2'!$E$46-'Workings 2'!$E$50</f>
        <v>-4.2686988299439292</v>
      </c>
      <c r="AR11" s="18">
        <f>-'Workings 2'!$E$37-'Workings 2'!$E$41-'Workings 2'!$E$46-'Workings 2'!$E$50</f>
        <v>-4.2686988299439292</v>
      </c>
      <c r="AS11" s="18">
        <f>-'Workings 2'!$E$37-'Workings 2'!$E$41-'Workings 2'!$E$46-'Workings 2'!$E$50</f>
        <v>-4.2686988299439292</v>
      </c>
      <c r="AT11" s="18">
        <f>-'Workings 2'!$E$37-'Workings 2'!$E$41-'Workings 2'!$E$46-'Workings 2'!$E$50</f>
        <v>-4.2686988299439292</v>
      </c>
      <c r="AU11" s="18">
        <f>-'Workings 2'!$E$37-'Workings 2'!$E$41-'Workings 2'!$E$46-'Workings 2'!$E$50</f>
        <v>-4.2686988299439292</v>
      </c>
      <c r="AV11" s="18">
        <f>-'Workings 2'!$E$37-'Workings 2'!$E$41-'Workings 2'!$E$46-'Workings 2'!$E$50</f>
        <v>-4.2686988299439292</v>
      </c>
      <c r="AW11" s="18">
        <f>-'Workings 2'!$E$37-'Workings 2'!$E$41-'Workings 2'!$E$46-'Workings 2'!$E$50</f>
        <v>-4.2686988299439292</v>
      </c>
      <c r="AX11" s="18">
        <f>-'Workings 2'!$E$37-'Workings 2'!$E$41-'Workings 2'!$E$46-'Workings 2'!$E$50</f>
        <v>-4.2686988299439292</v>
      </c>
      <c r="AY11" s="18">
        <f>-'Workings 2'!$E$37-'Workings 2'!$E$41-'Workings 2'!$E$46-'Workings 2'!$E$50</f>
        <v>-4.2686988299439292</v>
      </c>
      <c r="AZ11" s="18">
        <f>-'Workings 2'!$E$37-'Workings 2'!$E$41-'Workings 2'!$E$46-'Workings 2'!$E$50</f>
        <v>-4.2686988299439292</v>
      </c>
      <c r="BA11" s="18">
        <f>-'Workings 2'!$E$37-'Workings 2'!$E$41-'Workings 2'!$E$46-'Workings 2'!$E$50</f>
        <v>-4.2686988299439292</v>
      </c>
      <c r="BB11" s="18">
        <f>-'Workings 2'!$E$37-'Workings 2'!$E$41-'Workings 2'!$E$46-'Workings 2'!$E$50</f>
        <v>-4.2686988299439292</v>
      </c>
      <c r="BC11" s="18">
        <f>-'Workings 2'!$E$37-'Workings 2'!$E$41-'Workings 2'!$E$46-'Workings 2'!$E$50</f>
        <v>-4.2686988299439292</v>
      </c>
      <c r="BD11" s="18">
        <f>-'Workings 2'!$E$37-'Workings 2'!$E$41-'Workings 2'!$E$46-'Workings 2'!$E$50</f>
        <v>-4.2686988299439292</v>
      </c>
      <c r="BE11" s="18">
        <f>-'Workings 2'!$E$37-'Workings 2'!$E$41-'Workings 2'!$E$46-'Workings 2'!$E$50</f>
        <v>-4.2686988299439292</v>
      </c>
      <c r="BF11" s="18">
        <f>-'Workings 2'!$E$37-'Workings 2'!$E$41-'Workings 2'!$E$46-'Workings 2'!$E$50</f>
        <v>-4.2686988299439292</v>
      </c>
      <c r="BG11" s="18">
        <f>-'Workings 2'!$E$37-'Workings 2'!$E$41-'Workings 2'!$E$46-'Workings 2'!$E$50</f>
        <v>-4.2686988299439292</v>
      </c>
      <c r="BH11" s="18">
        <f>-'Workings 2'!$E$37-'Workings 2'!$E$41-'Workings 2'!$E$46-'Workings 2'!$E$50</f>
        <v>-4.2686988299439292</v>
      </c>
      <c r="BI11" s="18">
        <f>-'Workings 2'!$E$37-'Workings 2'!$E$41-'Workings 2'!$E$46-'Workings 2'!$E$50</f>
        <v>-4.2686988299439292</v>
      </c>
      <c r="BJ11" s="18">
        <f>-'Workings 2'!$E$37-'Workings 2'!$E$41-'Workings 2'!$E$46-'Workings 2'!$E$50</f>
        <v>-4.2686988299439292</v>
      </c>
      <c r="BK11" s="18">
        <f>-'Workings 2'!$E$37-'Workings 2'!$E$41-'Workings 2'!$E$46-'Workings 2'!$E$50</f>
        <v>-4.2686988299439292</v>
      </c>
      <c r="BL11" s="33">
        <f t="shared" si="1"/>
        <v>-259.12948596669185</v>
      </c>
    </row>
    <row r="12" spans="2:64" x14ac:dyDescent="0.6">
      <c r="B12" s="17" t="str">
        <f>+'Workings 2'!B52</f>
        <v>Freespan &gt;55m section develops</v>
      </c>
      <c r="C12" s="17" t="s">
        <v>4</v>
      </c>
      <c r="D12" s="18">
        <f>-'Workings 2'!$E$58-'Workings 2'!$E$62-'Workings 2'!$E$66-'Workings 2'!$E$71</f>
        <v>-2.1970053651987458</v>
      </c>
      <c r="E12" s="18">
        <f>-'Workings 2'!$E$58-'Workings 2'!$E$62-'Workings 2'!$E$66-'Workings 2'!$E$71</f>
        <v>-2.1970053651987458</v>
      </c>
      <c r="F12" s="18">
        <f>-'Workings 2'!$E$58-'Workings 2'!$E$62-'Workings 2'!$E$66-'Workings 2'!$E$71</f>
        <v>-2.1970053651987458</v>
      </c>
      <c r="G12" s="18">
        <f>-'Workings 2'!$E$58-'Workings 2'!$E$62-'Workings 2'!$E$66-'Workings 2'!$E$71</f>
        <v>-2.1970053651987458</v>
      </c>
      <c r="H12" s="18">
        <f>-'Workings 2'!$E$58-'Workings 2'!$E$62-'Workings 2'!$E$66-'Workings 2'!$E$71</f>
        <v>-2.1970053651987458</v>
      </c>
      <c r="I12" s="18">
        <f>-'Workings 2'!$E$58-'Workings 2'!$E$62-'Workings 2'!$E$66-'Workings 2'!$E$71</f>
        <v>-2.1970053651987458</v>
      </c>
      <c r="J12" s="18">
        <f>-'Workings 2'!$E$58-'Workings 2'!$E$62-'Workings 2'!$E$66-'Workings 2'!$E$71</f>
        <v>-2.1970053651987458</v>
      </c>
      <c r="K12" s="18">
        <f>-'Workings 2'!$E$58-'Workings 2'!$E$62-'Workings 2'!$E$66-'Workings 2'!$E$71</f>
        <v>-2.1970053651987458</v>
      </c>
      <c r="L12" s="18">
        <f>-'Workings 2'!$E$58-'Workings 2'!$E$62-'Workings 2'!$E$67-'Workings 2'!$E$71</f>
        <v>-1.8311289714487453</v>
      </c>
      <c r="M12" s="18">
        <f>-'Workings 2'!$E$58-'Workings 2'!$E$62-'Workings 2'!$E$67-'Workings 2'!$E$71</f>
        <v>-1.8311289714487453</v>
      </c>
      <c r="N12" s="18">
        <f>-'Workings 2'!$E$58-'Workings 2'!$E$62-'Workings 2'!$E$67-'Workings 2'!$E$71</f>
        <v>-1.8311289714487453</v>
      </c>
      <c r="O12" s="18">
        <f>-'Workings 2'!$E$58-'Workings 2'!$E$62-'Workings 2'!$E$67-'Workings 2'!$E$71</f>
        <v>-1.8311289714487453</v>
      </c>
      <c r="P12" s="18">
        <f>-'Workings 2'!$E$58-'Workings 2'!$E$62-'Workings 2'!$E$67-'Workings 2'!$E$71</f>
        <v>-1.8311289714487453</v>
      </c>
      <c r="Q12" s="18">
        <f>-'Workings 2'!$E$58-'Workings 2'!$E$62-'Workings 2'!$E$67-'Workings 2'!$E$71</f>
        <v>-1.8311289714487453</v>
      </c>
      <c r="R12" s="18">
        <f>-'Workings 2'!$E$58-'Workings 2'!$E$62-'Workings 2'!$E$67-'Workings 2'!$E$71</f>
        <v>-1.8311289714487453</v>
      </c>
      <c r="S12" s="18">
        <f>-'Workings 2'!$E$58-'Workings 2'!$E$62-'Workings 2'!$E$67-'Workings 2'!$E$71</f>
        <v>-1.8311289714487453</v>
      </c>
      <c r="T12" s="18">
        <f>-'Workings 2'!$E$58-'Workings 2'!$E$62-'Workings 2'!$E$67-'Workings 2'!$E$71</f>
        <v>-1.8311289714487453</v>
      </c>
      <c r="U12" s="18">
        <f>-'Workings 2'!$E$58-'Workings 2'!$E$62-'Workings 2'!$E$67-'Workings 2'!$E$71</f>
        <v>-1.8311289714487453</v>
      </c>
      <c r="V12" s="18">
        <f>-'Workings 2'!$E$58-'Workings 2'!$E$62-'Workings 2'!$E$67-'Workings 2'!$E$71</f>
        <v>-1.8311289714487453</v>
      </c>
      <c r="W12" s="18">
        <f>-'Workings 2'!$E$58-'Workings 2'!$E$62-'Workings 2'!$E$67-'Workings 2'!$E$71</f>
        <v>-1.8311289714487453</v>
      </c>
      <c r="X12" s="18">
        <f>-'Workings 2'!$E$58-'Workings 2'!$E$62-'Workings 2'!$E$67-'Workings 2'!$E$71</f>
        <v>-1.8311289714487453</v>
      </c>
      <c r="Y12" s="18">
        <f>-'Workings 2'!$E$58-'Workings 2'!$E$62-'Workings 2'!$E$67-'Workings 2'!$E$71</f>
        <v>-1.8311289714487453</v>
      </c>
      <c r="Z12" s="18">
        <f>-'Workings 2'!$E$58-'Workings 2'!$E$62-'Workings 2'!$E$67-'Workings 2'!$E$71</f>
        <v>-1.8311289714487453</v>
      </c>
      <c r="AA12" s="18">
        <f>-'Workings 2'!$E$58-'Workings 2'!$E$62-'Workings 2'!$E$67-'Workings 2'!$E$71</f>
        <v>-1.8311289714487453</v>
      </c>
      <c r="AB12" s="18">
        <f>-'Workings 2'!$E$58-'Workings 2'!$E$62-'Workings 2'!$E$67-'Workings 2'!$E$71</f>
        <v>-1.8311289714487453</v>
      </c>
      <c r="AC12" s="18">
        <f>-'Workings 2'!$E$58-'Workings 2'!$E$62-'Workings 2'!$E$67-'Workings 2'!$E$71</f>
        <v>-1.8311289714487453</v>
      </c>
      <c r="AD12" s="18">
        <f>-'Workings 2'!$E$58-'Workings 2'!$E$62-'Workings 2'!$E$67-'Workings 2'!$E$71</f>
        <v>-1.8311289714487453</v>
      </c>
      <c r="AE12" s="18">
        <f>-'Workings 2'!$E$58-'Workings 2'!$E$62-'Workings 2'!$E$67-'Workings 2'!$E$71</f>
        <v>-1.8311289714487453</v>
      </c>
      <c r="AF12" s="18">
        <f>-'Workings 2'!$E$58-'Workings 2'!$E$62-'Workings 2'!$E$67-'Workings 2'!$E$71</f>
        <v>-1.8311289714487453</v>
      </c>
      <c r="AG12" s="18">
        <f>-'Workings 2'!$E$58-'Workings 2'!$E$62-'Workings 2'!$E$67-'Workings 2'!$E$71</f>
        <v>-1.8311289714487453</v>
      </c>
      <c r="AH12" s="18">
        <f>-'Workings 2'!$E$58-'Workings 2'!$E$62-'Workings 2'!$E$67-'Workings 2'!$E$71</f>
        <v>-1.8311289714487453</v>
      </c>
      <c r="AI12" s="18">
        <f>-'Workings 2'!$E$58-'Workings 2'!$E$62-'Workings 2'!$E$67-'Workings 2'!$E$71</f>
        <v>-1.8311289714487453</v>
      </c>
      <c r="AJ12" s="18">
        <f>-'Workings 2'!$E$58-'Workings 2'!$E$62-'Workings 2'!$E$67-'Workings 2'!$E$71</f>
        <v>-1.8311289714487453</v>
      </c>
      <c r="AK12" s="18">
        <f>-'Workings 2'!$E$58-'Workings 2'!$E$62-'Workings 2'!$E$67-'Workings 2'!$E$71</f>
        <v>-1.8311289714487453</v>
      </c>
      <c r="AL12" s="18">
        <f>-'Workings 2'!$E$58-'Workings 2'!$E$62-'Workings 2'!$E$67-'Workings 2'!$E$71</f>
        <v>-1.8311289714487453</v>
      </c>
      <c r="AM12" s="18">
        <f>-'Workings 2'!$E$58-'Workings 2'!$E$62-'Workings 2'!$E$67-'Workings 2'!$E$71</f>
        <v>-1.8311289714487453</v>
      </c>
      <c r="AN12" s="18">
        <f>-'Workings 2'!$E$58-'Workings 2'!$E$62-'Workings 2'!$E$67-'Workings 2'!$E$71</f>
        <v>-1.8311289714487453</v>
      </c>
      <c r="AO12" s="18">
        <f>-'Workings 2'!$E$58-'Workings 2'!$E$62-'Workings 2'!$E$67-'Workings 2'!$E$71</f>
        <v>-1.8311289714487453</v>
      </c>
      <c r="AP12" s="18">
        <f>-'Workings 2'!$E$58-'Workings 2'!$E$62-'Workings 2'!$E$67-'Workings 2'!$E$71</f>
        <v>-1.8311289714487453</v>
      </c>
      <c r="AQ12" s="18">
        <f>-'Workings 2'!$E$58-'Workings 2'!$E$62-'Workings 2'!$E$67-'Workings 2'!$E$71</f>
        <v>-1.8311289714487453</v>
      </c>
      <c r="AR12" s="18">
        <f>-'Workings 2'!$E$58-'Workings 2'!$E$62-'Workings 2'!$E$67-'Workings 2'!$E$71</f>
        <v>-1.8311289714487453</v>
      </c>
      <c r="AS12" s="18">
        <f>-'Workings 2'!$E$58-'Workings 2'!$E$62-'Workings 2'!$E$67-'Workings 2'!$E$71</f>
        <v>-1.8311289714487453</v>
      </c>
      <c r="AT12" s="18">
        <f>-'Workings 2'!$E$58-'Workings 2'!$E$62-'Workings 2'!$E$67-'Workings 2'!$E$71</f>
        <v>-1.8311289714487453</v>
      </c>
      <c r="AU12" s="18">
        <f>-'Workings 2'!$E$58-'Workings 2'!$E$62-'Workings 2'!$E$67-'Workings 2'!$E$71</f>
        <v>-1.8311289714487453</v>
      </c>
      <c r="AV12" s="18">
        <f>-'Workings 2'!$E$58-'Workings 2'!$E$62-'Workings 2'!$E$67-'Workings 2'!$E$71</f>
        <v>-1.8311289714487453</v>
      </c>
      <c r="AW12" s="18">
        <f>-'Workings 2'!$E$58-'Workings 2'!$E$62-'Workings 2'!$E$67-'Workings 2'!$E$71</f>
        <v>-1.8311289714487453</v>
      </c>
      <c r="AX12" s="18">
        <f>-'Workings 2'!$E$58-'Workings 2'!$E$62-'Workings 2'!$E$67-'Workings 2'!$E$71</f>
        <v>-1.8311289714487453</v>
      </c>
      <c r="AY12" s="18">
        <f>-'Workings 2'!$E$58-'Workings 2'!$E$62-'Workings 2'!$E$67-'Workings 2'!$E$71</f>
        <v>-1.8311289714487453</v>
      </c>
      <c r="AZ12" s="18">
        <f>-'Workings 2'!$E$58-'Workings 2'!$E$62-'Workings 2'!$E$67-'Workings 2'!$E$71</f>
        <v>-1.8311289714487453</v>
      </c>
      <c r="BA12" s="18">
        <f>-'Workings 2'!$E$58-'Workings 2'!$E$62-'Workings 2'!$E$67-'Workings 2'!$E$71</f>
        <v>-1.8311289714487453</v>
      </c>
      <c r="BB12" s="18">
        <f>-'Workings 2'!$E$58-'Workings 2'!$E$62-'Workings 2'!$E$67-'Workings 2'!$E$71</f>
        <v>-1.8311289714487453</v>
      </c>
      <c r="BC12" s="18">
        <f>-'Workings 2'!$E$58-'Workings 2'!$E$62-'Workings 2'!$E$67-'Workings 2'!$E$71</f>
        <v>-1.8311289714487453</v>
      </c>
      <c r="BD12" s="18">
        <f>-'Workings 2'!$E$58-'Workings 2'!$E$62-'Workings 2'!$E$67-'Workings 2'!$E$71</f>
        <v>-1.8311289714487453</v>
      </c>
      <c r="BE12" s="18">
        <f>-'Workings 2'!$E$58-'Workings 2'!$E$62-'Workings 2'!$E$67-'Workings 2'!$E$71</f>
        <v>-1.8311289714487453</v>
      </c>
      <c r="BF12" s="18">
        <f>-'Workings 2'!$E$58-'Workings 2'!$E$62-'Workings 2'!$E$67-'Workings 2'!$E$71</f>
        <v>-1.8311289714487453</v>
      </c>
      <c r="BG12" s="18">
        <f>-'Workings 2'!$E$58-'Workings 2'!$E$62-'Workings 2'!$E$67-'Workings 2'!$E$71</f>
        <v>-1.8311289714487453</v>
      </c>
      <c r="BH12" s="18">
        <f>-'Workings 2'!$E$58-'Workings 2'!$E$62-'Workings 2'!$E$67-'Workings 2'!$E$71</f>
        <v>-1.8311289714487453</v>
      </c>
      <c r="BI12" s="18">
        <f>-'Workings 2'!$E$58-'Workings 2'!$E$62-'Workings 2'!$E$67-'Workings 2'!$E$71</f>
        <v>-1.8311289714487453</v>
      </c>
      <c r="BJ12" s="18">
        <f>-'Workings 2'!$E$58-'Workings 2'!$E$62-'Workings 2'!$E$67-'Workings 2'!$E$71</f>
        <v>-1.8311289714487453</v>
      </c>
      <c r="BK12" s="18">
        <f>-'Workings 2'!$E$58-'Workings 2'!$E$62-'Workings 2'!$E$67-'Workings 2'!$E$71</f>
        <v>-1.8311289714487453</v>
      </c>
      <c r="BL12" s="33">
        <f t="shared" si="1"/>
        <v>-110.96362046547611</v>
      </c>
    </row>
    <row r="13" spans="2:64" x14ac:dyDescent="0.6">
      <c r="B13" s="17" t="str">
        <f>+'Workings 2'!B74</f>
        <v>Third Party Interference</v>
      </c>
      <c r="C13" s="17" t="s">
        <v>4</v>
      </c>
      <c r="D13" s="18">
        <f>-'Workings 2'!$E$78-'Workings 2'!$E$86-'Workings 2'!$E$90-'Workings 2'!$E$94-'Workings 2'!$E$99-'Workings 2'!$E$103-'Workings 2'!$E$107</f>
        <v>-0.39039172395833338</v>
      </c>
      <c r="E13" s="18">
        <f>-'Workings 2'!$E$78-'Workings 2'!$E$86-'Workings 2'!$E$90-'Workings 2'!$E$94-'Workings 2'!$E$99-'Workings 2'!$E$103-'Workings 2'!$E$107</f>
        <v>-0.39039172395833338</v>
      </c>
      <c r="F13" s="18">
        <f>-'Workings 2'!$E$78-'Workings 2'!$E$86-'Workings 2'!$E$90-'Workings 2'!$E$94-'Workings 2'!$E$99-'Workings 2'!$E$103-'Workings 2'!$E$107</f>
        <v>-0.39039172395833338</v>
      </c>
      <c r="G13" s="18">
        <f>-'Workings 2'!$E$78-'Workings 2'!$E$86-'Workings 2'!$E$90-'Workings 2'!$E$94-'Workings 2'!$E$99-'Workings 2'!$E$103-'Workings 2'!$E$107</f>
        <v>-0.39039172395833338</v>
      </c>
      <c r="H13" s="18">
        <f>-'Workings 2'!$E$78-'Workings 2'!$E$86-'Workings 2'!$E$90-'Workings 2'!$E$94-'Workings 2'!$E$99-'Workings 2'!$E$103-'Workings 2'!$E$107</f>
        <v>-0.39039172395833338</v>
      </c>
      <c r="I13" s="18">
        <f>-'Workings 2'!$E$78-'Workings 2'!$E$86-'Workings 2'!$E$90-'Workings 2'!$E$94-'Workings 2'!$E$99-'Workings 2'!$E$103-'Workings 2'!$E$107</f>
        <v>-0.39039172395833338</v>
      </c>
      <c r="J13" s="18">
        <f>-'Workings 2'!$E$78-'Workings 2'!$E$86-'Workings 2'!$E$90-'Workings 2'!$E$94-'Workings 2'!$E$99-'Workings 2'!$E$103-'Workings 2'!$E$107</f>
        <v>-0.39039172395833338</v>
      </c>
      <c r="K13" s="18">
        <f>-'Workings 2'!$E$78-'Workings 2'!$E$86-'Workings 2'!$E$90-'Workings 2'!$E$94-'Workings 2'!$E$99-'Workings 2'!$E$103-'Workings 2'!$E$107</f>
        <v>-0.39039172395833338</v>
      </c>
      <c r="L13" s="18">
        <f>-'Workings 2'!$E$78-'Workings 2'!$E$86-'Workings 2'!$E$90-'Workings 2'!$E$95-'Workings 2'!$E$99-'Workings 2'!$E$103-'Workings 2'!$E$107</f>
        <v>-0.36070637239583342</v>
      </c>
      <c r="M13" s="18">
        <f>-'Workings 2'!$E$78-'Workings 2'!$E$86-'Workings 2'!$E$90-'Workings 2'!$E$95-'Workings 2'!$E$99-'Workings 2'!$E$103-'Workings 2'!$E$107</f>
        <v>-0.36070637239583342</v>
      </c>
      <c r="N13" s="18">
        <f>-'Workings 2'!$E$78-'Workings 2'!$E$86-'Workings 2'!$E$90-'Workings 2'!$E$95-'Workings 2'!$E$99-'Workings 2'!$E$103-'Workings 2'!$E$107</f>
        <v>-0.36070637239583342</v>
      </c>
      <c r="O13" s="18">
        <f>-'Workings 2'!$E$78-'Workings 2'!$E$86-'Workings 2'!$E$90-'Workings 2'!$E$95-'Workings 2'!$E$99-'Workings 2'!$E$103-'Workings 2'!$E$107</f>
        <v>-0.36070637239583342</v>
      </c>
      <c r="P13" s="18">
        <f>-'Workings 2'!$E$78-'Workings 2'!$E$86-'Workings 2'!$E$90-'Workings 2'!$E$95-'Workings 2'!$E$99-'Workings 2'!$E$103-'Workings 2'!$E$107</f>
        <v>-0.36070637239583342</v>
      </c>
      <c r="Q13" s="18">
        <f>-'Workings 2'!$E$78-'Workings 2'!$E$86-'Workings 2'!$E$90-'Workings 2'!$E$95-'Workings 2'!$E$99-'Workings 2'!$E$103-'Workings 2'!$E$107</f>
        <v>-0.36070637239583342</v>
      </c>
      <c r="R13" s="18">
        <f>-'Workings 2'!$E$78-'Workings 2'!$E$86-'Workings 2'!$E$90-'Workings 2'!$E$95-'Workings 2'!$E$99-'Workings 2'!$E$103-'Workings 2'!$E$107</f>
        <v>-0.36070637239583342</v>
      </c>
      <c r="S13" s="18">
        <f>-'Workings 2'!$E$78-'Workings 2'!$E$86-'Workings 2'!$E$90-'Workings 2'!$E$95-'Workings 2'!$E$99-'Workings 2'!$E$103-'Workings 2'!$E$107</f>
        <v>-0.36070637239583342</v>
      </c>
      <c r="T13" s="18">
        <f>-'Workings 2'!$E$78-'Workings 2'!$E$86-'Workings 2'!$E$90-'Workings 2'!$E$95-'Workings 2'!$E$99-'Workings 2'!$E$103-'Workings 2'!$E$107</f>
        <v>-0.36070637239583342</v>
      </c>
      <c r="U13" s="18">
        <f>-'Workings 2'!$E$78-'Workings 2'!$E$86-'Workings 2'!$E$90-'Workings 2'!$E$95-'Workings 2'!$E$99-'Workings 2'!$E$103-'Workings 2'!$E$107</f>
        <v>-0.36070637239583342</v>
      </c>
      <c r="V13" s="18">
        <f>-'Workings 2'!$E$78-'Workings 2'!$E$86-'Workings 2'!$E$90-'Workings 2'!$E$95-'Workings 2'!$E$99-'Workings 2'!$E$103-'Workings 2'!$E$107</f>
        <v>-0.36070637239583342</v>
      </c>
      <c r="W13" s="18">
        <f>-'Workings 2'!$E$78-'Workings 2'!$E$86-'Workings 2'!$E$90-'Workings 2'!$E$95-'Workings 2'!$E$99-'Workings 2'!$E$103-'Workings 2'!$E$107</f>
        <v>-0.36070637239583342</v>
      </c>
      <c r="X13" s="18">
        <f>-'Workings 2'!$E$78-'Workings 2'!$E$86-'Workings 2'!$E$90-'Workings 2'!$E$95-'Workings 2'!$E$99-'Workings 2'!$E$103-'Workings 2'!$E$107</f>
        <v>-0.36070637239583342</v>
      </c>
      <c r="Y13" s="18">
        <f>-'Workings 2'!$E$78-'Workings 2'!$E$86-'Workings 2'!$E$90-'Workings 2'!$E$95-'Workings 2'!$E$99-'Workings 2'!$E$103-'Workings 2'!$E$107</f>
        <v>-0.36070637239583342</v>
      </c>
      <c r="Z13" s="18">
        <f>-'Workings 2'!$E$78-'Workings 2'!$E$86-'Workings 2'!$E$90-'Workings 2'!$E$95-'Workings 2'!$E$99-'Workings 2'!$E$103-'Workings 2'!$E$107</f>
        <v>-0.36070637239583342</v>
      </c>
      <c r="AA13" s="18">
        <f>-'Workings 2'!$E$78-'Workings 2'!$E$86-'Workings 2'!$E$90-'Workings 2'!$E$95-'Workings 2'!$E$99-'Workings 2'!$E$103-'Workings 2'!$E$107</f>
        <v>-0.36070637239583342</v>
      </c>
      <c r="AB13" s="18">
        <f>-'Workings 2'!$E$78-'Workings 2'!$E$86-'Workings 2'!$E$90-'Workings 2'!$E$95-'Workings 2'!$E$99-'Workings 2'!$E$103-'Workings 2'!$E$107</f>
        <v>-0.36070637239583342</v>
      </c>
      <c r="AC13" s="18">
        <f>-'Workings 2'!$E$78-'Workings 2'!$E$86-'Workings 2'!$E$90-'Workings 2'!$E$95-'Workings 2'!$E$99-'Workings 2'!$E$103-'Workings 2'!$E$107</f>
        <v>-0.36070637239583342</v>
      </c>
      <c r="AD13" s="18">
        <f>-'Workings 2'!$E$78-'Workings 2'!$E$86-'Workings 2'!$E$90-'Workings 2'!$E$95-'Workings 2'!$E$99-'Workings 2'!$E$103-'Workings 2'!$E$107</f>
        <v>-0.36070637239583342</v>
      </c>
      <c r="AE13" s="18">
        <f>-'Workings 2'!$E$78-'Workings 2'!$E$86-'Workings 2'!$E$90-'Workings 2'!$E$95-'Workings 2'!$E$99-'Workings 2'!$E$103-'Workings 2'!$E$107</f>
        <v>-0.36070637239583342</v>
      </c>
      <c r="AF13" s="18">
        <f>-'Workings 2'!$E$78-'Workings 2'!$E$86-'Workings 2'!$E$90-'Workings 2'!$E$95-'Workings 2'!$E$99-'Workings 2'!$E$103-'Workings 2'!$E$107</f>
        <v>-0.36070637239583342</v>
      </c>
      <c r="AG13" s="18">
        <f>-'Workings 2'!$E$78-'Workings 2'!$E$86-'Workings 2'!$E$90-'Workings 2'!$E$95-'Workings 2'!$E$99-'Workings 2'!$E$103-'Workings 2'!$E$107</f>
        <v>-0.36070637239583342</v>
      </c>
      <c r="AH13" s="18">
        <f>-'Workings 2'!$E$78-'Workings 2'!$E$86-'Workings 2'!$E$90-'Workings 2'!$E$95-'Workings 2'!$E$99-'Workings 2'!$E$103-'Workings 2'!$E$107</f>
        <v>-0.36070637239583342</v>
      </c>
      <c r="AI13" s="18">
        <f>-'Workings 2'!$E$78-'Workings 2'!$E$86-'Workings 2'!$E$90-'Workings 2'!$E$95-'Workings 2'!$E$99-'Workings 2'!$E$103-'Workings 2'!$E$107</f>
        <v>-0.36070637239583342</v>
      </c>
      <c r="AJ13" s="18">
        <f>-'Workings 2'!$E$78-'Workings 2'!$E$86-'Workings 2'!$E$90-'Workings 2'!$E$95-'Workings 2'!$E$99-'Workings 2'!$E$103-'Workings 2'!$E$107</f>
        <v>-0.36070637239583342</v>
      </c>
      <c r="AK13" s="18">
        <f>-'Workings 2'!$E$78-'Workings 2'!$E$86-'Workings 2'!$E$90-'Workings 2'!$E$95-'Workings 2'!$E$99-'Workings 2'!$E$103-'Workings 2'!$E$107</f>
        <v>-0.36070637239583342</v>
      </c>
      <c r="AL13" s="18">
        <f>-'Workings 2'!$E$78-'Workings 2'!$E$86-'Workings 2'!$E$90-'Workings 2'!$E$95-'Workings 2'!$E$99-'Workings 2'!$E$103-'Workings 2'!$E$107</f>
        <v>-0.36070637239583342</v>
      </c>
      <c r="AM13" s="18">
        <f>-'Workings 2'!$E$78-'Workings 2'!$E$86-'Workings 2'!$E$90-'Workings 2'!$E$95-'Workings 2'!$E$99-'Workings 2'!$E$103-'Workings 2'!$E$107</f>
        <v>-0.36070637239583342</v>
      </c>
      <c r="AN13" s="18">
        <f>-'Workings 2'!$E$78-'Workings 2'!$E$86-'Workings 2'!$E$90-'Workings 2'!$E$95-'Workings 2'!$E$99-'Workings 2'!$E$103-'Workings 2'!$E$107</f>
        <v>-0.36070637239583342</v>
      </c>
      <c r="AO13" s="18">
        <f>-'Workings 2'!$E$78-'Workings 2'!$E$86-'Workings 2'!$E$90-'Workings 2'!$E$95-'Workings 2'!$E$99-'Workings 2'!$E$103-'Workings 2'!$E$107</f>
        <v>-0.36070637239583342</v>
      </c>
      <c r="AP13" s="18">
        <f>-'Workings 2'!$E$78-'Workings 2'!$E$86-'Workings 2'!$E$90-'Workings 2'!$E$95-'Workings 2'!$E$99-'Workings 2'!$E$103-'Workings 2'!$E$107</f>
        <v>-0.36070637239583342</v>
      </c>
      <c r="AQ13" s="18">
        <f>-'Workings 2'!$E$78-'Workings 2'!$E$86-'Workings 2'!$E$90-'Workings 2'!$E$95-'Workings 2'!$E$99-'Workings 2'!$E$103-'Workings 2'!$E$107</f>
        <v>-0.36070637239583342</v>
      </c>
      <c r="AR13" s="18">
        <f>-'Workings 2'!$E$78-'Workings 2'!$E$86-'Workings 2'!$E$90-'Workings 2'!$E$95-'Workings 2'!$E$99-'Workings 2'!$E$103-'Workings 2'!$E$107</f>
        <v>-0.36070637239583342</v>
      </c>
      <c r="AS13" s="18">
        <f>-'Workings 2'!$E$78-'Workings 2'!$E$86-'Workings 2'!$E$90-'Workings 2'!$E$95-'Workings 2'!$E$99-'Workings 2'!$E$103-'Workings 2'!$E$107</f>
        <v>-0.36070637239583342</v>
      </c>
      <c r="AT13" s="18">
        <f>-'Workings 2'!$E$78-'Workings 2'!$E$86-'Workings 2'!$E$90-'Workings 2'!$E$95-'Workings 2'!$E$99-'Workings 2'!$E$103-'Workings 2'!$E$107</f>
        <v>-0.36070637239583342</v>
      </c>
      <c r="AU13" s="18">
        <f>-'Workings 2'!$E$78-'Workings 2'!$E$86-'Workings 2'!$E$90-'Workings 2'!$E$95-'Workings 2'!$E$99-'Workings 2'!$E$103-'Workings 2'!$E$107</f>
        <v>-0.36070637239583342</v>
      </c>
      <c r="AV13" s="18">
        <f>-'Workings 2'!$E$78-'Workings 2'!$E$86-'Workings 2'!$E$90-'Workings 2'!$E$95-'Workings 2'!$E$99-'Workings 2'!$E$103-'Workings 2'!$E$107</f>
        <v>-0.36070637239583342</v>
      </c>
      <c r="AW13" s="18">
        <f>-'Workings 2'!$E$78-'Workings 2'!$E$86-'Workings 2'!$E$90-'Workings 2'!$E$95-'Workings 2'!$E$99-'Workings 2'!$E$103-'Workings 2'!$E$107</f>
        <v>-0.36070637239583342</v>
      </c>
      <c r="AX13" s="18">
        <f>-'Workings 2'!$E$78-'Workings 2'!$E$86-'Workings 2'!$E$90-'Workings 2'!$E$95-'Workings 2'!$E$99-'Workings 2'!$E$103-'Workings 2'!$E$107</f>
        <v>-0.36070637239583342</v>
      </c>
      <c r="AY13" s="18">
        <f>-'Workings 2'!$E$78-'Workings 2'!$E$86-'Workings 2'!$E$90-'Workings 2'!$E$95-'Workings 2'!$E$99-'Workings 2'!$E$103-'Workings 2'!$E$107</f>
        <v>-0.36070637239583342</v>
      </c>
      <c r="AZ13" s="18">
        <f>-'Workings 2'!$E$78-'Workings 2'!$E$86-'Workings 2'!$E$90-'Workings 2'!$E$95-'Workings 2'!$E$99-'Workings 2'!$E$103-'Workings 2'!$E$107</f>
        <v>-0.36070637239583342</v>
      </c>
      <c r="BA13" s="18">
        <f>-'Workings 2'!$E$78-'Workings 2'!$E$86-'Workings 2'!$E$90-'Workings 2'!$E$95-'Workings 2'!$E$99-'Workings 2'!$E$103-'Workings 2'!$E$107</f>
        <v>-0.36070637239583342</v>
      </c>
      <c r="BB13" s="18">
        <f>-'Workings 2'!$E$78-'Workings 2'!$E$86-'Workings 2'!$E$90-'Workings 2'!$E$95-'Workings 2'!$E$99-'Workings 2'!$E$103-'Workings 2'!$E$107</f>
        <v>-0.36070637239583342</v>
      </c>
      <c r="BC13" s="18">
        <f>-'Workings 2'!$E$78-'Workings 2'!$E$86-'Workings 2'!$E$90-'Workings 2'!$E$95-'Workings 2'!$E$99-'Workings 2'!$E$103-'Workings 2'!$E$107</f>
        <v>-0.36070637239583342</v>
      </c>
      <c r="BD13" s="18">
        <f>-'Workings 2'!$E$78-'Workings 2'!$E$86-'Workings 2'!$E$90-'Workings 2'!$E$95-'Workings 2'!$E$99-'Workings 2'!$E$103-'Workings 2'!$E$107</f>
        <v>-0.36070637239583342</v>
      </c>
      <c r="BE13" s="18">
        <f>-'Workings 2'!$E$78-'Workings 2'!$E$86-'Workings 2'!$E$90-'Workings 2'!$E$95-'Workings 2'!$E$99-'Workings 2'!$E$103-'Workings 2'!$E$107</f>
        <v>-0.36070637239583342</v>
      </c>
      <c r="BF13" s="18">
        <f>-'Workings 2'!$E$78-'Workings 2'!$E$86-'Workings 2'!$E$90-'Workings 2'!$E$95-'Workings 2'!$E$99-'Workings 2'!$E$103-'Workings 2'!$E$107</f>
        <v>-0.36070637239583342</v>
      </c>
      <c r="BG13" s="18">
        <f>-'Workings 2'!$E$78-'Workings 2'!$E$86-'Workings 2'!$E$90-'Workings 2'!$E$95-'Workings 2'!$E$99-'Workings 2'!$E$103-'Workings 2'!$E$107</f>
        <v>-0.36070637239583342</v>
      </c>
      <c r="BH13" s="18">
        <f>-'Workings 2'!$E$78-'Workings 2'!$E$86-'Workings 2'!$E$90-'Workings 2'!$E$95-'Workings 2'!$E$99-'Workings 2'!$E$103-'Workings 2'!$E$107</f>
        <v>-0.36070637239583342</v>
      </c>
      <c r="BI13" s="18">
        <f>-'Workings 2'!$E$78-'Workings 2'!$E$86-'Workings 2'!$E$90-'Workings 2'!$E$95-'Workings 2'!$E$99-'Workings 2'!$E$103-'Workings 2'!$E$107</f>
        <v>-0.36070637239583342</v>
      </c>
      <c r="BJ13" s="18">
        <f>-'Workings 2'!$E$78-'Workings 2'!$E$86-'Workings 2'!$E$90-'Workings 2'!$E$95-'Workings 2'!$E$99-'Workings 2'!$E$103-'Workings 2'!$E$107</f>
        <v>-0.36070637239583342</v>
      </c>
      <c r="BK13" s="18">
        <f>-'Workings 2'!$E$78-'Workings 2'!$E$86-'Workings 2'!$E$90-'Workings 2'!$E$95-'Workings 2'!$E$99-'Workings 2'!$E$103-'Workings 2'!$E$107</f>
        <v>-0.36070637239583342</v>
      </c>
      <c r="BL13" s="33">
        <f t="shared" si="1"/>
        <v>-21.519158783854156</v>
      </c>
    </row>
    <row r="14" spans="2:64" ht="15.75" thickBot="1" x14ac:dyDescent="0.65">
      <c r="B14" s="17"/>
      <c r="C14" s="17"/>
      <c r="D14" s="28"/>
      <c r="E14" s="28"/>
      <c r="F14" s="28">
        <v>0</v>
      </c>
      <c r="G14" s="28">
        <v>0</v>
      </c>
      <c r="H14" s="28">
        <v>0</v>
      </c>
      <c r="I14" s="28">
        <v>0</v>
      </c>
      <c r="J14" s="28">
        <v>0</v>
      </c>
      <c r="K14" s="28">
        <v>0</v>
      </c>
      <c r="L14" s="28">
        <v>0</v>
      </c>
      <c r="M14" s="28">
        <v>0</v>
      </c>
      <c r="N14" s="28">
        <v>0</v>
      </c>
      <c r="O14" s="28">
        <v>0</v>
      </c>
      <c r="P14" s="28">
        <v>0</v>
      </c>
      <c r="Q14" s="28">
        <v>0</v>
      </c>
      <c r="R14" s="28">
        <v>0</v>
      </c>
      <c r="S14" s="28">
        <v>0</v>
      </c>
      <c r="T14" s="28">
        <v>0</v>
      </c>
      <c r="U14" s="28">
        <v>0</v>
      </c>
      <c r="V14" s="28">
        <v>0</v>
      </c>
      <c r="W14" s="28">
        <v>0</v>
      </c>
      <c r="X14" s="28">
        <v>0</v>
      </c>
      <c r="Y14" s="28">
        <v>0</v>
      </c>
      <c r="Z14" s="28">
        <v>0</v>
      </c>
      <c r="AA14" s="28">
        <v>0</v>
      </c>
      <c r="AB14" s="28">
        <v>0</v>
      </c>
      <c r="AC14" s="28">
        <v>0</v>
      </c>
      <c r="AD14" s="28">
        <v>0</v>
      </c>
      <c r="AE14" s="28">
        <v>0</v>
      </c>
      <c r="AF14" s="28">
        <v>0</v>
      </c>
      <c r="AG14" s="28">
        <v>0</v>
      </c>
      <c r="AH14" s="28">
        <v>0</v>
      </c>
      <c r="AI14" s="28">
        <v>0</v>
      </c>
      <c r="AJ14" s="28">
        <v>0</v>
      </c>
      <c r="AK14" s="28">
        <v>0</v>
      </c>
      <c r="AL14" s="28">
        <v>0</v>
      </c>
      <c r="AM14" s="28">
        <v>0</v>
      </c>
      <c r="AN14" s="28">
        <v>0</v>
      </c>
      <c r="AO14" s="28">
        <v>0</v>
      </c>
      <c r="AP14" s="28">
        <v>0</v>
      </c>
      <c r="AQ14" s="28">
        <v>0</v>
      </c>
      <c r="AR14" s="28">
        <v>0</v>
      </c>
      <c r="AS14" s="28">
        <v>0</v>
      </c>
      <c r="AT14" s="28">
        <v>0</v>
      </c>
      <c r="AU14" s="28">
        <v>0</v>
      </c>
      <c r="AV14" s="28">
        <v>0</v>
      </c>
      <c r="AW14" s="28">
        <v>0</v>
      </c>
      <c r="AX14" s="28">
        <v>0</v>
      </c>
      <c r="AY14" s="28">
        <v>0</v>
      </c>
      <c r="AZ14" s="28">
        <v>0</v>
      </c>
      <c r="BA14" s="28">
        <v>0</v>
      </c>
      <c r="BB14" s="28">
        <v>0</v>
      </c>
      <c r="BC14" s="28">
        <v>0</v>
      </c>
      <c r="BD14" s="28">
        <v>0</v>
      </c>
      <c r="BE14" s="28">
        <v>0</v>
      </c>
      <c r="BF14" s="28">
        <v>0</v>
      </c>
      <c r="BG14" s="28">
        <v>0</v>
      </c>
      <c r="BH14" s="28">
        <v>0</v>
      </c>
      <c r="BI14" s="28">
        <v>0</v>
      </c>
      <c r="BJ14" s="28">
        <v>0</v>
      </c>
      <c r="BK14" s="28" t="s">
        <v>523</v>
      </c>
    </row>
    <row r="15" spans="2:64" x14ac:dyDescent="0.6">
      <c r="B15" s="35" t="s">
        <v>386</v>
      </c>
      <c r="C15" s="35" t="s">
        <v>4</v>
      </c>
      <c r="D15" s="36">
        <f t="shared" ref="D15:AI15" si="2">SUM(D6:D14)</f>
        <v>-26.848481631339105</v>
      </c>
      <c r="E15" s="36">
        <f t="shared" si="2"/>
        <v>-11.128272720510877</v>
      </c>
      <c r="F15" s="36">
        <f t="shared" si="2"/>
        <v>-11.128272720510877</v>
      </c>
      <c r="G15" s="36">
        <f t="shared" si="2"/>
        <v>-11.128272720510877</v>
      </c>
      <c r="H15" s="36">
        <f t="shared" si="2"/>
        <v>-11.128272720510877</v>
      </c>
      <c r="I15" s="36">
        <f t="shared" si="2"/>
        <v>-11.128272720510877</v>
      </c>
      <c r="J15" s="36">
        <f t="shared" si="2"/>
        <v>-11.128272720510877</v>
      </c>
      <c r="K15" s="36">
        <f t="shared" si="2"/>
        <v>-11.128272720510877</v>
      </c>
      <c r="L15" s="36">
        <f t="shared" si="2"/>
        <v>-9.8231791001983755</v>
      </c>
      <c r="M15" s="36">
        <f t="shared" si="2"/>
        <v>-9.8231791001983755</v>
      </c>
      <c r="N15" s="36">
        <f t="shared" si="2"/>
        <v>-9.8231791001983755</v>
      </c>
      <c r="O15" s="36">
        <f t="shared" si="2"/>
        <v>-9.8231791001983755</v>
      </c>
      <c r="P15" s="36">
        <f t="shared" si="2"/>
        <v>-9.8231791001983755</v>
      </c>
      <c r="Q15" s="36">
        <f t="shared" si="2"/>
        <v>-9.8231791001983755</v>
      </c>
      <c r="R15" s="36">
        <f t="shared" si="2"/>
        <v>-9.8231791001983755</v>
      </c>
      <c r="S15" s="36">
        <f t="shared" si="2"/>
        <v>-9.8231791001983755</v>
      </c>
      <c r="T15" s="36">
        <f t="shared" si="2"/>
        <v>-9.8231791001983755</v>
      </c>
      <c r="U15" s="36">
        <f t="shared" si="2"/>
        <v>-9.8231791001983755</v>
      </c>
      <c r="V15" s="36">
        <f t="shared" si="2"/>
        <v>-9.8231791001983755</v>
      </c>
      <c r="W15" s="36">
        <f t="shared" si="2"/>
        <v>-9.8231791001983755</v>
      </c>
      <c r="X15" s="36">
        <f t="shared" si="2"/>
        <v>-9.8231791001983755</v>
      </c>
      <c r="Y15" s="36">
        <f t="shared" si="2"/>
        <v>-9.8231791001983755</v>
      </c>
      <c r="Z15" s="36">
        <f t="shared" si="2"/>
        <v>-9.8231791001983755</v>
      </c>
      <c r="AA15" s="36">
        <f t="shared" si="2"/>
        <v>-9.8231791001983755</v>
      </c>
      <c r="AB15" s="36">
        <f t="shared" si="2"/>
        <v>-9.8231791001983755</v>
      </c>
      <c r="AC15" s="36">
        <f t="shared" si="2"/>
        <v>-9.8231791001983755</v>
      </c>
      <c r="AD15" s="36">
        <f t="shared" si="2"/>
        <v>-9.8231791001983755</v>
      </c>
      <c r="AE15" s="36">
        <f t="shared" si="2"/>
        <v>-9.8231791001983755</v>
      </c>
      <c r="AF15" s="36">
        <f t="shared" si="2"/>
        <v>-9.8231791001983755</v>
      </c>
      <c r="AG15" s="36">
        <f t="shared" si="2"/>
        <v>-9.8231791001983755</v>
      </c>
      <c r="AH15" s="36">
        <f t="shared" si="2"/>
        <v>-9.8231791001983755</v>
      </c>
      <c r="AI15" s="36">
        <f t="shared" si="2"/>
        <v>-9.8231791001983755</v>
      </c>
      <c r="AJ15" s="36">
        <f t="shared" ref="AJ15:BJ15" si="3">SUM(AJ6:AJ14)</f>
        <v>-9.8231791001983755</v>
      </c>
      <c r="AK15" s="36">
        <f t="shared" si="3"/>
        <v>-9.8231791001983755</v>
      </c>
      <c r="AL15" s="36">
        <f t="shared" si="3"/>
        <v>-9.8231791001983755</v>
      </c>
      <c r="AM15" s="36">
        <f t="shared" si="3"/>
        <v>-9.8231791001983755</v>
      </c>
      <c r="AN15" s="36">
        <f t="shared" si="3"/>
        <v>-9.8231791001983755</v>
      </c>
      <c r="AO15" s="36">
        <f t="shared" si="3"/>
        <v>-9.8231791001983755</v>
      </c>
      <c r="AP15" s="36">
        <f t="shared" si="3"/>
        <v>-9.8231791001983755</v>
      </c>
      <c r="AQ15" s="36">
        <f t="shared" si="3"/>
        <v>-9.8231791001983755</v>
      </c>
      <c r="AR15" s="36">
        <f t="shared" si="3"/>
        <v>-9.8231791001983755</v>
      </c>
      <c r="AS15" s="36">
        <f t="shared" si="3"/>
        <v>-9.8231791001983755</v>
      </c>
      <c r="AT15" s="36">
        <f t="shared" si="3"/>
        <v>-9.8231791001983755</v>
      </c>
      <c r="AU15" s="36">
        <f t="shared" si="3"/>
        <v>-9.8231791001983755</v>
      </c>
      <c r="AV15" s="36">
        <f t="shared" si="3"/>
        <v>-9.8231791001983755</v>
      </c>
      <c r="AW15" s="36">
        <f t="shared" si="3"/>
        <v>-9.8231791001983755</v>
      </c>
      <c r="AX15" s="36">
        <f t="shared" si="3"/>
        <v>-9.8231791001983755</v>
      </c>
      <c r="AY15" s="36">
        <f t="shared" si="3"/>
        <v>-9.8231791001983755</v>
      </c>
      <c r="AZ15" s="36">
        <f t="shared" si="3"/>
        <v>-9.8231791001983755</v>
      </c>
      <c r="BA15" s="36">
        <f t="shared" si="3"/>
        <v>-9.8231791001983755</v>
      </c>
      <c r="BB15" s="36">
        <f t="shared" si="3"/>
        <v>-9.8231791001983755</v>
      </c>
      <c r="BC15" s="36">
        <f t="shared" si="3"/>
        <v>-9.8231791001983755</v>
      </c>
      <c r="BD15" s="36">
        <f t="shared" si="3"/>
        <v>-9.8231791001983755</v>
      </c>
      <c r="BE15" s="36">
        <f t="shared" si="3"/>
        <v>-9.8231791001983755</v>
      </c>
      <c r="BF15" s="36">
        <f t="shared" si="3"/>
        <v>-9.8231791001983755</v>
      </c>
      <c r="BG15" s="36">
        <f t="shared" si="3"/>
        <v>-9.8231791001983755</v>
      </c>
      <c r="BH15" s="36">
        <f t="shared" si="3"/>
        <v>-9.8231791001983755</v>
      </c>
      <c r="BI15" s="36">
        <f t="shared" si="3"/>
        <v>-9.8231791001983755</v>
      </c>
      <c r="BJ15" s="36">
        <f t="shared" si="3"/>
        <v>-9.8231791001983755</v>
      </c>
      <c r="BK15" s="36">
        <f t="shared" ref="BK15" si="4">SUM(BK6:BK14)</f>
        <v>-9.8231791001983755</v>
      </c>
      <c r="BL15" s="33">
        <f t="shared" si="1"/>
        <v>-605.72852478503239</v>
      </c>
    </row>
    <row r="16" spans="2:64" outlineLevel="1" x14ac:dyDescent="0.6">
      <c r="B16" s="3" t="s">
        <v>6</v>
      </c>
      <c r="C16" s="4"/>
      <c r="D16" s="15">
        <f>1/(1+'Fixed data'!$C$3)^D4</f>
        <v>0.96618357487922713</v>
      </c>
      <c r="E16" s="15">
        <f>1/(1+'Fixed data'!$C$3)^E4</f>
        <v>0.93351070036640305</v>
      </c>
      <c r="F16" s="15">
        <f>1/(1+'Fixed data'!$C$3)^F4</f>
        <v>0.90194270566802237</v>
      </c>
      <c r="G16" s="15">
        <f>1/(1+'Fixed data'!$C$3)^G4</f>
        <v>0.87144222769857238</v>
      </c>
      <c r="H16" s="15">
        <f>1/(1+'Fixed data'!$C$3)^H4</f>
        <v>0.84197316685852419</v>
      </c>
      <c r="I16" s="15">
        <f>1/(1+'Fixed data'!$C$3)^I4</f>
        <v>0.81350064430775282</v>
      </c>
      <c r="J16" s="15">
        <f>1/(1+'Fixed data'!$C$3)^J4</f>
        <v>0.78599096068381913</v>
      </c>
      <c r="K16" s="15">
        <f>1/(1+'Fixed data'!$C$3)^K4</f>
        <v>0.75941155621625056</v>
      </c>
      <c r="L16" s="15">
        <f>1/(1+'Fixed data'!$C$3)^L4</f>
        <v>0.73373097218961414</v>
      </c>
      <c r="M16" s="15">
        <f>1/(1+'Fixed data'!$C$3)^M4</f>
        <v>0.70891881370977217</v>
      </c>
      <c r="N16" s="15">
        <f>1/(1+'Fixed data'!$C$3)^N4</f>
        <v>0.68494571372924851</v>
      </c>
      <c r="O16" s="15">
        <f>1/(1+'Fixed data'!$C$3)^O4</f>
        <v>0.66178329828912896</v>
      </c>
      <c r="P16" s="15">
        <f>1/(1+'Fixed data'!$C$3)^P4</f>
        <v>0.63940415293635666</v>
      </c>
      <c r="Q16" s="15">
        <f>1/(1+'Fixed data'!$C$3)^Q4</f>
        <v>0.61778179027667302</v>
      </c>
      <c r="R16" s="15">
        <f>1/(1+'Fixed data'!$C$3)^R4</f>
        <v>0.59689061862480497</v>
      </c>
      <c r="S16" s="15">
        <f>1/(1+'Fixed data'!$C$3)^S4</f>
        <v>0.57670591171478747</v>
      </c>
      <c r="T16" s="15">
        <f>1/(1+'Fixed data'!$C$3)^T4</f>
        <v>0.55720377943457733</v>
      </c>
      <c r="U16" s="15">
        <f>1/(1+'Fixed data'!$C$3)^U4</f>
        <v>0.53836113955031628</v>
      </c>
      <c r="V16" s="15">
        <f>1/(1+'Fixed data'!$C$3)^V4</f>
        <v>0.52015569038677911</v>
      </c>
      <c r="W16" s="15">
        <f>1/(1+'Fixed data'!$C$3)^W4</f>
        <v>0.50256588443167061</v>
      </c>
      <c r="X16" s="15">
        <f>1/(1+'Fixed data'!$C$3)^X4</f>
        <v>0.48557090283253213</v>
      </c>
      <c r="Y16" s="15">
        <f>1/(1+'Fixed data'!$C$3)^Y4</f>
        <v>0.46915063075606966</v>
      </c>
      <c r="Z16" s="15">
        <f>1/(1+'Fixed data'!$C$3)^Z4</f>
        <v>0.45328563358074364</v>
      </c>
      <c r="AA16" s="15">
        <f>1/(1+'Fixed data'!$C$3)^AA4</f>
        <v>0.43795713389443841</v>
      </c>
      <c r="AB16" s="15">
        <f>1/(1+'Fixed data'!$C$3)^AB4</f>
        <v>0.42314698926998884</v>
      </c>
      <c r="AC16" s="15">
        <f>1/(1+'Fixed data'!$C$3)^AC4</f>
        <v>0.40883767079225974</v>
      </c>
      <c r="AD16" s="15">
        <f>1/(1+'Fixed data'!$C$3)^AD4</f>
        <v>0.39501224231136206</v>
      </c>
      <c r="AE16" s="15">
        <f>1/(1+'Fixed data'!$C$3)^AE4</f>
        <v>0.38165434039745127</v>
      </c>
      <c r="AF16" s="15">
        <f>1/(1+'Fixed data'!$C$3)^AF4</f>
        <v>0.36874815497338298</v>
      </c>
      <c r="AG16" s="15">
        <f>1/(1+'Fixed data'!$C$3)^AG4</f>
        <v>0.35627841060230236</v>
      </c>
      <c r="AH16" s="15">
        <f>1/(1+'Fixed data'!$C$3)^AH4</f>
        <v>0.34423034840802164</v>
      </c>
      <c r="AI16" s="15">
        <f>1/(1+'Fixed data'!$C$3)^AI4</f>
        <v>0.33258970860678427</v>
      </c>
      <c r="AJ16" s="15">
        <f>1/(1+'Fixed data'!$C$3)^AJ4</f>
        <v>0.32134271362974326</v>
      </c>
      <c r="AK16" s="15">
        <f>1/(1+'Fixed data'!$C$3)^AK4</f>
        <v>0.3104760518161771</v>
      </c>
      <c r="AL16" s="15">
        <f>1/(1+'Fixed data'!$C$3)^AL4</f>
        <v>0.29997686165814214</v>
      </c>
      <c r="AM16" s="15">
        <f>1/(1+'Fixed data'!$C$3)^AM4</f>
        <v>0.28983271657791515</v>
      </c>
      <c r="AN16" s="15">
        <f>1/(1+'Fixed data'!$C$3)^AN4</f>
        <v>0.28003161022020789</v>
      </c>
      <c r="AO16" s="15">
        <f>1/(1+'Fixed data'!$C$3)^AO4</f>
        <v>0.27056194224174673</v>
      </c>
      <c r="AP16" s="15">
        <f>1/(1+'Fixed data'!$C$3)^AP4</f>
        <v>0.26141250458139786</v>
      </c>
      <c r="AQ16" s="15">
        <f>1/(1+'Fixed data'!$C$3)^AQ4</f>
        <v>0.25257246819458734</v>
      </c>
      <c r="AR16" s="15">
        <f>1/(1+'Fixed data'!$C$3)^AR4</f>
        <v>0.24403137023631633</v>
      </c>
      <c r="AS16" s="15">
        <f>1/(1+'Fixed data'!$C$3)^AS4</f>
        <v>0.2357791016776003</v>
      </c>
      <c r="AT16" s="15">
        <f>1/(1+'Fixed data'!$C$3)^AT4</f>
        <v>0.22780589534067661</v>
      </c>
      <c r="AU16" s="15">
        <f>1/(1+'Fixed data'!$C$3)^AU4</f>
        <v>0.22010231433881802</v>
      </c>
      <c r="AV16" s="15">
        <f>1/(1+'Fixed data'!$C$3)^AV4</f>
        <v>0.21265924090707056</v>
      </c>
      <c r="AW16" s="15">
        <f>1/(1+'Fixed data'!$C$3)^AW4</f>
        <v>0.20546786561069619</v>
      </c>
      <c r="AX16" s="15">
        <f>1/(1+'Fixed data'!$C$3)^AX4</f>
        <v>0.19851967691854708</v>
      </c>
      <c r="AY16" s="15">
        <f>1/(1+'Fixed data'!$C$3)^AY4</f>
        <v>0.19180645112903102</v>
      </c>
      <c r="AZ16" s="15">
        <f>1/(1+'Fixed data'!$C$3)^AZ4</f>
        <v>0.18532024263674499</v>
      </c>
      <c r="BA16" s="15">
        <f>1/(1+'Fixed data'!$C$3)^BA4</f>
        <v>0.17905337452825601</v>
      </c>
      <c r="BB16" s="15">
        <f>1/(1+'Fixed data'!$C$3)^BB4</f>
        <v>0.17299842949589955</v>
      </c>
      <c r="BC16" s="15">
        <f>1/(1+'Fixed data'!$C$3)^BC4</f>
        <v>0.16714824105884016</v>
      </c>
      <c r="BD16" s="15">
        <f>1/(1+'Fixed data'!$C$3)^BD4</f>
        <v>0.16149588508100501</v>
      </c>
      <c r="BE16" s="15">
        <f>1/(1+'Fixed data'!$C$3)^BE4</f>
        <v>0.15603467157585027</v>
      </c>
      <c r="BF16" s="15">
        <f>1/(1+'Fixed data'!$C$3)^BF4</f>
        <v>0.15075813678826111</v>
      </c>
      <c r="BG16" s="15">
        <f>1/(1+'Fixed data'!$C$3)^BG4</f>
        <v>0.14566003554421367</v>
      </c>
      <c r="BH16" s="15">
        <f>1/(1+'Fixed data'!$C$3)^BH4</f>
        <v>0.14073433385914366</v>
      </c>
      <c r="BI16" s="15">
        <f>1/(1+'Fixed data'!$C$3)^BI4</f>
        <v>0.13597520179627406</v>
      </c>
      <c r="BJ16" s="15">
        <f>1/(1+'Fixed data'!$C$3)^BJ4</f>
        <v>0.13137700656644835</v>
      </c>
      <c r="BK16" s="15">
        <f>1/(1+'Fixed data'!$C$3)^BK4</f>
        <v>0.12693430586130278</v>
      </c>
      <c r="BL16" s="33"/>
    </row>
    <row r="17" spans="2:64" x14ac:dyDescent="0.6">
      <c r="B17" s="5" t="s">
        <v>2</v>
      </c>
      <c r="C17" s="4" t="s">
        <v>4</v>
      </c>
      <c r="D17" s="15">
        <f t="shared" ref="D17:BJ17" si="5">+D15*D16</f>
        <v>-25.940561962646481</v>
      </c>
      <c r="E17" s="15">
        <f t="shared" si="5"/>
        <v>-10.388361661192446</v>
      </c>
      <c r="F17" s="15">
        <f t="shared" si="5"/>
        <v>-10.037064406949224</v>
      </c>
      <c r="G17" s="15">
        <f t="shared" si="5"/>
        <v>-9.6976467699992508</v>
      </c>
      <c r="H17" s="15">
        <f t="shared" si="5"/>
        <v>-9.3697070241538665</v>
      </c>
      <c r="I17" s="15">
        <f t="shared" si="5"/>
        <v>-9.0528570281679883</v>
      </c>
      <c r="J17" s="15">
        <f t="shared" si="5"/>
        <v>-8.7467217663458818</v>
      </c>
      <c r="K17" s="15">
        <f t="shared" si="5"/>
        <v>-8.4509389046820136</v>
      </c>
      <c r="L17" s="15">
        <f t="shared" si="5"/>
        <v>-7.2075707511812528</v>
      </c>
      <c r="M17" s="15">
        <f t="shared" si="5"/>
        <v>-6.9638364745712593</v>
      </c>
      <c r="N17" s="15">
        <f t="shared" si="5"/>
        <v>-6.7283444198756133</v>
      </c>
      <c r="O17" s="15">
        <f t="shared" si="5"/>
        <v>-6.5008158646141192</v>
      </c>
      <c r="P17" s="15">
        <f t="shared" si="5"/>
        <v>-6.2809815117044643</v>
      </c>
      <c r="Q17" s="15">
        <f t="shared" si="5"/>
        <v>-6.0685811707289501</v>
      </c>
      <c r="R17" s="15">
        <f t="shared" si="5"/>
        <v>-5.863363449979663</v>
      </c>
      <c r="S17" s="15">
        <f t="shared" si="5"/>
        <v>-5.6650854589175497</v>
      </c>
      <c r="T17" s="15">
        <f t="shared" si="5"/>
        <v>-5.4735125206932853</v>
      </c>
      <c r="U17" s="15">
        <f t="shared" si="5"/>
        <v>-5.2884178943896476</v>
      </c>
      <c r="V17" s="15">
        <f t="shared" si="5"/>
        <v>-5.1095825066566656</v>
      </c>
      <c r="W17" s="15">
        <f t="shared" si="5"/>
        <v>-4.9367946924218984</v>
      </c>
      <c r="X17" s="15">
        <f t="shared" si="5"/>
        <v>-4.7698499443689855</v>
      </c>
      <c r="Y17" s="15">
        <f t="shared" si="5"/>
        <v>-4.6085506708879089</v>
      </c>
      <c r="Z17" s="15">
        <f t="shared" si="5"/>
        <v>-4.4527059622105396</v>
      </c>
      <c r="AA17" s="15">
        <f t="shared" si="5"/>
        <v>-4.3021313644546293</v>
      </c>
      <c r="AB17" s="15">
        <f t="shared" si="5"/>
        <v>-4.1566486613088207</v>
      </c>
      <c r="AC17" s="15">
        <f t="shared" si="5"/>
        <v>-4.0160856631003101</v>
      </c>
      <c r="AD17" s="15">
        <f t="shared" si="5"/>
        <v>-3.8802760029954682</v>
      </c>
      <c r="AE17" s="15">
        <f t="shared" si="5"/>
        <v>-3.7490589400922398</v>
      </c>
      <c r="AF17" s="15">
        <f t="shared" si="5"/>
        <v>-3.6222791691712475</v>
      </c>
      <c r="AG17" s="15">
        <f t="shared" si="5"/>
        <v>-3.4997866368804318</v>
      </c>
      <c r="AH17" s="15">
        <f t="shared" si="5"/>
        <v>-3.3814363641356833</v>
      </c>
      <c r="AI17" s="15">
        <f t="shared" si="5"/>
        <v>-3.2670882745272309</v>
      </c>
      <c r="AJ17" s="15">
        <f t="shared" si="5"/>
        <v>-3.1566070285287258</v>
      </c>
      <c r="AK17" s="15">
        <f t="shared" si="5"/>
        <v>-3.049861863312779</v>
      </c>
      <c r="AL17" s="15">
        <f t="shared" si="5"/>
        <v>-2.9467264379833611</v>
      </c>
      <c r="AM17" s="15">
        <f t="shared" si="5"/>
        <v>-2.8470786840418953</v>
      </c>
      <c r="AN17" s="15">
        <f t="shared" si="5"/>
        <v>-2.7508006609100439</v>
      </c>
      <c r="AO17" s="15">
        <f t="shared" si="5"/>
        <v>-2.6577784163382066</v>
      </c>
      <c r="AP17" s="15">
        <f t="shared" si="5"/>
        <v>-2.5679018515344998</v>
      </c>
      <c r="AQ17" s="15">
        <f t="shared" si="5"/>
        <v>-2.4810645908545892</v>
      </c>
      <c r="AR17" s="15">
        <f t="shared" si="5"/>
        <v>-2.3971638558981545</v>
      </c>
      <c r="AS17" s="15">
        <f t="shared" si="5"/>
        <v>-2.316100343862951</v>
      </c>
      <c r="AT17" s="15">
        <f t="shared" si="5"/>
        <v>-2.2377781100125129</v>
      </c>
      <c r="AU17" s="15">
        <f t="shared" si="5"/>
        <v>-2.1621044541183703</v>
      </c>
      <c r="AV17" s="15">
        <f t="shared" si="5"/>
        <v>-2.0889898107423868</v>
      </c>
      <c r="AW17" s="15">
        <f t="shared" si="5"/>
        <v>-2.0183476432293594</v>
      </c>
      <c r="AX17" s="15">
        <f t="shared" si="5"/>
        <v>-1.9500943412844054</v>
      </c>
      <c r="AY17" s="15">
        <f t="shared" si="5"/>
        <v>-1.8841491220139186</v>
      </c>
      <c r="AZ17" s="15">
        <f t="shared" si="5"/>
        <v>-1.8204339343129652</v>
      </c>
      <c r="BA17" s="15">
        <f t="shared" si="5"/>
        <v>-1.7588733664859566</v>
      </c>
      <c r="BB17" s="15">
        <f t="shared" si="5"/>
        <v>-1.6993945569912627</v>
      </c>
      <c r="BC17" s="15">
        <f t="shared" si="5"/>
        <v>-1.6419271082041187</v>
      </c>
      <c r="BD17" s="15">
        <f t="shared" si="5"/>
        <v>-1.586403003095767</v>
      </c>
      <c r="BE17" s="15">
        <f t="shared" si="5"/>
        <v>-1.53275652473021</v>
      </c>
      <c r="BF17" s="15">
        <f t="shared" si="5"/>
        <v>-1.4809241784832943</v>
      </c>
      <c r="BG17" s="15">
        <f t="shared" si="5"/>
        <v>-1.4308446168920721</v>
      </c>
      <c r="BH17" s="15">
        <f t="shared" si="5"/>
        <v>-1.3824585670454805</v>
      </c>
      <c r="BI17" s="15">
        <f t="shared" si="5"/>
        <v>-1.3357087604304161</v>
      </c>
      <c r="BJ17" s="15">
        <f t="shared" si="5"/>
        <v>-1.2905398651501603</v>
      </c>
      <c r="BK17" s="15">
        <f t="shared" ref="BK17" si="6">+BK15*BK16</f>
        <v>-1.2468984204349376</v>
      </c>
      <c r="BL17" s="33">
        <f t="shared" si="1"/>
        <v>-267.94945559049279</v>
      </c>
    </row>
    <row r="18" spans="2:64" x14ac:dyDescent="0.6">
      <c r="B18" s="5" t="s">
        <v>398</v>
      </c>
      <c r="C18" s="4" t="s">
        <v>4</v>
      </c>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f>+BK17/'Fixed data'!C3</f>
        <v>-35.62566915528393</v>
      </c>
      <c r="BL18" s="33">
        <f>+BJ18</f>
        <v>0</v>
      </c>
    </row>
    <row r="19" spans="2:64" x14ac:dyDescent="0.6">
      <c r="B19" s="7" t="s">
        <v>3</v>
      </c>
      <c r="C19" s="6" t="s">
        <v>4</v>
      </c>
      <c r="D19" s="16">
        <f>+D17</f>
        <v>-25.940561962646481</v>
      </c>
      <c r="E19" s="16">
        <f t="shared" ref="E19:BI19" si="7">+E17+D19</f>
        <v>-36.328923623838925</v>
      </c>
      <c r="F19" s="16">
        <f t="shared" si="7"/>
        <v>-46.365988030788145</v>
      </c>
      <c r="G19" s="16">
        <f t="shared" si="7"/>
        <v>-56.063634800787398</v>
      </c>
      <c r="H19" s="16">
        <f t="shared" si="7"/>
        <v>-65.433341824941266</v>
      </c>
      <c r="I19" s="16">
        <f t="shared" si="7"/>
        <v>-74.486198853109258</v>
      </c>
      <c r="J19" s="16">
        <f t="shared" si="7"/>
        <v>-83.232920619455143</v>
      </c>
      <c r="K19" s="16">
        <f t="shared" si="7"/>
        <v>-91.683859524137162</v>
      </c>
      <c r="L19" s="16">
        <f t="shared" si="7"/>
        <v>-98.891430275318413</v>
      </c>
      <c r="M19" s="16">
        <f t="shared" si="7"/>
        <v>-105.85526674988967</v>
      </c>
      <c r="N19" s="16">
        <f t="shared" si="7"/>
        <v>-112.58361116976528</v>
      </c>
      <c r="O19" s="16">
        <f t="shared" si="7"/>
        <v>-119.0844270343794</v>
      </c>
      <c r="P19" s="16">
        <f t="shared" si="7"/>
        <v>-125.36540854608387</v>
      </c>
      <c r="Q19" s="16">
        <f t="shared" si="7"/>
        <v>-131.43398971681282</v>
      </c>
      <c r="R19" s="16">
        <f t="shared" si="7"/>
        <v>-137.29735316679248</v>
      </c>
      <c r="S19" s="16">
        <f t="shared" si="7"/>
        <v>-142.96243862571004</v>
      </c>
      <c r="T19" s="16">
        <f t="shared" si="7"/>
        <v>-148.43595114640331</v>
      </c>
      <c r="U19" s="16">
        <f t="shared" si="7"/>
        <v>-153.72436904079296</v>
      </c>
      <c r="V19" s="16">
        <f t="shared" si="7"/>
        <v>-158.83395154744963</v>
      </c>
      <c r="W19" s="16">
        <f t="shared" si="7"/>
        <v>-163.77074623987153</v>
      </c>
      <c r="X19" s="16">
        <f t="shared" si="7"/>
        <v>-168.54059618424051</v>
      </c>
      <c r="Y19" s="16">
        <f t="shared" si="7"/>
        <v>-173.14914685512844</v>
      </c>
      <c r="Z19" s="16">
        <f t="shared" si="7"/>
        <v>-177.60185281733897</v>
      </c>
      <c r="AA19" s="16">
        <f t="shared" si="7"/>
        <v>-181.90398418179359</v>
      </c>
      <c r="AB19" s="16">
        <f t="shared" si="7"/>
        <v>-186.06063284310241</v>
      </c>
      <c r="AC19" s="16">
        <f t="shared" si="7"/>
        <v>-190.07671850620272</v>
      </c>
      <c r="AD19" s="16">
        <f t="shared" si="7"/>
        <v>-193.95699450919818</v>
      </c>
      <c r="AE19" s="16">
        <f t="shared" si="7"/>
        <v>-197.70605344929041</v>
      </c>
      <c r="AF19" s="16">
        <f t="shared" si="7"/>
        <v>-201.32833261846164</v>
      </c>
      <c r="AG19" s="16">
        <f t="shared" si="7"/>
        <v>-204.82811925534207</v>
      </c>
      <c r="AH19" s="16">
        <f t="shared" si="7"/>
        <v>-208.20955561947775</v>
      </c>
      <c r="AI19" s="16">
        <f t="shared" si="7"/>
        <v>-211.47664389400498</v>
      </c>
      <c r="AJ19" s="16">
        <f t="shared" si="7"/>
        <v>-214.6332509225337</v>
      </c>
      <c r="AK19" s="16">
        <f t="shared" si="7"/>
        <v>-217.68311278584648</v>
      </c>
      <c r="AL19" s="16">
        <f t="shared" si="7"/>
        <v>-220.62983922382983</v>
      </c>
      <c r="AM19" s="16">
        <f t="shared" si="7"/>
        <v>-223.47691790787172</v>
      </c>
      <c r="AN19" s="16">
        <f t="shared" si="7"/>
        <v>-226.22771856878177</v>
      </c>
      <c r="AO19" s="16">
        <f t="shared" si="7"/>
        <v>-228.88549698511997</v>
      </c>
      <c r="AP19" s="16">
        <f t="shared" si="7"/>
        <v>-231.45339883665446</v>
      </c>
      <c r="AQ19" s="16">
        <f t="shared" si="7"/>
        <v>-233.93446342750906</v>
      </c>
      <c r="AR19" s="16">
        <f t="shared" si="7"/>
        <v>-236.33162728340722</v>
      </c>
      <c r="AS19" s="16">
        <f t="shared" si="7"/>
        <v>-238.64772762727017</v>
      </c>
      <c r="AT19" s="16">
        <f t="shared" si="7"/>
        <v>-240.88550573728267</v>
      </c>
      <c r="AU19" s="16">
        <f t="shared" si="7"/>
        <v>-243.04761019140105</v>
      </c>
      <c r="AV19" s="16">
        <f t="shared" si="7"/>
        <v>-245.13660000214344</v>
      </c>
      <c r="AW19" s="16">
        <f t="shared" si="7"/>
        <v>-247.1549476453728</v>
      </c>
      <c r="AX19" s="16">
        <f t="shared" si="7"/>
        <v>-249.1050419866572</v>
      </c>
      <c r="AY19" s="16">
        <f t="shared" si="7"/>
        <v>-250.98919110867112</v>
      </c>
      <c r="AZ19" s="16">
        <f t="shared" si="7"/>
        <v>-252.80962504298409</v>
      </c>
      <c r="BA19" s="16">
        <f t="shared" si="7"/>
        <v>-254.56849840947004</v>
      </c>
      <c r="BB19" s="16">
        <f t="shared" si="7"/>
        <v>-256.26789296646132</v>
      </c>
      <c r="BC19" s="16">
        <f t="shared" si="7"/>
        <v>-257.90982007466545</v>
      </c>
      <c r="BD19" s="16">
        <f t="shared" si="7"/>
        <v>-259.49622307776121</v>
      </c>
      <c r="BE19" s="16">
        <f t="shared" si="7"/>
        <v>-261.0289796024914</v>
      </c>
      <c r="BF19" s="16">
        <f t="shared" si="7"/>
        <v>-262.5099037809747</v>
      </c>
      <c r="BG19" s="16">
        <f t="shared" si="7"/>
        <v>-263.94074839786674</v>
      </c>
      <c r="BH19" s="16">
        <f t="shared" si="7"/>
        <v>-265.32320696491223</v>
      </c>
      <c r="BI19" s="16">
        <f t="shared" si="7"/>
        <v>-266.65891572534264</v>
      </c>
      <c r="BJ19" s="16">
        <f>+BJ17+BI19+BJ18</f>
        <v>-267.94945559049279</v>
      </c>
      <c r="BK19" s="16">
        <f>+BK17+BJ19+BK18</f>
        <v>-304.82202316621169</v>
      </c>
      <c r="BL19" s="33"/>
    </row>
    <row r="20" spans="2:64" x14ac:dyDescent="0.6">
      <c r="B20" s="6"/>
    </row>
    <row r="27" spans="2:64" x14ac:dyDescent="0.6">
      <c r="C27" s="10"/>
      <c r="D27" s="10"/>
      <c r="E27" s="10"/>
      <c r="F27" s="10"/>
      <c r="G27" s="10"/>
      <c r="H27" s="10"/>
      <c r="I27" s="10"/>
      <c r="J27" s="10"/>
      <c r="K27" s="10"/>
      <c r="L27" s="10"/>
      <c r="M27" s="10"/>
      <c r="N27" s="10"/>
      <c r="O27" s="10"/>
      <c r="P27" s="10"/>
      <c r="Q27" s="10"/>
      <c r="R27" s="10"/>
      <c r="S27" s="10"/>
    </row>
  </sheetData>
  <pageMargins left="0.70866141732283472" right="0.70866141732283472" top="0.74803149606299213" bottom="0.74803149606299213" header="0.31496062992125984" footer="0.31496062992125984"/>
  <pageSetup paperSize="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107"/>
  <sheetViews>
    <sheetView showGridLines="0" topLeftCell="A89" workbookViewId="0">
      <selection activeCell="D100" sqref="D100"/>
    </sheetView>
  </sheetViews>
  <sheetFormatPr defaultRowHeight="14.25" x14ac:dyDescent="0.45"/>
  <cols>
    <col min="1" max="1" width="5.86328125" customWidth="1"/>
    <col min="2" max="2" width="35.265625" customWidth="1"/>
    <col min="4" max="4" width="65.59765625" customWidth="1"/>
    <col min="5" max="5" width="12.3984375" customWidth="1"/>
    <col min="6" max="6" width="16.86328125" bestFit="1" customWidth="1"/>
    <col min="7" max="7" width="15.3984375" bestFit="1" customWidth="1"/>
    <col min="8" max="8" width="13.3984375" bestFit="1" customWidth="1"/>
  </cols>
  <sheetData>
    <row r="1" spans="1:5" ht="18" x14ac:dyDescent="0.55000000000000004">
      <c r="A1" s="1" t="s">
        <v>379</v>
      </c>
    </row>
    <row r="2" spans="1:5" x14ac:dyDescent="0.45">
      <c r="A2" t="s">
        <v>8</v>
      </c>
    </row>
    <row r="5" spans="1:5" x14ac:dyDescent="0.45">
      <c r="D5" t="s">
        <v>394</v>
      </c>
      <c r="E5" s="23">
        <v>1.2281413211584551</v>
      </c>
    </row>
    <row r="6" spans="1:5" x14ac:dyDescent="0.45">
      <c r="E6" s="23"/>
    </row>
    <row r="7" spans="1:5" x14ac:dyDescent="0.45">
      <c r="B7" s="30" t="s">
        <v>380</v>
      </c>
      <c r="D7" s="40" t="s">
        <v>381</v>
      </c>
      <c r="E7" s="23">
        <v>0.35124</v>
      </c>
    </row>
    <row r="8" spans="1:5" x14ac:dyDescent="0.45">
      <c r="D8" s="40" t="s">
        <v>383</v>
      </c>
      <c r="E8" s="23">
        <f>16600/1000000</f>
        <v>1.66E-2</v>
      </c>
    </row>
    <row r="9" spans="1:5" x14ac:dyDescent="0.45">
      <c r="D9" s="43" t="s">
        <v>386</v>
      </c>
      <c r="E9" s="41">
        <f>SUM(E7:E8)</f>
        <v>0.36784</v>
      </c>
    </row>
    <row r="10" spans="1:5" x14ac:dyDescent="0.45">
      <c r="E10" s="23"/>
    </row>
    <row r="11" spans="1:5" x14ac:dyDescent="0.45">
      <c r="B11" s="31" t="s">
        <v>395</v>
      </c>
      <c r="D11" t="s">
        <v>387</v>
      </c>
      <c r="E11" s="23">
        <v>0.88200000000000001</v>
      </c>
    </row>
    <row r="12" spans="1:5" x14ac:dyDescent="0.45">
      <c r="D12" t="s">
        <v>388</v>
      </c>
      <c r="E12" s="23">
        <v>7.0810000000000004</v>
      </c>
    </row>
    <row r="13" spans="1:5" x14ac:dyDescent="0.45">
      <c r="D13" t="s">
        <v>390</v>
      </c>
      <c r="E13" s="23">
        <v>5</v>
      </c>
    </row>
    <row r="14" spans="1:5" x14ac:dyDescent="0.45">
      <c r="D14" t="s">
        <v>389</v>
      </c>
      <c r="E14" s="23">
        <f>+(E11*0.8+E12*0.2)/E13</f>
        <v>0.42436000000000007</v>
      </c>
    </row>
    <row r="15" spans="1:5" x14ac:dyDescent="0.45">
      <c r="D15" s="38" t="s">
        <v>391</v>
      </c>
      <c r="E15" s="41">
        <f>+E14*E5</f>
        <v>0.52117405104680203</v>
      </c>
    </row>
    <row r="16" spans="1:5" x14ac:dyDescent="0.45">
      <c r="E16" s="23"/>
    </row>
    <row r="17" spans="2:5" x14ac:dyDescent="0.45">
      <c r="B17" s="31" t="s">
        <v>401</v>
      </c>
      <c r="D17" t="s">
        <v>402</v>
      </c>
      <c r="E17" s="23">
        <v>12.8</v>
      </c>
    </row>
    <row r="18" spans="2:5" x14ac:dyDescent="0.45">
      <c r="D18" s="38" t="s">
        <v>403</v>
      </c>
      <c r="E18" s="41">
        <f>+E17*E5</f>
        <v>15.720208910828227</v>
      </c>
    </row>
    <row r="19" spans="2:5" x14ac:dyDescent="0.45">
      <c r="E19" s="23"/>
    </row>
    <row r="20" spans="2:5" ht="99.75" x14ac:dyDescent="0.45">
      <c r="B20" s="42" t="s">
        <v>404</v>
      </c>
      <c r="D20" s="39" t="s">
        <v>468</v>
      </c>
      <c r="E20" s="23"/>
    </row>
    <row r="21" spans="2:5" x14ac:dyDescent="0.45">
      <c r="E21" s="23"/>
    </row>
    <row r="22" spans="2:5" x14ac:dyDescent="0.45">
      <c r="D22" s="37" t="s">
        <v>406</v>
      </c>
      <c r="E22" s="41">
        <f>'Workings 1'!F7*'Workings 1'!F4*0.0083</f>
        <v>1.4083134602104961</v>
      </c>
    </row>
    <row r="24" spans="2:5" ht="28.5" x14ac:dyDescent="0.45">
      <c r="B24" s="30" t="s">
        <v>407</v>
      </c>
      <c r="D24" s="39" t="s">
        <v>458</v>
      </c>
      <c r="E24" s="46">
        <f>+E12*E5</f>
        <v>8.6964686951230217</v>
      </c>
    </row>
    <row r="25" spans="2:5" x14ac:dyDescent="0.45">
      <c r="E25" s="46"/>
    </row>
    <row r="26" spans="2:5" ht="28.5" x14ac:dyDescent="0.45">
      <c r="D26" s="39" t="s">
        <v>408</v>
      </c>
      <c r="E26" s="46">
        <f>0.35*0.35</f>
        <v>0.12249999999999998</v>
      </c>
    </row>
    <row r="27" spans="2:5" x14ac:dyDescent="0.45">
      <c r="E27" s="46"/>
    </row>
    <row r="28" spans="2:5" x14ac:dyDescent="0.45">
      <c r="D28" s="37" t="s">
        <v>406</v>
      </c>
      <c r="E28" s="47">
        <f>+E24*E26</f>
        <v>1.0653174151525699</v>
      </c>
    </row>
    <row r="31" spans="2:5" ht="28.5" x14ac:dyDescent="0.45">
      <c r="B31" s="30" t="s">
        <v>409</v>
      </c>
      <c r="D31" s="39" t="s">
        <v>417</v>
      </c>
      <c r="E31" s="46">
        <f>0.35*0.068</f>
        <v>2.3800000000000002E-2</v>
      </c>
    </row>
    <row r="33" spans="4:6" ht="28.5" x14ac:dyDescent="0.45">
      <c r="D33" s="39" t="s">
        <v>460</v>
      </c>
    </row>
    <row r="35" spans="4:6" ht="42.75" x14ac:dyDescent="0.45">
      <c r="D35" s="39" t="s">
        <v>505</v>
      </c>
      <c r="E35">
        <f>+Constraints!F10</f>
        <v>33.880000000000003</v>
      </c>
    </row>
    <row r="37" spans="4:6" x14ac:dyDescent="0.45">
      <c r="D37" s="37" t="s">
        <v>416</v>
      </c>
      <c r="E37" s="47">
        <f>+E31*E35</f>
        <v>0.80634400000000017</v>
      </c>
    </row>
    <row r="39" spans="4:6" ht="42.75" x14ac:dyDescent="0.45">
      <c r="D39" s="39" t="s">
        <v>423</v>
      </c>
      <c r="E39" s="46">
        <f>+Constraints!F19*3</f>
        <v>22.133750000000003</v>
      </c>
    </row>
    <row r="41" spans="4:6" x14ac:dyDescent="0.45">
      <c r="D41" s="37" t="s">
        <v>471</v>
      </c>
      <c r="E41" s="47">
        <f>+E39*E31</f>
        <v>0.52678325000000015</v>
      </c>
    </row>
    <row r="43" spans="4:6" ht="57" x14ac:dyDescent="0.45">
      <c r="D43" s="44" t="s">
        <v>506</v>
      </c>
      <c r="E43" s="46">
        <f>(+'Wholesale gas price impact'!C2+'Wholesale gas price impact'!C3*2)/1000000</f>
        <v>152.86250000000001</v>
      </c>
      <c r="F43" t="s">
        <v>454</v>
      </c>
    </row>
    <row r="44" spans="4:6" x14ac:dyDescent="0.45">
      <c r="E44" s="46">
        <f>(+'Wholesale gas price impact'!C6+'Wholesale gas price impact'!C7*2)/1000000</f>
        <v>114.64687499999999</v>
      </c>
      <c r="F44" t="s">
        <v>455</v>
      </c>
    </row>
    <row r="45" spans="4:6" x14ac:dyDescent="0.45">
      <c r="D45" s="37" t="s">
        <v>499</v>
      </c>
      <c r="E45" s="48">
        <f>+E43*E31</f>
        <v>3.6381275000000004</v>
      </c>
    </row>
    <row r="46" spans="4:6" x14ac:dyDescent="0.45">
      <c r="D46" s="37" t="s">
        <v>507</v>
      </c>
      <c r="E46" s="48">
        <f>+E44*E31</f>
        <v>2.7285956250000001</v>
      </c>
    </row>
    <row r="48" spans="4:6" ht="42.75" x14ac:dyDescent="0.45">
      <c r="D48" s="44" t="s">
        <v>508</v>
      </c>
      <c r="E48" s="46">
        <f>+E12*E5</f>
        <v>8.6964686951230217</v>
      </c>
    </row>
    <row r="50" spans="2:6" x14ac:dyDescent="0.45">
      <c r="D50" s="37" t="s">
        <v>431</v>
      </c>
      <c r="E50" s="47">
        <f>+E48*E31</f>
        <v>0.20697595494392793</v>
      </c>
    </row>
    <row r="52" spans="2:6" ht="42.75" x14ac:dyDescent="0.45">
      <c r="B52" s="30" t="s">
        <v>432</v>
      </c>
      <c r="D52" s="39" t="s">
        <v>470</v>
      </c>
      <c r="E52" s="49">
        <f>0.35*0.001+E31*0.2</f>
        <v>5.11E-3</v>
      </c>
    </row>
    <row r="53" spans="2:6" x14ac:dyDescent="0.45">
      <c r="E53" s="46"/>
    </row>
    <row r="54" spans="2:6" ht="42.75" x14ac:dyDescent="0.45">
      <c r="D54" s="39" t="s">
        <v>509</v>
      </c>
      <c r="E54" s="46"/>
    </row>
    <row r="55" spans="2:6" x14ac:dyDescent="0.45">
      <c r="E55" s="46"/>
    </row>
    <row r="56" spans="2:6" ht="42.75" x14ac:dyDescent="0.45">
      <c r="D56" s="39" t="s">
        <v>418</v>
      </c>
      <c r="E56" s="46">
        <f>+Constraints!F10</f>
        <v>33.880000000000003</v>
      </c>
    </row>
    <row r="57" spans="2:6" x14ac:dyDescent="0.45">
      <c r="E57" s="46"/>
    </row>
    <row r="58" spans="2:6" x14ac:dyDescent="0.45">
      <c r="D58" s="37" t="s">
        <v>416</v>
      </c>
      <c r="E58" s="47">
        <f>+(E52-E31*0.2)*E56</f>
        <v>1.1857999999999988E-2</v>
      </c>
    </row>
    <row r="59" spans="2:6" x14ac:dyDescent="0.45">
      <c r="D59" s="32"/>
      <c r="E59" s="50"/>
    </row>
    <row r="60" spans="2:6" ht="42.75" x14ac:dyDescent="0.45">
      <c r="D60" s="39" t="s">
        <v>423</v>
      </c>
      <c r="E60" s="46">
        <f>+Constraints!F18*16/12</f>
        <v>118.04666666666668</v>
      </c>
    </row>
    <row r="61" spans="2:6" x14ac:dyDescent="0.45">
      <c r="E61" s="46"/>
    </row>
    <row r="62" spans="2:6" x14ac:dyDescent="0.45">
      <c r="D62" s="37" t="s">
        <v>475</v>
      </c>
      <c r="E62" s="47">
        <f>+E60*E52</f>
        <v>0.60321846666666679</v>
      </c>
    </row>
    <row r="63" spans="2:6" x14ac:dyDescent="0.45">
      <c r="E63" s="46"/>
    </row>
    <row r="64" spans="2:6" ht="57" x14ac:dyDescent="0.45">
      <c r="D64" s="44" t="s">
        <v>472</v>
      </c>
      <c r="E64" s="46">
        <f>(+'Wholesale gas price impact'!C2+'Wholesale gas price impact'!C3*15)/1000000</f>
        <v>379.97250000000003</v>
      </c>
      <c r="F64" t="s">
        <v>456</v>
      </c>
    </row>
    <row r="65" spans="2:6" x14ac:dyDescent="0.45">
      <c r="D65" s="44"/>
      <c r="E65" s="46">
        <f>(+'Wholesale gas price impact'!C6+'Wholesale gas price impact'!C7*15)/1000000</f>
        <v>284.979375</v>
      </c>
      <c r="F65" t="s">
        <v>457</v>
      </c>
    </row>
    <row r="66" spans="2:6" x14ac:dyDescent="0.45">
      <c r="D66" s="37" t="s">
        <v>476</v>
      </c>
      <c r="E66" s="47">
        <f>+E64*(E52-E31*0.2)+E31*0.2*'Wholesale gas price impact'!C3*16/1000000</f>
        <v>1.4635055750000001</v>
      </c>
    </row>
    <row r="67" spans="2:6" x14ac:dyDescent="0.45">
      <c r="D67" s="37" t="s">
        <v>510</v>
      </c>
      <c r="E67" s="47">
        <f>+E65*(E52-E31*0.2)+E31*0.2*'Wholesale gas price impact'!C7*16/1000000</f>
        <v>1.0976291812499999</v>
      </c>
    </row>
    <row r="68" spans="2:6" x14ac:dyDescent="0.45">
      <c r="E68" s="46"/>
    </row>
    <row r="69" spans="2:6" ht="42.75" x14ac:dyDescent="0.45">
      <c r="D69" s="44" t="s">
        <v>504</v>
      </c>
      <c r="E69" s="46">
        <f>+Intervention!C9+E48</f>
        <v>23.174818695123022</v>
      </c>
    </row>
    <row r="71" spans="2:6" x14ac:dyDescent="0.45">
      <c r="D71" s="37" t="s">
        <v>490</v>
      </c>
      <c r="E71" s="47">
        <f>+E69*E52</f>
        <v>0.11842332353207864</v>
      </c>
    </row>
    <row r="74" spans="2:6" x14ac:dyDescent="0.45">
      <c r="B74" s="30" t="s">
        <v>442</v>
      </c>
      <c r="D74" t="s">
        <v>449</v>
      </c>
      <c r="E74">
        <f>+'Loss of life'!C5</f>
        <v>8.855E-3</v>
      </c>
    </row>
    <row r="76" spans="2:6" x14ac:dyDescent="0.45">
      <c r="D76" s="39" t="s">
        <v>447</v>
      </c>
      <c r="E76">
        <v>16</v>
      </c>
    </row>
    <row r="78" spans="2:6" x14ac:dyDescent="0.45">
      <c r="D78" s="37" t="s">
        <v>448</v>
      </c>
      <c r="E78" s="37">
        <f>+E74*E76</f>
        <v>0.14168</v>
      </c>
    </row>
    <row r="80" spans="2:6" ht="28.5" x14ac:dyDescent="0.45">
      <c r="D80" s="44" t="s">
        <v>467</v>
      </c>
      <c r="E80">
        <f>1/3200</f>
        <v>3.1250000000000001E-4</v>
      </c>
    </row>
    <row r="82" spans="4:6" ht="28.5" x14ac:dyDescent="0.45">
      <c r="D82" s="39" t="s">
        <v>512</v>
      </c>
      <c r="E82" s="46"/>
    </row>
    <row r="83" spans="4:6" x14ac:dyDescent="0.45">
      <c r="E83" s="46"/>
    </row>
    <row r="84" spans="4:6" ht="42.75" x14ac:dyDescent="0.45">
      <c r="D84" s="39" t="s">
        <v>511</v>
      </c>
      <c r="E84" s="46">
        <f>+Constraints!F10</f>
        <v>33.880000000000003</v>
      </c>
    </row>
    <row r="85" spans="4:6" x14ac:dyDescent="0.45">
      <c r="E85" s="46"/>
    </row>
    <row r="86" spans="4:6" x14ac:dyDescent="0.45">
      <c r="D86" s="37" t="s">
        <v>416</v>
      </c>
      <c r="E86" s="47">
        <f>+E80*E84</f>
        <v>1.0587500000000001E-2</v>
      </c>
    </row>
    <row r="87" spans="4:6" x14ac:dyDescent="0.45">
      <c r="D87" s="32"/>
      <c r="E87" s="50"/>
    </row>
    <row r="88" spans="4:6" ht="42.75" x14ac:dyDescent="0.45">
      <c r="D88" s="39" t="s">
        <v>423</v>
      </c>
      <c r="E88" s="46">
        <f>+Constraints!F18*16/12</f>
        <v>118.04666666666668</v>
      </c>
    </row>
    <row r="89" spans="4:6" x14ac:dyDescent="0.45">
      <c r="E89" s="46"/>
    </row>
    <row r="90" spans="4:6" x14ac:dyDescent="0.45">
      <c r="D90" s="37" t="s">
        <v>475</v>
      </c>
      <c r="E90" s="47">
        <f>+E88*E80</f>
        <v>3.6889583333333337E-2</v>
      </c>
    </row>
    <row r="91" spans="4:6" x14ac:dyDescent="0.45">
      <c r="E91" s="46"/>
    </row>
    <row r="92" spans="4:6" ht="57" x14ac:dyDescent="0.45">
      <c r="D92" s="44" t="s">
        <v>441</v>
      </c>
      <c r="E92" s="46">
        <f>(+'Wholesale gas price impact'!C2+'Wholesale gas price impact'!C3*15)/1000000</f>
        <v>379.97250000000003</v>
      </c>
      <c r="F92" t="s">
        <v>456</v>
      </c>
    </row>
    <row r="93" spans="4:6" x14ac:dyDescent="0.45">
      <c r="D93" s="44"/>
      <c r="E93" s="46">
        <f>('Wholesale gas price impact'!C6+'Wholesale gas price impact'!C7*15)/1000000</f>
        <v>284.979375</v>
      </c>
      <c r="F93" t="s">
        <v>457</v>
      </c>
    </row>
    <row r="94" spans="4:6" x14ac:dyDescent="0.45">
      <c r="D94" s="37" t="s">
        <v>476</v>
      </c>
      <c r="E94" s="47">
        <f>+E92*E80</f>
        <v>0.11874140625000001</v>
      </c>
    </row>
    <row r="95" spans="4:6" x14ac:dyDescent="0.45">
      <c r="D95" s="37" t="s">
        <v>510</v>
      </c>
      <c r="E95" s="47">
        <f>+E93*E80</f>
        <v>8.9056054687499997E-2</v>
      </c>
    </row>
    <row r="96" spans="4:6" x14ac:dyDescent="0.45">
      <c r="E96" s="46"/>
    </row>
    <row r="97" spans="4:5" ht="28.5" x14ac:dyDescent="0.45">
      <c r="D97" s="44" t="s">
        <v>503</v>
      </c>
      <c r="E97" s="46">
        <f>+Intervention!C9</f>
        <v>14.478349999999999</v>
      </c>
    </row>
    <row r="99" spans="4:5" x14ac:dyDescent="0.45">
      <c r="D99" s="37" t="s">
        <v>490</v>
      </c>
      <c r="E99" s="54">
        <f>+E97*E80</f>
        <v>4.5244843749999994E-3</v>
      </c>
    </row>
    <row r="101" spans="4:5" x14ac:dyDescent="0.45">
      <c r="D101" s="39" t="s">
        <v>526</v>
      </c>
      <c r="E101">
        <v>8.5</v>
      </c>
    </row>
    <row r="103" spans="4:5" x14ac:dyDescent="0.45">
      <c r="D103" s="37" t="s">
        <v>527</v>
      </c>
      <c r="E103" s="54">
        <f>+E101*E80</f>
        <v>2.6562500000000002E-3</v>
      </c>
    </row>
    <row r="105" spans="4:5" x14ac:dyDescent="0.45">
      <c r="D105" s="39" t="s">
        <v>451</v>
      </c>
      <c r="E105">
        <v>241</v>
      </c>
    </row>
    <row r="107" spans="4:5" x14ac:dyDescent="0.45">
      <c r="D107" s="37" t="s">
        <v>450</v>
      </c>
      <c r="E107" s="54">
        <f>+E105*E80</f>
        <v>7.5312500000000004E-2</v>
      </c>
    </row>
  </sheetData>
  <pageMargins left="0.7" right="0.7" top="0.75" bottom="0.75" header="0.3" footer="0.3"/>
  <pageSetup paperSize="9" scale="6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7"/>
  <sheetViews>
    <sheetView topLeftCell="A347" workbookViewId="0">
      <selection activeCell="G355" sqref="G355:K366"/>
    </sheetView>
  </sheetViews>
  <sheetFormatPr defaultRowHeight="14.25" x14ac:dyDescent="0.45"/>
  <cols>
    <col min="8" max="8" width="11.1328125" bestFit="1" customWidth="1"/>
    <col min="10" max="10" width="12" bestFit="1" customWidth="1"/>
  </cols>
  <sheetData>
    <row r="1" spans="1:2" x14ac:dyDescent="0.45">
      <c r="B1" t="s">
        <v>374</v>
      </c>
    </row>
    <row r="2" spans="1:2" ht="15" x14ac:dyDescent="0.55000000000000004">
      <c r="A2" s="14" t="s">
        <v>16</v>
      </c>
      <c r="B2">
        <f>C212</f>
        <v>182.47499999999999</v>
      </c>
    </row>
    <row r="3" spans="1:2" ht="15" x14ac:dyDescent="0.55000000000000004">
      <c r="A3" s="14" t="s">
        <v>17</v>
      </c>
      <c r="B3">
        <f>C224</f>
        <v>188.15</v>
      </c>
    </row>
    <row r="4" spans="1:2" ht="15" x14ac:dyDescent="0.55000000000000004">
      <c r="A4" s="14" t="s">
        <v>18</v>
      </c>
      <c r="B4">
        <f>C236</f>
        <v>193.10833333333332</v>
      </c>
    </row>
    <row r="5" spans="1:2" ht="15" x14ac:dyDescent="0.55000000000000004">
      <c r="A5" s="14" t="s">
        <v>19</v>
      </c>
      <c r="B5">
        <f>C248</f>
        <v>200.31666666666669</v>
      </c>
    </row>
    <row r="6" spans="1:2" ht="15" x14ac:dyDescent="0.55000000000000004">
      <c r="A6" s="14" t="s">
        <v>20</v>
      </c>
      <c r="B6">
        <f>C260</f>
        <v>208.5916666666667</v>
      </c>
    </row>
    <row r="7" spans="1:2" ht="15" x14ac:dyDescent="0.55000000000000004">
      <c r="A7" s="14" t="s">
        <v>21</v>
      </c>
      <c r="B7">
        <f>C272</f>
        <v>214.78333333333339</v>
      </c>
    </row>
    <row r="8" spans="1:2" ht="15" x14ac:dyDescent="0.55000000000000004">
      <c r="A8" s="14" t="s">
        <v>11</v>
      </c>
      <c r="B8">
        <f>C284</f>
        <v>215.76666666666662</v>
      </c>
    </row>
    <row r="9" spans="1:2" ht="15" x14ac:dyDescent="0.55000000000000004">
      <c r="A9" s="14" t="s">
        <v>12</v>
      </c>
      <c r="B9">
        <f>C296</f>
        <v>226.47499999999999</v>
      </c>
    </row>
    <row r="10" spans="1:2" ht="15" x14ac:dyDescent="0.55000000000000004">
      <c r="A10" s="14" t="s">
        <v>7</v>
      </c>
      <c r="B10">
        <f>C308</f>
        <v>237.3416666666667</v>
      </c>
    </row>
    <row r="11" spans="1:2" ht="15" x14ac:dyDescent="0.55000000000000004">
      <c r="A11" s="14" t="s">
        <v>10</v>
      </c>
      <c r="B11">
        <f>C320</f>
        <v>244.67499999999998</v>
      </c>
    </row>
    <row r="12" spans="1:2" ht="15" x14ac:dyDescent="0.55000000000000004">
      <c r="A12" s="14" t="s">
        <v>13</v>
      </c>
      <c r="B12">
        <f>C332</f>
        <v>251.73333333333335</v>
      </c>
    </row>
    <row r="13" spans="1:2" ht="15" x14ac:dyDescent="0.55000000000000004">
      <c r="A13" s="14" t="s">
        <v>14</v>
      </c>
      <c r="B13">
        <f>C344</f>
        <v>256.66666666666669</v>
      </c>
    </row>
    <row r="14" spans="1:2" ht="15" x14ac:dyDescent="0.55000000000000004">
      <c r="A14" s="14" t="s">
        <v>15</v>
      </c>
      <c r="B14">
        <f>C356</f>
        <v>259.89877657288542</v>
      </c>
    </row>
    <row r="16" spans="1:2" x14ac:dyDescent="0.45">
      <c r="B16" t="s">
        <v>22</v>
      </c>
    </row>
    <row r="17" spans="1:2" x14ac:dyDescent="0.45">
      <c r="A17" t="s">
        <v>23</v>
      </c>
      <c r="B17">
        <v>100</v>
      </c>
    </row>
    <row r="18" spans="1:2" x14ac:dyDescent="0.45">
      <c r="A18" t="s">
        <v>24</v>
      </c>
      <c r="B18">
        <v>100.4</v>
      </c>
    </row>
    <row r="19" spans="1:2" x14ac:dyDescent="0.45">
      <c r="A19" t="s">
        <v>25</v>
      </c>
      <c r="B19">
        <v>100.6</v>
      </c>
    </row>
    <row r="20" spans="1:2" x14ac:dyDescent="0.45">
      <c r="A20" t="s">
        <v>26</v>
      </c>
      <c r="B20">
        <v>101.8</v>
      </c>
    </row>
    <row r="21" spans="1:2" x14ac:dyDescent="0.45">
      <c r="A21" t="s">
        <v>27</v>
      </c>
      <c r="B21">
        <v>101.9</v>
      </c>
    </row>
    <row r="22" spans="1:2" x14ac:dyDescent="0.45">
      <c r="A22" t="s">
        <v>28</v>
      </c>
      <c r="B22">
        <v>101.9</v>
      </c>
    </row>
    <row r="23" spans="1:2" x14ac:dyDescent="0.45">
      <c r="A23" t="s">
        <v>29</v>
      </c>
      <c r="B23">
        <v>101.8</v>
      </c>
    </row>
    <row r="24" spans="1:2" x14ac:dyDescent="0.45">
      <c r="A24" t="s">
        <v>30</v>
      </c>
      <c r="B24">
        <v>102.1</v>
      </c>
    </row>
    <row r="25" spans="1:2" x14ac:dyDescent="0.45">
      <c r="A25" t="s">
        <v>31</v>
      </c>
      <c r="B25">
        <v>102.4</v>
      </c>
    </row>
    <row r="26" spans="1:2" x14ac:dyDescent="0.45">
      <c r="A26" t="s">
        <v>32</v>
      </c>
      <c r="B26">
        <v>102.9</v>
      </c>
    </row>
    <row r="27" spans="1:2" x14ac:dyDescent="0.45">
      <c r="A27" t="s">
        <v>33</v>
      </c>
      <c r="B27">
        <v>103.4</v>
      </c>
    </row>
    <row r="28" spans="1:2" x14ac:dyDescent="0.45">
      <c r="A28" t="s">
        <v>34</v>
      </c>
      <c r="B28">
        <v>103.3</v>
      </c>
    </row>
    <row r="29" spans="1:2" x14ac:dyDescent="0.45">
      <c r="A29" t="s">
        <v>35</v>
      </c>
      <c r="B29">
        <v>103.3</v>
      </c>
    </row>
    <row r="30" spans="1:2" x14ac:dyDescent="0.45">
      <c r="A30" t="s">
        <v>36</v>
      </c>
      <c r="B30">
        <v>103.7</v>
      </c>
    </row>
    <row r="31" spans="1:2" x14ac:dyDescent="0.45">
      <c r="A31" t="s">
        <v>37</v>
      </c>
      <c r="B31">
        <v>104.1</v>
      </c>
    </row>
    <row r="32" spans="1:2" x14ac:dyDescent="0.45">
      <c r="A32" t="s">
        <v>38</v>
      </c>
      <c r="B32">
        <v>105.8</v>
      </c>
    </row>
    <row r="33" spans="1:2" x14ac:dyDescent="0.45">
      <c r="A33" t="s">
        <v>39</v>
      </c>
      <c r="B33">
        <v>106.2</v>
      </c>
    </row>
    <row r="34" spans="1:2" x14ac:dyDescent="0.45">
      <c r="A34" t="s">
        <v>40</v>
      </c>
      <c r="B34">
        <v>106.6</v>
      </c>
    </row>
    <row r="35" spans="1:2" x14ac:dyDescent="0.45">
      <c r="A35" t="s">
        <v>41</v>
      </c>
      <c r="B35">
        <v>106.7</v>
      </c>
    </row>
    <row r="36" spans="1:2" x14ac:dyDescent="0.45">
      <c r="A36" t="s">
        <v>42</v>
      </c>
      <c r="B36">
        <v>107.9</v>
      </c>
    </row>
    <row r="37" spans="1:2" x14ac:dyDescent="0.45">
      <c r="A37" t="s">
        <v>43</v>
      </c>
      <c r="B37">
        <v>108.4</v>
      </c>
    </row>
    <row r="38" spans="1:2" x14ac:dyDescent="0.45">
      <c r="A38" t="s">
        <v>44</v>
      </c>
      <c r="B38">
        <v>109.5</v>
      </c>
    </row>
    <row r="39" spans="1:2" x14ac:dyDescent="0.45">
      <c r="A39" t="s">
        <v>45</v>
      </c>
      <c r="B39">
        <v>110</v>
      </c>
    </row>
    <row r="40" spans="1:2" x14ac:dyDescent="0.45">
      <c r="A40" t="s">
        <v>46</v>
      </c>
      <c r="B40">
        <v>110.3</v>
      </c>
    </row>
    <row r="41" spans="1:2" x14ac:dyDescent="0.45">
      <c r="A41" t="s">
        <v>47</v>
      </c>
      <c r="B41">
        <v>111</v>
      </c>
    </row>
    <row r="42" spans="1:2" x14ac:dyDescent="0.45">
      <c r="A42" t="s">
        <v>48</v>
      </c>
      <c r="B42">
        <v>111.8</v>
      </c>
    </row>
    <row r="43" spans="1:2" x14ac:dyDescent="0.45">
      <c r="A43" t="s">
        <v>49</v>
      </c>
      <c r="B43">
        <v>112.3</v>
      </c>
    </row>
    <row r="44" spans="1:2" x14ac:dyDescent="0.45">
      <c r="A44" t="s">
        <v>50</v>
      </c>
      <c r="B44">
        <v>114.3</v>
      </c>
    </row>
    <row r="45" spans="1:2" x14ac:dyDescent="0.45">
      <c r="A45" t="s">
        <v>51</v>
      </c>
      <c r="B45">
        <v>115</v>
      </c>
    </row>
    <row r="46" spans="1:2" x14ac:dyDescent="0.45">
      <c r="A46" t="s">
        <v>52</v>
      </c>
      <c r="B46">
        <v>115.4</v>
      </c>
    </row>
    <row r="47" spans="1:2" x14ac:dyDescent="0.45">
      <c r="A47" t="s">
        <v>53</v>
      </c>
      <c r="B47">
        <v>115.5</v>
      </c>
    </row>
    <row r="48" spans="1:2" x14ac:dyDescent="0.45">
      <c r="A48" t="s">
        <v>54</v>
      </c>
      <c r="B48">
        <v>115.8</v>
      </c>
    </row>
    <row r="49" spans="1:2" x14ac:dyDescent="0.45">
      <c r="A49" t="s">
        <v>55</v>
      </c>
      <c r="B49">
        <v>116.6</v>
      </c>
    </row>
    <row r="50" spans="1:2" x14ac:dyDescent="0.45">
      <c r="A50" t="s">
        <v>56</v>
      </c>
      <c r="B50">
        <v>117.5</v>
      </c>
    </row>
    <row r="51" spans="1:2" x14ac:dyDescent="0.45">
      <c r="A51" t="s">
        <v>57</v>
      </c>
      <c r="B51">
        <v>118.5</v>
      </c>
    </row>
    <row r="52" spans="1:2" x14ac:dyDescent="0.45">
      <c r="A52" t="s">
        <v>58</v>
      </c>
      <c r="B52">
        <v>118.8</v>
      </c>
    </row>
    <row r="53" spans="1:2" x14ac:dyDescent="0.45">
      <c r="A53" t="s">
        <v>59</v>
      </c>
      <c r="B53">
        <v>119.5</v>
      </c>
    </row>
    <row r="54" spans="1:2" x14ac:dyDescent="0.45">
      <c r="A54" t="s">
        <v>60</v>
      </c>
      <c r="B54">
        <v>120.2</v>
      </c>
    </row>
    <row r="55" spans="1:2" x14ac:dyDescent="0.45">
      <c r="A55" t="s">
        <v>61</v>
      </c>
      <c r="B55">
        <v>121.4</v>
      </c>
    </row>
    <row r="56" spans="1:2" x14ac:dyDescent="0.45">
      <c r="A56" t="s">
        <v>62</v>
      </c>
      <c r="B56">
        <v>125.1</v>
      </c>
    </row>
    <row r="57" spans="1:2" x14ac:dyDescent="0.45">
      <c r="A57" t="s">
        <v>63</v>
      </c>
      <c r="B57">
        <v>126.2</v>
      </c>
    </row>
    <row r="58" spans="1:2" x14ac:dyDescent="0.45">
      <c r="A58" t="s">
        <v>64</v>
      </c>
      <c r="B58">
        <v>126.7</v>
      </c>
    </row>
    <row r="59" spans="1:2" x14ac:dyDescent="0.45">
      <c r="A59" t="s">
        <v>65</v>
      </c>
      <c r="B59">
        <v>126.8</v>
      </c>
    </row>
    <row r="60" spans="1:2" x14ac:dyDescent="0.45">
      <c r="A60" t="s">
        <v>66</v>
      </c>
      <c r="B60">
        <v>128.1</v>
      </c>
    </row>
    <row r="61" spans="1:2" x14ac:dyDescent="0.45">
      <c r="A61" t="s">
        <v>67</v>
      </c>
      <c r="B61">
        <v>129.30000000000001</v>
      </c>
    </row>
    <row r="62" spans="1:2" x14ac:dyDescent="0.45">
      <c r="A62" t="s">
        <v>68</v>
      </c>
      <c r="B62">
        <v>130.30000000000001</v>
      </c>
    </row>
    <row r="63" spans="1:2" x14ac:dyDescent="0.45">
      <c r="A63" t="s">
        <v>69</v>
      </c>
      <c r="B63">
        <v>130</v>
      </c>
    </row>
    <row r="64" spans="1:2" x14ac:dyDescent="0.45">
      <c r="A64" t="s">
        <v>70</v>
      </c>
      <c r="B64">
        <v>129.9</v>
      </c>
    </row>
    <row r="65" spans="1:2" x14ac:dyDescent="0.45">
      <c r="A65" t="s">
        <v>71</v>
      </c>
      <c r="B65">
        <v>130.19999999999999</v>
      </c>
    </row>
    <row r="66" spans="1:2" x14ac:dyDescent="0.45">
      <c r="A66" t="s">
        <v>72</v>
      </c>
      <c r="B66">
        <v>130.9</v>
      </c>
    </row>
    <row r="67" spans="1:2" x14ac:dyDescent="0.45">
      <c r="A67" t="s">
        <v>73</v>
      </c>
      <c r="B67">
        <v>131.4</v>
      </c>
    </row>
    <row r="68" spans="1:2" x14ac:dyDescent="0.45">
      <c r="A68" t="s">
        <v>74</v>
      </c>
      <c r="B68">
        <v>133.1</v>
      </c>
    </row>
    <row r="69" spans="1:2" x14ac:dyDescent="0.45">
      <c r="A69" t="s">
        <v>75</v>
      </c>
      <c r="B69">
        <v>133.5</v>
      </c>
    </row>
    <row r="70" spans="1:2" x14ac:dyDescent="0.45">
      <c r="A70" t="s">
        <v>76</v>
      </c>
      <c r="B70">
        <v>134.1</v>
      </c>
    </row>
    <row r="71" spans="1:2" x14ac:dyDescent="0.45">
      <c r="A71" t="s">
        <v>77</v>
      </c>
      <c r="B71">
        <v>133.80000000000001</v>
      </c>
    </row>
    <row r="72" spans="1:2" x14ac:dyDescent="0.45">
      <c r="A72" t="s">
        <v>78</v>
      </c>
      <c r="B72">
        <v>134.1</v>
      </c>
    </row>
    <row r="73" spans="1:2" x14ac:dyDescent="0.45">
      <c r="A73" t="s">
        <v>79</v>
      </c>
      <c r="B73">
        <v>134.6</v>
      </c>
    </row>
    <row r="74" spans="1:2" x14ac:dyDescent="0.45">
      <c r="A74" t="s">
        <v>80</v>
      </c>
      <c r="B74">
        <v>135.1</v>
      </c>
    </row>
    <row r="75" spans="1:2" x14ac:dyDescent="0.45">
      <c r="A75" t="s">
        <v>81</v>
      </c>
      <c r="B75">
        <v>135.6</v>
      </c>
    </row>
    <row r="76" spans="1:2" x14ac:dyDescent="0.45">
      <c r="A76" t="s">
        <v>82</v>
      </c>
      <c r="B76">
        <v>135.69999999999999</v>
      </c>
    </row>
    <row r="77" spans="1:2" x14ac:dyDescent="0.45">
      <c r="A77" t="s">
        <v>83</v>
      </c>
      <c r="B77">
        <v>135.6</v>
      </c>
    </row>
    <row r="78" spans="1:2" x14ac:dyDescent="0.45">
      <c r="A78" t="s">
        <v>84</v>
      </c>
      <c r="B78">
        <v>136.30000000000001</v>
      </c>
    </row>
    <row r="79" spans="1:2" x14ac:dyDescent="0.45">
      <c r="A79" t="s">
        <v>85</v>
      </c>
      <c r="B79">
        <v>136.69999999999999</v>
      </c>
    </row>
    <row r="80" spans="1:2" x14ac:dyDescent="0.45">
      <c r="A80" t="s">
        <v>86</v>
      </c>
      <c r="B80">
        <v>138.80000000000001</v>
      </c>
    </row>
    <row r="81" spans="1:2" x14ac:dyDescent="0.45">
      <c r="A81" t="s">
        <v>87</v>
      </c>
      <c r="B81">
        <v>139.30000000000001</v>
      </c>
    </row>
    <row r="82" spans="1:2" x14ac:dyDescent="0.45">
      <c r="A82" t="s">
        <v>88</v>
      </c>
      <c r="B82">
        <v>139.30000000000001</v>
      </c>
    </row>
    <row r="83" spans="1:2" x14ac:dyDescent="0.45">
      <c r="A83" t="s">
        <v>89</v>
      </c>
      <c r="B83">
        <v>138.80000000000001</v>
      </c>
    </row>
    <row r="84" spans="1:2" x14ac:dyDescent="0.45">
      <c r="A84" t="s">
        <v>90</v>
      </c>
      <c r="B84">
        <v>138.9</v>
      </c>
    </row>
    <row r="85" spans="1:2" x14ac:dyDescent="0.45">
      <c r="A85" t="s">
        <v>91</v>
      </c>
      <c r="B85">
        <v>139.4</v>
      </c>
    </row>
    <row r="86" spans="1:2" x14ac:dyDescent="0.45">
      <c r="A86" t="s">
        <v>92</v>
      </c>
      <c r="B86">
        <v>139.9</v>
      </c>
    </row>
    <row r="87" spans="1:2" x14ac:dyDescent="0.45">
      <c r="A87" t="s">
        <v>93</v>
      </c>
      <c r="B87">
        <v>139.69999999999999</v>
      </c>
    </row>
    <row r="88" spans="1:2" x14ac:dyDescent="0.45">
      <c r="A88" t="s">
        <v>94</v>
      </c>
      <c r="B88">
        <v>139.19999999999999</v>
      </c>
    </row>
    <row r="89" spans="1:2" x14ac:dyDescent="0.45">
      <c r="A89" t="s">
        <v>95</v>
      </c>
      <c r="B89">
        <v>137.9</v>
      </c>
    </row>
    <row r="90" spans="1:2" x14ac:dyDescent="0.45">
      <c r="A90" t="s">
        <v>96</v>
      </c>
      <c r="B90">
        <v>138.80000000000001</v>
      </c>
    </row>
    <row r="91" spans="1:2" x14ac:dyDescent="0.45">
      <c r="A91" t="s">
        <v>97</v>
      </c>
      <c r="B91">
        <v>139.30000000000001</v>
      </c>
    </row>
    <row r="92" spans="1:2" x14ac:dyDescent="0.45">
      <c r="A92" t="s">
        <v>98</v>
      </c>
      <c r="B92">
        <v>140.6</v>
      </c>
    </row>
    <row r="93" spans="1:2" x14ac:dyDescent="0.45">
      <c r="A93" t="s">
        <v>99</v>
      </c>
      <c r="B93">
        <v>141.1</v>
      </c>
    </row>
    <row r="94" spans="1:2" x14ac:dyDescent="0.45">
      <c r="A94" t="s">
        <v>100</v>
      </c>
      <c r="B94">
        <v>141</v>
      </c>
    </row>
    <row r="95" spans="1:2" x14ac:dyDescent="0.45">
      <c r="A95" t="s">
        <v>101</v>
      </c>
      <c r="B95">
        <v>140.69999999999999</v>
      </c>
    </row>
    <row r="96" spans="1:2" x14ac:dyDescent="0.45">
      <c r="A96" t="s">
        <v>102</v>
      </c>
      <c r="B96">
        <v>141.30000000000001</v>
      </c>
    </row>
    <row r="97" spans="1:2" x14ac:dyDescent="0.45">
      <c r="A97" t="s">
        <v>103</v>
      </c>
      <c r="B97">
        <v>141.9</v>
      </c>
    </row>
    <row r="98" spans="1:2" x14ac:dyDescent="0.45">
      <c r="A98" t="s">
        <v>104</v>
      </c>
      <c r="B98">
        <v>141.80000000000001</v>
      </c>
    </row>
    <row r="99" spans="1:2" x14ac:dyDescent="0.45">
      <c r="A99" t="s">
        <v>105</v>
      </c>
      <c r="B99">
        <v>141.6</v>
      </c>
    </row>
    <row r="100" spans="1:2" x14ac:dyDescent="0.45">
      <c r="A100" t="s">
        <v>106</v>
      </c>
      <c r="B100">
        <v>141.9</v>
      </c>
    </row>
    <row r="101" spans="1:2" x14ac:dyDescent="0.45">
      <c r="A101" t="s">
        <v>107</v>
      </c>
      <c r="B101">
        <v>141.30000000000001</v>
      </c>
    </row>
    <row r="102" spans="1:2" x14ac:dyDescent="0.45">
      <c r="A102" t="s">
        <v>108</v>
      </c>
      <c r="B102">
        <v>142.1</v>
      </c>
    </row>
    <row r="103" spans="1:2" x14ac:dyDescent="0.45">
      <c r="A103" t="s">
        <v>109</v>
      </c>
      <c r="B103">
        <v>142.5</v>
      </c>
    </row>
    <row r="104" spans="1:2" x14ac:dyDescent="0.45">
      <c r="A104" t="s">
        <v>110</v>
      </c>
      <c r="B104">
        <v>144.19999999999999</v>
      </c>
    </row>
    <row r="105" spans="1:2" x14ac:dyDescent="0.45">
      <c r="A105" t="s">
        <v>111</v>
      </c>
      <c r="B105">
        <v>144.69999999999999</v>
      </c>
    </row>
    <row r="106" spans="1:2" x14ac:dyDescent="0.45">
      <c r="A106" t="s">
        <v>112</v>
      </c>
      <c r="B106">
        <v>144.69999999999999</v>
      </c>
    </row>
    <row r="107" spans="1:2" x14ac:dyDescent="0.45">
      <c r="A107" t="s">
        <v>113</v>
      </c>
      <c r="B107">
        <v>144</v>
      </c>
    </row>
    <row r="108" spans="1:2" x14ac:dyDescent="0.45">
      <c r="A108" t="s">
        <v>114</v>
      </c>
      <c r="B108">
        <v>144.69999999999999</v>
      </c>
    </row>
    <row r="109" spans="1:2" x14ac:dyDescent="0.45">
      <c r="A109" t="s">
        <v>115</v>
      </c>
      <c r="B109">
        <v>145</v>
      </c>
    </row>
    <row r="110" spans="1:2" x14ac:dyDescent="0.45">
      <c r="A110" t="s">
        <v>116</v>
      </c>
      <c r="B110">
        <v>145.19999999999999</v>
      </c>
    </row>
    <row r="111" spans="1:2" x14ac:dyDescent="0.45">
      <c r="A111" t="s">
        <v>117</v>
      </c>
      <c r="B111">
        <v>145.30000000000001</v>
      </c>
    </row>
    <row r="112" spans="1:2" x14ac:dyDescent="0.45">
      <c r="A112" t="s">
        <v>118</v>
      </c>
      <c r="B112">
        <v>146</v>
      </c>
    </row>
    <row r="113" spans="1:2" x14ac:dyDescent="0.45">
      <c r="A113" t="s">
        <v>119</v>
      </c>
      <c r="B113">
        <v>146</v>
      </c>
    </row>
    <row r="114" spans="1:2" x14ac:dyDescent="0.45">
      <c r="A114" t="s">
        <v>120</v>
      </c>
      <c r="B114">
        <v>146.9</v>
      </c>
    </row>
    <row r="115" spans="1:2" x14ac:dyDescent="0.45">
      <c r="A115" t="s">
        <v>121</v>
      </c>
      <c r="B115">
        <v>147.5</v>
      </c>
    </row>
    <row r="116" spans="1:2" x14ac:dyDescent="0.45">
      <c r="A116" t="s">
        <v>122</v>
      </c>
      <c r="B116">
        <v>149</v>
      </c>
    </row>
    <row r="117" spans="1:2" x14ac:dyDescent="0.45">
      <c r="A117" t="s">
        <v>123</v>
      </c>
      <c r="B117">
        <v>149.6</v>
      </c>
    </row>
    <row r="118" spans="1:2" x14ac:dyDescent="0.45">
      <c r="A118" t="s">
        <v>124</v>
      </c>
      <c r="B118">
        <v>149.80000000000001</v>
      </c>
    </row>
    <row r="119" spans="1:2" x14ac:dyDescent="0.45">
      <c r="A119" t="s">
        <v>125</v>
      </c>
      <c r="B119">
        <v>149.1</v>
      </c>
    </row>
    <row r="120" spans="1:2" x14ac:dyDescent="0.45">
      <c r="A120" t="s">
        <v>126</v>
      </c>
      <c r="B120">
        <v>149.9</v>
      </c>
    </row>
    <row r="121" spans="1:2" x14ac:dyDescent="0.45">
      <c r="A121" t="s">
        <v>127</v>
      </c>
      <c r="B121">
        <v>150.6</v>
      </c>
    </row>
    <row r="122" spans="1:2" x14ac:dyDescent="0.45">
      <c r="A122" t="s">
        <v>128</v>
      </c>
      <c r="B122">
        <v>149.80000000000001</v>
      </c>
    </row>
    <row r="123" spans="1:2" x14ac:dyDescent="0.45">
      <c r="A123" t="s">
        <v>129</v>
      </c>
      <c r="B123">
        <v>149.80000000000001</v>
      </c>
    </row>
    <row r="124" spans="1:2" x14ac:dyDescent="0.45">
      <c r="A124" t="s">
        <v>130</v>
      </c>
      <c r="B124">
        <v>150.69999999999999</v>
      </c>
    </row>
    <row r="125" spans="1:2" x14ac:dyDescent="0.45">
      <c r="A125" t="s">
        <v>131</v>
      </c>
      <c r="B125">
        <v>150.19999999999999</v>
      </c>
    </row>
    <row r="126" spans="1:2" x14ac:dyDescent="0.45">
      <c r="A126" t="s">
        <v>132</v>
      </c>
      <c r="B126">
        <v>150.9</v>
      </c>
    </row>
    <row r="127" spans="1:2" x14ac:dyDescent="0.45">
      <c r="A127" t="s">
        <v>133</v>
      </c>
      <c r="B127">
        <v>151.5</v>
      </c>
    </row>
    <row r="128" spans="1:2" x14ac:dyDescent="0.45">
      <c r="A128" t="s">
        <v>134</v>
      </c>
      <c r="B128">
        <v>152.6</v>
      </c>
    </row>
    <row r="129" spans="1:2" x14ac:dyDescent="0.45">
      <c r="A129" t="s">
        <v>135</v>
      </c>
      <c r="B129">
        <v>152.9</v>
      </c>
    </row>
    <row r="130" spans="1:2" x14ac:dyDescent="0.45">
      <c r="A130" t="s">
        <v>136</v>
      </c>
      <c r="B130">
        <v>153</v>
      </c>
    </row>
    <row r="131" spans="1:2" x14ac:dyDescent="0.45">
      <c r="A131" t="s">
        <v>137</v>
      </c>
      <c r="B131">
        <v>152.4</v>
      </c>
    </row>
    <row r="132" spans="1:2" x14ac:dyDescent="0.45">
      <c r="A132" t="s">
        <v>138</v>
      </c>
      <c r="B132">
        <v>153.1</v>
      </c>
    </row>
    <row r="133" spans="1:2" x14ac:dyDescent="0.45">
      <c r="A133" t="s">
        <v>139</v>
      </c>
      <c r="B133">
        <v>153.80000000000001</v>
      </c>
    </row>
    <row r="134" spans="1:2" x14ac:dyDescent="0.45">
      <c r="A134" t="s">
        <v>140</v>
      </c>
      <c r="B134">
        <v>153.80000000000001</v>
      </c>
    </row>
    <row r="135" spans="1:2" x14ac:dyDescent="0.45">
      <c r="A135" t="s">
        <v>141</v>
      </c>
      <c r="B135">
        <v>153.9</v>
      </c>
    </row>
    <row r="136" spans="1:2" x14ac:dyDescent="0.45">
      <c r="A136" t="s">
        <v>142</v>
      </c>
      <c r="B136">
        <v>154.4</v>
      </c>
    </row>
    <row r="137" spans="1:2" x14ac:dyDescent="0.45">
      <c r="A137" t="s">
        <v>143</v>
      </c>
      <c r="B137">
        <v>154.4</v>
      </c>
    </row>
    <row r="138" spans="1:2" x14ac:dyDescent="0.45">
      <c r="A138" t="s">
        <v>144</v>
      </c>
      <c r="B138">
        <v>155</v>
      </c>
    </row>
    <row r="139" spans="1:2" x14ac:dyDescent="0.45">
      <c r="A139" t="s">
        <v>145</v>
      </c>
      <c r="B139">
        <v>155.4</v>
      </c>
    </row>
    <row r="140" spans="1:2" x14ac:dyDescent="0.45">
      <c r="A140" t="s">
        <v>146</v>
      </c>
      <c r="B140">
        <v>156.30000000000001</v>
      </c>
    </row>
    <row r="141" spans="1:2" x14ac:dyDescent="0.45">
      <c r="A141" t="s">
        <v>147</v>
      </c>
      <c r="B141">
        <v>156.9</v>
      </c>
    </row>
    <row r="142" spans="1:2" x14ac:dyDescent="0.45">
      <c r="A142" t="s">
        <v>148</v>
      </c>
      <c r="B142">
        <v>157.5</v>
      </c>
    </row>
    <row r="143" spans="1:2" x14ac:dyDescent="0.45">
      <c r="A143" t="s">
        <v>149</v>
      </c>
      <c r="B143">
        <v>157.5</v>
      </c>
    </row>
    <row r="144" spans="1:2" x14ac:dyDescent="0.45">
      <c r="A144" t="s">
        <v>150</v>
      </c>
      <c r="B144">
        <v>158.5</v>
      </c>
    </row>
    <row r="145" spans="1:2" x14ac:dyDescent="0.45">
      <c r="A145" t="s">
        <v>151</v>
      </c>
      <c r="B145">
        <v>159.30000000000001</v>
      </c>
    </row>
    <row r="146" spans="1:2" x14ac:dyDescent="0.45">
      <c r="A146" t="s">
        <v>152</v>
      </c>
      <c r="B146">
        <v>159.5</v>
      </c>
    </row>
    <row r="147" spans="1:2" x14ac:dyDescent="0.45">
      <c r="A147" t="s">
        <v>153</v>
      </c>
      <c r="B147">
        <v>159.6</v>
      </c>
    </row>
    <row r="148" spans="1:2" x14ac:dyDescent="0.45">
      <c r="A148" t="s">
        <v>154</v>
      </c>
      <c r="B148">
        <v>160</v>
      </c>
    </row>
    <row r="149" spans="1:2" x14ac:dyDescent="0.45">
      <c r="A149" t="s">
        <v>155</v>
      </c>
      <c r="B149">
        <v>159.5</v>
      </c>
    </row>
    <row r="150" spans="1:2" x14ac:dyDescent="0.45">
      <c r="A150" t="s">
        <v>156</v>
      </c>
      <c r="B150">
        <v>160.30000000000001</v>
      </c>
    </row>
    <row r="151" spans="1:2" x14ac:dyDescent="0.45">
      <c r="A151" t="s">
        <v>157</v>
      </c>
      <c r="B151">
        <v>160.80000000000001</v>
      </c>
    </row>
    <row r="152" spans="1:2" x14ac:dyDescent="0.45">
      <c r="A152" t="s">
        <v>158</v>
      </c>
      <c r="B152">
        <v>162.6</v>
      </c>
    </row>
    <row r="153" spans="1:2" x14ac:dyDescent="0.45">
      <c r="A153" t="s">
        <v>159</v>
      </c>
      <c r="B153">
        <v>163.5</v>
      </c>
    </row>
    <row r="154" spans="1:2" x14ac:dyDescent="0.45">
      <c r="A154" t="s">
        <v>160</v>
      </c>
      <c r="B154">
        <v>163.4</v>
      </c>
    </row>
    <row r="155" spans="1:2" x14ac:dyDescent="0.45">
      <c r="A155" t="s">
        <v>161</v>
      </c>
      <c r="B155">
        <v>163</v>
      </c>
    </row>
    <row r="156" spans="1:2" x14ac:dyDescent="0.45">
      <c r="A156" t="s">
        <v>162</v>
      </c>
      <c r="B156">
        <v>163.69999999999999</v>
      </c>
    </row>
    <row r="157" spans="1:2" x14ac:dyDescent="0.45">
      <c r="A157" t="s">
        <v>163</v>
      </c>
      <c r="B157">
        <v>164.4</v>
      </c>
    </row>
    <row r="158" spans="1:2" x14ac:dyDescent="0.45">
      <c r="A158" t="s">
        <v>164</v>
      </c>
      <c r="B158">
        <v>164.5</v>
      </c>
    </row>
    <row r="159" spans="1:2" x14ac:dyDescent="0.45">
      <c r="A159" t="s">
        <v>165</v>
      </c>
      <c r="B159">
        <v>164.4</v>
      </c>
    </row>
    <row r="160" spans="1:2" x14ac:dyDescent="0.45">
      <c r="A160" t="s">
        <v>166</v>
      </c>
      <c r="B160">
        <v>164.4</v>
      </c>
    </row>
    <row r="161" spans="1:2" x14ac:dyDescent="0.45">
      <c r="A161" t="s">
        <v>167</v>
      </c>
      <c r="B161">
        <v>163.4</v>
      </c>
    </row>
    <row r="162" spans="1:2" x14ac:dyDescent="0.45">
      <c r="A162" t="s">
        <v>168</v>
      </c>
      <c r="B162">
        <v>163.69999999999999</v>
      </c>
    </row>
    <row r="163" spans="1:2" x14ac:dyDescent="0.45">
      <c r="A163" t="s">
        <v>169</v>
      </c>
      <c r="B163">
        <v>164.1</v>
      </c>
    </row>
    <row r="164" spans="1:2" x14ac:dyDescent="0.45">
      <c r="A164" t="s">
        <v>170</v>
      </c>
      <c r="B164">
        <v>165.2</v>
      </c>
    </row>
    <row r="165" spans="1:2" x14ac:dyDescent="0.45">
      <c r="A165" t="s">
        <v>171</v>
      </c>
      <c r="B165">
        <v>165.6</v>
      </c>
    </row>
    <row r="166" spans="1:2" x14ac:dyDescent="0.45">
      <c r="A166" t="s">
        <v>172</v>
      </c>
      <c r="B166">
        <v>165.6</v>
      </c>
    </row>
    <row r="167" spans="1:2" x14ac:dyDescent="0.45">
      <c r="A167" t="s">
        <v>173</v>
      </c>
      <c r="B167">
        <v>165.1</v>
      </c>
    </row>
    <row r="168" spans="1:2" x14ac:dyDescent="0.45">
      <c r="A168" t="s">
        <v>174</v>
      </c>
      <c r="B168">
        <v>165.5</v>
      </c>
    </row>
    <row r="169" spans="1:2" x14ac:dyDescent="0.45">
      <c r="A169" t="s">
        <v>175</v>
      </c>
      <c r="B169">
        <v>166.2</v>
      </c>
    </row>
    <row r="170" spans="1:2" x14ac:dyDescent="0.45">
      <c r="A170" t="s">
        <v>176</v>
      </c>
      <c r="B170">
        <v>166.5</v>
      </c>
    </row>
    <row r="171" spans="1:2" x14ac:dyDescent="0.45">
      <c r="A171" t="s">
        <v>177</v>
      </c>
      <c r="B171">
        <v>166.7</v>
      </c>
    </row>
    <row r="172" spans="1:2" x14ac:dyDescent="0.45">
      <c r="A172" t="s">
        <v>178</v>
      </c>
      <c r="B172">
        <v>167.3</v>
      </c>
    </row>
    <row r="173" spans="1:2" x14ac:dyDescent="0.45">
      <c r="A173" t="s">
        <v>179</v>
      </c>
      <c r="B173">
        <v>166.6</v>
      </c>
    </row>
    <row r="174" spans="1:2" x14ac:dyDescent="0.45">
      <c r="A174" t="s">
        <v>180</v>
      </c>
      <c r="B174">
        <v>167.5</v>
      </c>
    </row>
    <row r="175" spans="1:2" x14ac:dyDescent="0.45">
      <c r="A175" t="s">
        <v>181</v>
      </c>
      <c r="B175">
        <v>168.4</v>
      </c>
    </row>
    <row r="176" spans="1:2" x14ac:dyDescent="0.45">
      <c r="A176" t="s">
        <v>182</v>
      </c>
      <c r="B176">
        <v>170.1</v>
      </c>
    </row>
    <row r="177" spans="1:2" x14ac:dyDescent="0.45">
      <c r="A177" t="s">
        <v>183</v>
      </c>
      <c r="B177">
        <v>170.7</v>
      </c>
    </row>
    <row r="178" spans="1:2" x14ac:dyDescent="0.45">
      <c r="A178" t="s">
        <v>184</v>
      </c>
      <c r="B178">
        <v>171.1</v>
      </c>
    </row>
    <row r="179" spans="1:2" x14ac:dyDescent="0.45">
      <c r="A179" t="s">
        <v>185</v>
      </c>
      <c r="B179">
        <v>170.5</v>
      </c>
    </row>
    <row r="180" spans="1:2" x14ac:dyDescent="0.45">
      <c r="A180" t="s">
        <v>186</v>
      </c>
      <c r="B180">
        <v>170.5</v>
      </c>
    </row>
    <row r="181" spans="1:2" x14ac:dyDescent="0.45">
      <c r="A181" t="s">
        <v>187</v>
      </c>
      <c r="B181">
        <v>171.7</v>
      </c>
    </row>
    <row r="182" spans="1:2" x14ac:dyDescent="0.45">
      <c r="A182" t="s">
        <v>188</v>
      </c>
      <c r="B182">
        <v>171.6</v>
      </c>
    </row>
    <row r="183" spans="1:2" x14ac:dyDescent="0.45">
      <c r="A183" t="s">
        <v>189</v>
      </c>
      <c r="B183">
        <v>172.1</v>
      </c>
    </row>
    <row r="184" spans="1:2" x14ac:dyDescent="0.45">
      <c r="A184" t="s">
        <v>190</v>
      </c>
      <c r="B184">
        <v>172.2</v>
      </c>
    </row>
    <row r="185" spans="1:2" x14ac:dyDescent="0.45">
      <c r="A185" t="s">
        <v>191</v>
      </c>
      <c r="B185">
        <v>171.1</v>
      </c>
    </row>
    <row r="186" spans="1:2" x14ac:dyDescent="0.45">
      <c r="A186" t="s">
        <v>192</v>
      </c>
      <c r="B186">
        <v>172</v>
      </c>
    </row>
    <row r="187" spans="1:2" x14ac:dyDescent="0.45">
      <c r="A187" t="s">
        <v>193</v>
      </c>
      <c r="B187">
        <v>172.2</v>
      </c>
    </row>
    <row r="188" spans="1:2" x14ac:dyDescent="0.45">
      <c r="A188" t="s">
        <v>194</v>
      </c>
      <c r="B188">
        <v>173.1</v>
      </c>
    </row>
    <row r="189" spans="1:2" x14ac:dyDescent="0.45">
      <c r="A189" t="s">
        <v>195</v>
      </c>
      <c r="B189">
        <v>174.2</v>
      </c>
    </row>
    <row r="190" spans="1:2" x14ac:dyDescent="0.45">
      <c r="A190" t="s">
        <v>196</v>
      </c>
      <c r="B190">
        <v>174.4</v>
      </c>
    </row>
    <row r="191" spans="1:2" x14ac:dyDescent="0.45">
      <c r="A191" t="s">
        <v>197</v>
      </c>
      <c r="B191">
        <v>173.3</v>
      </c>
    </row>
    <row r="192" spans="1:2" x14ac:dyDescent="0.45">
      <c r="A192" t="s">
        <v>198</v>
      </c>
      <c r="B192">
        <v>174</v>
      </c>
    </row>
    <row r="193" spans="1:2" x14ac:dyDescent="0.45">
      <c r="A193" t="s">
        <v>199</v>
      </c>
      <c r="B193">
        <v>174.6</v>
      </c>
    </row>
    <row r="194" spans="1:2" x14ac:dyDescent="0.45">
      <c r="A194" t="s">
        <v>200</v>
      </c>
      <c r="B194">
        <v>174.3</v>
      </c>
    </row>
    <row r="195" spans="1:2" x14ac:dyDescent="0.45">
      <c r="A195" t="s">
        <v>201</v>
      </c>
      <c r="B195">
        <v>173.6</v>
      </c>
    </row>
    <row r="196" spans="1:2" x14ac:dyDescent="0.45">
      <c r="A196" t="s">
        <v>202</v>
      </c>
      <c r="B196">
        <v>173.4</v>
      </c>
    </row>
    <row r="197" spans="1:2" x14ac:dyDescent="0.45">
      <c r="A197" t="s">
        <v>203</v>
      </c>
      <c r="B197">
        <v>173.3</v>
      </c>
    </row>
    <row r="198" spans="1:2" x14ac:dyDescent="0.45">
      <c r="A198" t="s">
        <v>204</v>
      </c>
      <c r="B198">
        <v>173.8</v>
      </c>
    </row>
    <row r="199" spans="1:2" x14ac:dyDescent="0.45">
      <c r="A199" t="s">
        <v>205</v>
      </c>
      <c r="B199">
        <v>174.5</v>
      </c>
    </row>
    <row r="200" spans="1:2" x14ac:dyDescent="0.45">
      <c r="A200" t="s">
        <v>206</v>
      </c>
      <c r="B200">
        <v>175.7</v>
      </c>
    </row>
    <row r="201" spans="1:2" x14ac:dyDescent="0.45">
      <c r="A201" t="s">
        <v>207</v>
      </c>
      <c r="B201">
        <v>176.2</v>
      </c>
    </row>
    <row r="202" spans="1:2" x14ac:dyDescent="0.45">
      <c r="A202" t="s">
        <v>208</v>
      </c>
      <c r="B202">
        <v>176.2</v>
      </c>
    </row>
    <row r="203" spans="1:2" x14ac:dyDescent="0.45">
      <c r="A203" t="s">
        <v>209</v>
      </c>
      <c r="B203">
        <v>175.9</v>
      </c>
    </row>
    <row r="204" spans="1:2" x14ac:dyDescent="0.45">
      <c r="A204" t="s">
        <v>210</v>
      </c>
      <c r="B204">
        <v>176.4</v>
      </c>
    </row>
    <row r="205" spans="1:2" x14ac:dyDescent="0.45">
      <c r="A205" t="s">
        <v>211</v>
      </c>
      <c r="B205">
        <v>177.6</v>
      </c>
    </row>
    <row r="206" spans="1:2" x14ac:dyDescent="0.45">
      <c r="A206" t="s">
        <v>212</v>
      </c>
      <c r="B206">
        <v>177.9</v>
      </c>
    </row>
    <row r="207" spans="1:2" x14ac:dyDescent="0.45">
      <c r="A207" t="s">
        <v>213</v>
      </c>
      <c r="B207">
        <v>178.2</v>
      </c>
    </row>
    <row r="208" spans="1:2" x14ac:dyDescent="0.45">
      <c r="A208" t="s">
        <v>214</v>
      </c>
      <c r="B208">
        <v>178.5</v>
      </c>
    </row>
    <row r="209" spans="1:3" x14ac:dyDescent="0.45">
      <c r="A209" t="s">
        <v>215</v>
      </c>
      <c r="B209">
        <v>178.4</v>
      </c>
    </row>
    <row r="210" spans="1:3" x14ac:dyDescent="0.45">
      <c r="A210" t="s">
        <v>216</v>
      </c>
      <c r="B210">
        <v>179.3</v>
      </c>
    </row>
    <row r="211" spans="1:3" x14ac:dyDescent="0.45">
      <c r="A211" t="s">
        <v>217</v>
      </c>
      <c r="B211">
        <v>179.9</v>
      </c>
    </row>
    <row r="212" spans="1:3" x14ac:dyDescent="0.45">
      <c r="A212" t="s">
        <v>218</v>
      </c>
      <c r="B212">
        <v>181.2</v>
      </c>
      <c r="C212">
        <f>AVERAGE(B212:B223)</f>
        <v>182.47499999999999</v>
      </c>
    </row>
    <row r="213" spans="1:3" x14ac:dyDescent="0.45">
      <c r="A213" t="s">
        <v>219</v>
      </c>
      <c r="B213">
        <v>181.5</v>
      </c>
    </row>
    <row r="214" spans="1:3" x14ac:dyDescent="0.45">
      <c r="A214" t="s">
        <v>220</v>
      </c>
      <c r="B214">
        <v>181.3</v>
      </c>
    </row>
    <row r="215" spans="1:3" x14ac:dyDescent="0.45">
      <c r="A215" t="s">
        <v>221</v>
      </c>
      <c r="B215">
        <v>181.3</v>
      </c>
    </row>
    <row r="216" spans="1:3" x14ac:dyDescent="0.45">
      <c r="A216" t="s">
        <v>222</v>
      </c>
      <c r="B216">
        <v>181.6</v>
      </c>
    </row>
    <row r="217" spans="1:3" x14ac:dyDescent="0.45">
      <c r="A217" t="s">
        <v>223</v>
      </c>
      <c r="B217">
        <v>182.5</v>
      </c>
    </row>
    <row r="218" spans="1:3" x14ac:dyDescent="0.45">
      <c r="A218" t="s">
        <v>224</v>
      </c>
      <c r="B218">
        <v>182.6</v>
      </c>
    </row>
    <row r="219" spans="1:3" x14ac:dyDescent="0.45">
      <c r="A219" t="s">
        <v>225</v>
      </c>
      <c r="B219">
        <v>182.7</v>
      </c>
    </row>
    <row r="220" spans="1:3" x14ac:dyDescent="0.45">
      <c r="A220" t="s">
        <v>226</v>
      </c>
      <c r="B220">
        <v>183.5</v>
      </c>
    </row>
    <row r="221" spans="1:3" x14ac:dyDescent="0.45">
      <c r="A221" t="s">
        <v>227</v>
      </c>
      <c r="B221">
        <v>183.1</v>
      </c>
    </row>
    <row r="222" spans="1:3" x14ac:dyDescent="0.45">
      <c r="A222" t="s">
        <v>228</v>
      </c>
      <c r="B222">
        <v>183.8</v>
      </c>
    </row>
    <row r="223" spans="1:3" x14ac:dyDescent="0.45">
      <c r="A223" t="s">
        <v>229</v>
      </c>
      <c r="B223">
        <v>184.6</v>
      </c>
    </row>
    <row r="224" spans="1:3" x14ac:dyDescent="0.45">
      <c r="A224" t="s">
        <v>230</v>
      </c>
      <c r="B224">
        <v>185.7</v>
      </c>
      <c r="C224">
        <f>AVERAGE(B224:B235)</f>
        <v>188.15</v>
      </c>
    </row>
    <row r="225" spans="1:3" x14ac:dyDescent="0.45">
      <c r="A225" t="s">
        <v>231</v>
      </c>
      <c r="B225">
        <v>186.5</v>
      </c>
    </row>
    <row r="226" spans="1:3" x14ac:dyDescent="0.45">
      <c r="A226" t="s">
        <v>232</v>
      </c>
      <c r="B226">
        <v>186.8</v>
      </c>
    </row>
    <row r="227" spans="1:3" x14ac:dyDescent="0.45">
      <c r="A227" t="s">
        <v>233</v>
      </c>
      <c r="B227">
        <v>186.8</v>
      </c>
    </row>
    <row r="228" spans="1:3" x14ac:dyDescent="0.45">
      <c r="A228" t="s">
        <v>234</v>
      </c>
      <c r="B228">
        <v>187.4</v>
      </c>
    </row>
    <row r="229" spans="1:3" x14ac:dyDescent="0.45">
      <c r="A229" t="s">
        <v>235</v>
      </c>
      <c r="B229">
        <v>188.1</v>
      </c>
    </row>
    <row r="230" spans="1:3" x14ac:dyDescent="0.45">
      <c r="A230" t="s">
        <v>236</v>
      </c>
      <c r="B230">
        <v>188.6</v>
      </c>
    </row>
    <row r="231" spans="1:3" x14ac:dyDescent="0.45">
      <c r="A231" t="s">
        <v>237</v>
      </c>
      <c r="B231">
        <v>189</v>
      </c>
    </row>
    <row r="232" spans="1:3" x14ac:dyDescent="0.45">
      <c r="A232" t="s">
        <v>238</v>
      </c>
      <c r="B232">
        <v>189.9</v>
      </c>
    </row>
    <row r="233" spans="1:3" x14ac:dyDescent="0.45">
      <c r="A233" t="s">
        <v>239</v>
      </c>
      <c r="B233">
        <v>188.9</v>
      </c>
    </row>
    <row r="234" spans="1:3" x14ac:dyDescent="0.45">
      <c r="A234" t="s">
        <v>240</v>
      </c>
      <c r="B234">
        <v>189.6</v>
      </c>
    </row>
    <row r="235" spans="1:3" x14ac:dyDescent="0.45">
      <c r="A235" t="s">
        <v>241</v>
      </c>
      <c r="B235">
        <v>190.5</v>
      </c>
    </row>
    <row r="236" spans="1:3" x14ac:dyDescent="0.45">
      <c r="A236" t="s">
        <v>242</v>
      </c>
      <c r="B236">
        <v>191.6</v>
      </c>
      <c r="C236">
        <f>AVERAGE(B236:B247)</f>
        <v>193.10833333333332</v>
      </c>
    </row>
    <row r="237" spans="1:3" x14ac:dyDescent="0.45">
      <c r="A237" t="s">
        <v>243</v>
      </c>
      <c r="B237">
        <v>192</v>
      </c>
    </row>
    <row r="238" spans="1:3" x14ac:dyDescent="0.45">
      <c r="A238" t="s">
        <v>244</v>
      </c>
      <c r="B238">
        <v>192.2</v>
      </c>
    </row>
    <row r="239" spans="1:3" x14ac:dyDescent="0.45">
      <c r="A239" t="s">
        <v>245</v>
      </c>
      <c r="B239">
        <v>192.2</v>
      </c>
    </row>
    <row r="240" spans="1:3" x14ac:dyDescent="0.45">
      <c r="A240" t="s">
        <v>246</v>
      </c>
      <c r="B240">
        <v>192.6</v>
      </c>
    </row>
    <row r="241" spans="1:3" x14ac:dyDescent="0.45">
      <c r="A241" t="s">
        <v>247</v>
      </c>
      <c r="B241">
        <v>193.1</v>
      </c>
    </row>
    <row r="242" spans="1:3" x14ac:dyDescent="0.45">
      <c r="A242" t="s">
        <v>248</v>
      </c>
      <c r="B242">
        <v>193.3</v>
      </c>
    </row>
    <row r="243" spans="1:3" x14ac:dyDescent="0.45">
      <c r="A243" t="s">
        <v>249</v>
      </c>
      <c r="B243">
        <v>193.6</v>
      </c>
    </row>
    <row r="244" spans="1:3" x14ac:dyDescent="0.45">
      <c r="A244" t="s">
        <v>250</v>
      </c>
      <c r="B244">
        <v>194.1</v>
      </c>
    </row>
    <row r="245" spans="1:3" x14ac:dyDescent="0.45">
      <c r="A245" t="s">
        <v>251</v>
      </c>
      <c r="B245">
        <v>193.4</v>
      </c>
    </row>
    <row r="246" spans="1:3" x14ac:dyDescent="0.45">
      <c r="A246" t="s">
        <v>252</v>
      </c>
      <c r="B246">
        <v>194.2</v>
      </c>
    </row>
    <row r="247" spans="1:3" x14ac:dyDescent="0.45">
      <c r="A247" t="s">
        <v>253</v>
      </c>
      <c r="B247">
        <v>195</v>
      </c>
    </row>
    <row r="248" spans="1:3" x14ac:dyDescent="0.45">
      <c r="A248" t="s">
        <v>254</v>
      </c>
      <c r="B248">
        <v>196.5</v>
      </c>
      <c r="C248">
        <f>AVERAGE(B248:B259)</f>
        <v>200.31666666666669</v>
      </c>
    </row>
    <row r="249" spans="1:3" x14ac:dyDescent="0.45">
      <c r="A249" t="s">
        <v>255</v>
      </c>
      <c r="B249">
        <v>197.7</v>
      </c>
    </row>
    <row r="250" spans="1:3" x14ac:dyDescent="0.45">
      <c r="A250" t="s">
        <v>256</v>
      </c>
      <c r="B250">
        <v>198.5</v>
      </c>
    </row>
    <row r="251" spans="1:3" x14ac:dyDescent="0.45">
      <c r="A251" t="s">
        <v>257</v>
      </c>
      <c r="B251">
        <v>198.5</v>
      </c>
    </row>
    <row r="252" spans="1:3" x14ac:dyDescent="0.45">
      <c r="A252" t="s">
        <v>258</v>
      </c>
      <c r="B252">
        <v>199.2</v>
      </c>
    </row>
    <row r="253" spans="1:3" x14ac:dyDescent="0.45">
      <c r="A253" t="s">
        <v>259</v>
      </c>
      <c r="B253">
        <v>200.1</v>
      </c>
    </row>
    <row r="254" spans="1:3" x14ac:dyDescent="0.45">
      <c r="A254" t="s">
        <v>260</v>
      </c>
      <c r="B254">
        <v>200.4</v>
      </c>
    </row>
    <row r="255" spans="1:3" x14ac:dyDescent="0.45">
      <c r="A255" t="s">
        <v>261</v>
      </c>
      <c r="B255">
        <v>201.1</v>
      </c>
    </row>
    <row r="256" spans="1:3" x14ac:dyDescent="0.45">
      <c r="A256" t="s">
        <v>262</v>
      </c>
      <c r="B256">
        <v>202.7</v>
      </c>
    </row>
    <row r="257" spans="1:3" x14ac:dyDescent="0.45">
      <c r="A257" t="s">
        <v>263</v>
      </c>
      <c r="B257">
        <v>201.6</v>
      </c>
    </row>
    <row r="258" spans="1:3" x14ac:dyDescent="0.45">
      <c r="A258" t="s">
        <v>264</v>
      </c>
      <c r="B258">
        <v>203.1</v>
      </c>
    </row>
    <row r="259" spans="1:3" x14ac:dyDescent="0.45">
      <c r="A259" t="s">
        <v>265</v>
      </c>
      <c r="B259">
        <v>204.4</v>
      </c>
    </row>
    <row r="260" spans="1:3" x14ac:dyDescent="0.45">
      <c r="A260" t="s">
        <v>266</v>
      </c>
      <c r="B260">
        <v>205.4</v>
      </c>
      <c r="C260">
        <f>AVERAGE(B260:B271)</f>
        <v>208.5916666666667</v>
      </c>
    </row>
    <row r="261" spans="1:3" x14ac:dyDescent="0.45">
      <c r="A261" t="s">
        <v>267</v>
      </c>
      <c r="B261">
        <v>206.2</v>
      </c>
    </row>
    <row r="262" spans="1:3" x14ac:dyDescent="0.45">
      <c r="A262" t="s">
        <v>268</v>
      </c>
      <c r="B262">
        <v>207.3</v>
      </c>
    </row>
    <row r="263" spans="1:3" x14ac:dyDescent="0.45">
      <c r="A263" t="s">
        <v>269</v>
      </c>
      <c r="B263">
        <v>206.1</v>
      </c>
    </row>
    <row r="264" spans="1:3" x14ac:dyDescent="0.45">
      <c r="A264" t="s">
        <v>270</v>
      </c>
      <c r="B264">
        <v>207.3</v>
      </c>
    </row>
    <row r="265" spans="1:3" x14ac:dyDescent="0.45">
      <c r="A265" t="s">
        <v>271</v>
      </c>
      <c r="B265">
        <v>208</v>
      </c>
    </row>
    <row r="266" spans="1:3" x14ac:dyDescent="0.45">
      <c r="A266" t="s">
        <v>272</v>
      </c>
      <c r="B266">
        <v>208.9</v>
      </c>
    </row>
    <row r="267" spans="1:3" x14ac:dyDescent="0.45">
      <c r="A267" t="s">
        <v>273</v>
      </c>
      <c r="B267">
        <v>209.7</v>
      </c>
    </row>
    <row r="268" spans="1:3" x14ac:dyDescent="0.45">
      <c r="A268" t="s">
        <v>274</v>
      </c>
      <c r="B268">
        <v>210.9</v>
      </c>
    </row>
    <row r="269" spans="1:3" x14ac:dyDescent="0.45">
      <c r="A269" t="s">
        <v>275</v>
      </c>
      <c r="B269">
        <v>209.8</v>
      </c>
    </row>
    <row r="270" spans="1:3" x14ac:dyDescent="0.45">
      <c r="A270" t="s">
        <v>276</v>
      </c>
      <c r="B270">
        <v>211.4</v>
      </c>
    </row>
    <row r="271" spans="1:3" x14ac:dyDescent="0.45">
      <c r="A271" t="s">
        <v>277</v>
      </c>
      <c r="B271">
        <v>212.1</v>
      </c>
    </row>
    <row r="272" spans="1:3" x14ac:dyDescent="0.45">
      <c r="A272" t="s">
        <v>278</v>
      </c>
      <c r="B272">
        <v>214</v>
      </c>
      <c r="C272">
        <f>AVERAGE(B272:B283)</f>
        <v>214.78333333333339</v>
      </c>
    </row>
    <row r="273" spans="1:3" x14ac:dyDescent="0.45">
      <c r="A273" t="s">
        <v>279</v>
      </c>
      <c r="B273">
        <v>215.1</v>
      </c>
    </row>
    <row r="274" spans="1:3" x14ac:dyDescent="0.45">
      <c r="A274" t="s">
        <v>280</v>
      </c>
      <c r="B274">
        <v>216.8</v>
      </c>
    </row>
    <row r="275" spans="1:3" x14ac:dyDescent="0.45">
      <c r="A275" t="s">
        <v>281</v>
      </c>
      <c r="B275">
        <v>216.5</v>
      </c>
    </row>
    <row r="276" spans="1:3" x14ac:dyDescent="0.45">
      <c r="A276" t="s">
        <v>282</v>
      </c>
      <c r="B276">
        <v>217.2</v>
      </c>
    </row>
    <row r="277" spans="1:3" x14ac:dyDescent="0.45">
      <c r="A277" t="s">
        <v>283</v>
      </c>
      <c r="B277">
        <v>218.4</v>
      </c>
    </row>
    <row r="278" spans="1:3" x14ac:dyDescent="0.45">
      <c r="A278" t="s">
        <v>284</v>
      </c>
      <c r="B278">
        <v>217.7</v>
      </c>
    </row>
    <row r="279" spans="1:3" x14ac:dyDescent="0.45">
      <c r="A279" t="s">
        <v>285</v>
      </c>
      <c r="B279">
        <v>216</v>
      </c>
    </row>
    <row r="280" spans="1:3" x14ac:dyDescent="0.45">
      <c r="A280" t="s">
        <v>286</v>
      </c>
      <c r="B280">
        <v>212.9</v>
      </c>
    </row>
    <row r="281" spans="1:3" x14ac:dyDescent="0.45">
      <c r="A281" t="s">
        <v>287</v>
      </c>
      <c r="B281">
        <v>210.1</v>
      </c>
    </row>
    <row r="282" spans="1:3" x14ac:dyDescent="0.45">
      <c r="A282" t="s">
        <v>288</v>
      </c>
      <c r="B282">
        <v>211.4</v>
      </c>
    </row>
    <row r="283" spans="1:3" x14ac:dyDescent="0.45">
      <c r="A283" t="s">
        <v>289</v>
      </c>
      <c r="B283">
        <v>211.3</v>
      </c>
    </row>
    <row r="284" spans="1:3" x14ac:dyDescent="0.45">
      <c r="A284" t="s">
        <v>290</v>
      </c>
      <c r="B284">
        <v>211.5</v>
      </c>
      <c r="C284">
        <f>AVERAGE(B284:B295)</f>
        <v>215.76666666666662</v>
      </c>
    </row>
    <row r="285" spans="1:3" x14ac:dyDescent="0.45">
      <c r="A285" t="s">
        <v>291</v>
      </c>
      <c r="B285">
        <v>212.8</v>
      </c>
    </row>
    <row r="286" spans="1:3" x14ac:dyDescent="0.45">
      <c r="A286" t="s">
        <v>292</v>
      </c>
      <c r="B286">
        <v>213.4</v>
      </c>
    </row>
    <row r="287" spans="1:3" x14ac:dyDescent="0.45">
      <c r="A287" t="s">
        <v>293</v>
      </c>
      <c r="B287">
        <v>213.4</v>
      </c>
    </row>
    <row r="288" spans="1:3" x14ac:dyDescent="0.45">
      <c r="A288" t="s">
        <v>294</v>
      </c>
      <c r="B288">
        <v>214.4</v>
      </c>
    </row>
    <row r="289" spans="1:3" x14ac:dyDescent="0.45">
      <c r="A289" t="s">
        <v>295</v>
      </c>
      <c r="B289">
        <v>215.3</v>
      </c>
    </row>
    <row r="290" spans="1:3" x14ac:dyDescent="0.45">
      <c r="A290" t="s">
        <v>296</v>
      </c>
      <c r="B290">
        <v>216</v>
      </c>
    </row>
    <row r="291" spans="1:3" x14ac:dyDescent="0.45">
      <c r="A291" t="s">
        <v>297</v>
      </c>
      <c r="B291">
        <v>216.6</v>
      </c>
    </row>
    <row r="292" spans="1:3" x14ac:dyDescent="0.45">
      <c r="A292" t="s">
        <v>298</v>
      </c>
      <c r="B292">
        <v>218</v>
      </c>
    </row>
    <row r="293" spans="1:3" x14ac:dyDescent="0.45">
      <c r="A293" t="s">
        <v>299</v>
      </c>
      <c r="B293">
        <v>217.9</v>
      </c>
    </row>
    <row r="294" spans="1:3" x14ac:dyDescent="0.45">
      <c r="A294" t="s">
        <v>300</v>
      </c>
      <c r="B294">
        <v>219.2</v>
      </c>
    </row>
    <row r="295" spans="1:3" x14ac:dyDescent="0.45">
      <c r="A295" t="s">
        <v>301</v>
      </c>
      <c r="B295">
        <v>220.7</v>
      </c>
    </row>
    <row r="296" spans="1:3" x14ac:dyDescent="0.45">
      <c r="A296" t="s">
        <v>302</v>
      </c>
      <c r="B296">
        <v>222.8</v>
      </c>
      <c r="C296">
        <f>AVERAGE(B296:B307)</f>
        <v>226.47499999999999</v>
      </c>
    </row>
    <row r="297" spans="1:3" x14ac:dyDescent="0.45">
      <c r="A297" t="s">
        <v>303</v>
      </c>
      <c r="B297">
        <v>223.6</v>
      </c>
    </row>
    <row r="298" spans="1:3" x14ac:dyDescent="0.45">
      <c r="A298" t="s">
        <v>304</v>
      </c>
      <c r="B298">
        <v>224.1</v>
      </c>
    </row>
    <row r="299" spans="1:3" x14ac:dyDescent="0.45">
      <c r="A299" t="s">
        <v>305</v>
      </c>
      <c r="B299">
        <v>223.6</v>
      </c>
    </row>
    <row r="300" spans="1:3" x14ac:dyDescent="0.45">
      <c r="A300" t="s">
        <v>306</v>
      </c>
      <c r="B300">
        <v>224.5</v>
      </c>
    </row>
    <row r="301" spans="1:3" x14ac:dyDescent="0.45">
      <c r="A301" t="s">
        <v>307</v>
      </c>
      <c r="B301">
        <v>225.3</v>
      </c>
    </row>
    <row r="302" spans="1:3" x14ac:dyDescent="0.45">
      <c r="A302" t="s">
        <v>308</v>
      </c>
      <c r="B302">
        <v>225.8</v>
      </c>
    </row>
    <row r="303" spans="1:3" x14ac:dyDescent="0.45">
      <c r="A303" t="s">
        <v>309</v>
      </c>
      <c r="B303">
        <v>226.8</v>
      </c>
    </row>
    <row r="304" spans="1:3" x14ac:dyDescent="0.45">
      <c r="A304" t="s">
        <v>310</v>
      </c>
      <c r="B304">
        <v>228.4</v>
      </c>
    </row>
    <row r="305" spans="1:3" x14ac:dyDescent="0.45">
      <c r="A305" t="s">
        <v>311</v>
      </c>
      <c r="B305">
        <v>229</v>
      </c>
    </row>
    <row r="306" spans="1:3" x14ac:dyDescent="0.45">
      <c r="A306" t="s">
        <v>312</v>
      </c>
      <c r="B306">
        <v>231.3</v>
      </c>
    </row>
    <row r="307" spans="1:3" x14ac:dyDescent="0.45">
      <c r="A307" t="s">
        <v>313</v>
      </c>
      <c r="B307">
        <v>232.5</v>
      </c>
    </row>
    <row r="308" spans="1:3" x14ac:dyDescent="0.45">
      <c r="A308" t="s">
        <v>314</v>
      </c>
      <c r="B308">
        <v>234.4</v>
      </c>
      <c r="C308">
        <f>AVERAGE(B308:B319)</f>
        <v>237.3416666666667</v>
      </c>
    </row>
    <row r="309" spans="1:3" x14ac:dyDescent="0.45">
      <c r="A309" t="s">
        <v>315</v>
      </c>
      <c r="B309">
        <v>235.2</v>
      </c>
    </row>
    <row r="310" spans="1:3" x14ac:dyDescent="0.45">
      <c r="A310" t="s">
        <v>316</v>
      </c>
      <c r="B310">
        <v>235.2</v>
      </c>
    </row>
    <row r="311" spans="1:3" x14ac:dyDescent="0.45">
      <c r="A311" t="s">
        <v>317</v>
      </c>
      <c r="B311">
        <v>234.7</v>
      </c>
    </row>
    <row r="312" spans="1:3" x14ac:dyDescent="0.45">
      <c r="A312" t="s">
        <v>318</v>
      </c>
      <c r="B312">
        <v>236.1</v>
      </c>
    </row>
    <row r="313" spans="1:3" x14ac:dyDescent="0.45">
      <c r="A313" t="s">
        <v>319</v>
      </c>
      <c r="B313">
        <v>237.9</v>
      </c>
    </row>
    <row r="314" spans="1:3" x14ac:dyDescent="0.45">
      <c r="A314" t="s">
        <v>320</v>
      </c>
      <c r="B314">
        <v>238</v>
      </c>
    </row>
    <row r="315" spans="1:3" x14ac:dyDescent="0.45">
      <c r="A315" t="s">
        <v>321</v>
      </c>
      <c r="B315">
        <v>238.5</v>
      </c>
    </row>
    <row r="316" spans="1:3" x14ac:dyDescent="0.45">
      <c r="A316" t="s">
        <v>322</v>
      </c>
      <c r="B316">
        <v>239.4</v>
      </c>
    </row>
    <row r="317" spans="1:3" x14ac:dyDescent="0.45">
      <c r="A317" t="s">
        <v>323</v>
      </c>
      <c r="B317">
        <v>238</v>
      </c>
    </row>
    <row r="318" spans="1:3" x14ac:dyDescent="0.45">
      <c r="A318" t="s">
        <v>324</v>
      </c>
      <c r="B318">
        <v>239.9</v>
      </c>
    </row>
    <row r="319" spans="1:3" x14ac:dyDescent="0.45">
      <c r="A319" t="s">
        <v>325</v>
      </c>
      <c r="B319">
        <v>240.8</v>
      </c>
    </row>
    <row r="320" spans="1:3" x14ac:dyDescent="0.45">
      <c r="A320" t="s">
        <v>326</v>
      </c>
      <c r="B320">
        <v>242.5</v>
      </c>
      <c r="C320">
        <f>AVERAGE(B320:B331)</f>
        <v>244.67499999999998</v>
      </c>
    </row>
    <row r="321" spans="1:3" x14ac:dyDescent="0.45">
      <c r="A321" t="s">
        <v>327</v>
      </c>
      <c r="B321">
        <v>242.4</v>
      </c>
    </row>
    <row r="322" spans="1:3" x14ac:dyDescent="0.45">
      <c r="A322" t="s">
        <v>328</v>
      </c>
      <c r="B322">
        <v>241.8</v>
      </c>
    </row>
    <row r="323" spans="1:3" x14ac:dyDescent="0.45">
      <c r="A323" t="s">
        <v>329</v>
      </c>
      <c r="B323">
        <v>242.1</v>
      </c>
    </row>
    <row r="324" spans="1:3" x14ac:dyDescent="0.45">
      <c r="A324" t="s">
        <v>330</v>
      </c>
      <c r="B324">
        <v>243</v>
      </c>
    </row>
    <row r="325" spans="1:3" x14ac:dyDescent="0.45">
      <c r="A325" t="s">
        <v>331</v>
      </c>
      <c r="B325">
        <v>244.2</v>
      </c>
    </row>
    <row r="326" spans="1:3" x14ac:dyDescent="0.45">
      <c r="A326" t="s">
        <v>332</v>
      </c>
      <c r="B326">
        <v>245.6</v>
      </c>
    </row>
    <row r="327" spans="1:3" x14ac:dyDescent="0.45">
      <c r="A327" t="s">
        <v>333</v>
      </c>
      <c r="B327">
        <v>245.6</v>
      </c>
    </row>
    <row r="328" spans="1:3" x14ac:dyDescent="0.45">
      <c r="A328" t="s">
        <v>334</v>
      </c>
      <c r="B328">
        <v>246.8</v>
      </c>
    </row>
    <row r="329" spans="1:3" x14ac:dyDescent="0.45">
      <c r="A329" t="s">
        <v>335</v>
      </c>
      <c r="B329">
        <v>245.8</v>
      </c>
    </row>
    <row r="330" spans="1:3" x14ac:dyDescent="0.45">
      <c r="A330" t="s">
        <v>336</v>
      </c>
      <c r="B330">
        <v>247.6</v>
      </c>
    </row>
    <row r="331" spans="1:3" x14ac:dyDescent="0.45">
      <c r="A331" t="s">
        <v>337</v>
      </c>
      <c r="B331">
        <v>248.7</v>
      </c>
    </row>
    <row r="332" spans="1:3" x14ac:dyDescent="0.45">
      <c r="A332" t="s">
        <v>338</v>
      </c>
      <c r="B332">
        <v>249.5</v>
      </c>
      <c r="C332">
        <f>AVERAGE(B332:B343)</f>
        <v>251.73333333333335</v>
      </c>
    </row>
    <row r="333" spans="1:3" x14ac:dyDescent="0.45">
      <c r="A333" t="s">
        <v>339</v>
      </c>
      <c r="B333">
        <v>250</v>
      </c>
    </row>
    <row r="334" spans="1:3" x14ac:dyDescent="0.45">
      <c r="A334" t="s">
        <v>340</v>
      </c>
      <c r="B334">
        <v>249.7</v>
      </c>
    </row>
    <row r="335" spans="1:3" x14ac:dyDescent="0.45">
      <c r="A335" t="s">
        <v>341</v>
      </c>
      <c r="B335">
        <v>249.7</v>
      </c>
    </row>
    <row r="336" spans="1:3" x14ac:dyDescent="0.45">
      <c r="A336" t="s">
        <v>342</v>
      </c>
      <c r="B336">
        <v>251</v>
      </c>
    </row>
    <row r="337" spans="1:3" x14ac:dyDescent="0.45">
      <c r="A337" t="s">
        <v>343</v>
      </c>
      <c r="B337">
        <v>251.9</v>
      </c>
    </row>
    <row r="338" spans="1:3" x14ac:dyDescent="0.45">
      <c r="A338" t="s">
        <v>344</v>
      </c>
      <c r="B338">
        <v>251.9</v>
      </c>
    </row>
    <row r="339" spans="1:3" x14ac:dyDescent="0.45">
      <c r="A339" t="s">
        <v>345</v>
      </c>
      <c r="B339">
        <v>252.1</v>
      </c>
    </row>
    <row r="340" spans="1:3" x14ac:dyDescent="0.45">
      <c r="A340" t="s">
        <v>346</v>
      </c>
      <c r="B340">
        <v>253.4</v>
      </c>
    </row>
    <row r="341" spans="1:3" x14ac:dyDescent="0.45">
      <c r="A341" t="s">
        <v>347</v>
      </c>
      <c r="B341">
        <v>252.6</v>
      </c>
    </row>
    <row r="342" spans="1:3" x14ac:dyDescent="0.45">
      <c r="A342" t="s">
        <v>348</v>
      </c>
      <c r="B342">
        <v>254.2</v>
      </c>
    </row>
    <row r="343" spans="1:3" x14ac:dyDescent="0.45">
      <c r="A343" t="s">
        <v>349</v>
      </c>
      <c r="B343">
        <v>254.8</v>
      </c>
    </row>
    <row r="344" spans="1:3" x14ac:dyDescent="0.45">
      <c r="A344" t="s">
        <v>350</v>
      </c>
      <c r="B344">
        <v>255.7</v>
      </c>
      <c r="C344">
        <f>AVERAGE(B344:B355)</f>
        <v>256.66666666666669</v>
      </c>
    </row>
    <row r="345" spans="1:3" x14ac:dyDescent="0.45">
      <c r="A345" t="s">
        <v>351</v>
      </c>
      <c r="B345">
        <v>255.9</v>
      </c>
    </row>
    <row r="346" spans="1:3" x14ac:dyDescent="0.45">
      <c r="A346" t="s">
        <v>352</v>
      </c>
      <c r="B346">
        <v>256.3</v>
      </c>
    </row>
    <row r="347" spans="1:3" x14ac:dyDescent="0.45">
      <c r="A347" t="s">
        <v>353</v>
      </c>
      <c r="B347">
        <v>256</v>
      </c>
    </row>
    <row r="348" spans="1:3" x14ac:dyDescent="0.45">
      <c r="A348" t="s">
        <v>354</v>
      </c>
      <c r="B348">
        <v>257</v>
      </c>
    </row>
    <row r="349" spans="1:3" x14ac:dyDescent="0.45">
      <c r="A349" t="s">
        <v>355</v>
      </c>
      <c r="B349">
        <v>257.60000000000002</v>
      </c>
    </row>
    <row r="350" spans="1:3" x14ac:dyDescent="0.45">
      <c r="A350" t="s">
        <v>356</v>
      </c>
      <c r="B350">
        <v>257.7</v>
      </c>
    </row>
    <row r="351" spans="1:3" x14ac:dyDescent="0.45">
      <c r="A351" t="s">
        <v>357</v>
      </c>
      <c r="B351">
        <v>257.10000000000002</v>
      </c>
    </row>
    <row r="352" spans="1:3" x14ac:dyDescent="0.45">
      <c r="A352" t="s">
        <v>358</v>
      </c>
      <c r="B352">
        <v>257.5</v>
      </c>
    </row>
    <row r="353" spans="1:10" x14ac:dyDescent="0.45">
      <c r="A353" t="s">
        <v>359</v>
      </c>
      <c r="B353">
        <v>255.4</v>
      </c>
    </row>
    <row r="354" spans="1:10" x14ac:dyDescent="0.45">
      <c r="A354" t="s">
        <v>360</v>
      </c>
      <c r="B354">
        <v>256.7</v>
      </c>
    </row>
    <row r="355" spans="1:10" x14ac:dyDescent="0.45">
      <c r="A355" t="s">
        <v>361</v>
      </c>
      <c r="B355">
        <v>257.10000000000002</v>
      </c>
    </row>
    <row r="356" spans="1:10" x14ac:dyDescent="0.45">
      <c r="A356" t="s">
        <v>362</v>
      </c>
      <c r="B356">
        <v>258</v>
      </c>
      <c r="C356">
        <f>AVERAGE(B356:B367)</f>
        <v>259.89877657288542</v>
      </c>
    </row>
    <row r="357" spans="1:10" x14ac:dyDescent="0.45">
      <c r="A357" t="s">
        <v>363</v>
      </c>
      <c r="B357">
        <v>258.5</v>
      </c>
    </row>
    <row r="358" spans="1:10" x14ac:dyDescent="0.45">
      <c r="A358" t="s">
        <v>364</v>
      </c>
      <c r="B358">
        <v>258.89999999999998</v>
      </c>
    </row>
    <row r="359" spans="1:10" x14ac:dyDescent="0.45">
      <c r="A359" t="s">
        <v>365</v>
      </c>
      <c r="B359">
        <v>258.60000000000002</v>
      </c>
    </row>
    <row r="360" spans="1:10" x14ac:dyDescent="0.45">
      <c r="A360" t="s">
        <v>366</v>
      </c>
      <c r="B360">
        <v>259.8</v>
      </c>
    </row>
    <row r="361" spans="1:10" x14ac:dyDescent="0.45">
      <c r="A361" t="s">
        <v>367</v>
      </c>
      <c r="B361">
        <v>259.60000000000002</v>
      </c>
    </row>
    <row r="362" spans="1:10" x14ac:dyDescent="0.45">
      <c r="A362" t="s">
        <v>375</v>
      </c>
      <c r="B362">
        <v>259.5</v>
      </c>
    </row>
    <row r="363" spans="1:10" x14ac:dyDescent="0.45">
      <c r="A363" s="24">
        <v>42309</v>
      </c>
      <c r="B363" s="25">
        <f>AVERAGE(B364,B362)</f>
        <v>260.04499999999996</v>
      </c>
    </row>
    <row r="364" spans="1:10" x14ac:dyDescent="0.45">
      <c r="A364" s="24">
        <v>42339</v>
      </c>
      <c r="B364" s="26">
        <f>B352*(1+C364)</f>
        <v>260.58999999999997</v>
      </c>
      <c r="C364" s="22">
        <v>1.2E-2</v>
      </c>
      <c r="D364" t="s">
        <v>376</v>
      </c>
    </row>
    <row r="365" spans="1:10" x14ac:dyDescent="0.45">
      <c r="A365" s="24">
        <v>42370</v>
      </c>
      <c r="B365" s="25">
        <f>B364*(1+$C$365)^(1/12)</f>
        <v>261.16919444663648</v>
      </c>
      <c r="C365" s="22">
        <v>2.7E-2</v>
      </c>
      <c r="D365" t="s">
        <v>377</v>
      </c>
    </row>
    <row r="366" spans="1:10" x14ac:dyDescent="0.45">
      <c r="A366" s="24">
        <v>42401</v>
      </c>
      <c r="B366" s="25">
        <f>B365*(1+$C$365)^(1/12)</f>
        <v>261.74967622665883</v>
      </c>
      <c r="I366" s="23"/>
      <c r="J366" s="23"/>
    </row>
    <row r="367" spans="1:10" x14ac:dyDescent="0.45">
      <c r="A367" s="24">
        <v>42430</v>
      </c>
      <c r="B367" s="25">
        <f>B366*(1+$C$365)^(1/12)</f>
        <v>262.33144820132935</v>
      </c>
    </row>
    <row r="371" spans="1:2" x14ac:dyDescent="0.45">
      <c r="A371" t="s">
        <v>368</v>
      </c>
    </row>
    <row r="373" spans="1:2" x14ac:dyDescent="0.45">
      <c r="A373" t="s">
        <v>22</v>
      </c>
      <c r="B373" t="s">
        <v>369</v>
      </c>
    </row>
    <row r="374" spans="1:2" x14ac:dyDescent="0.45">
      <c r="B374" t="s">
        <v>370</v>
      </c>
    </row>
    <row r="375" spans="1:2" x14ac:dyDescent="0.45">
      <c r="B375" t="s">
        <v>371</v>
      </c>
    </row>
    <row r="376" spans="1:2" x14ac:dyDescent="0.45">
      <c r="B376" t="s">
        <v>372</v>
      </c>
    </row>
    <row r="377" spans="1:2" x14ac:dyDescent="0.45">
      <c r="B377" t="s">
        <v>373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9"/>
  <sheetViews>
    <sheetView showGridLines="0" workbookViewId="0">
      <selection activeCell="D22" sqref="D22"/>
    </sheetView>
  </sheetViews>
  <sheetFormatPr defaultRowHeight="14.25" x14ac:dyDescent="0.45"/>
  <cols>
    <col min="1" max="1" width="1.86328125" customWidth="1"/>
    <col min="4" max="4" width="10.73046875" bestFit="1" customWidth="1"/>
    <col min="5" max="5" width="12.59765625" customWidth="1"/>
    <col min="6" max="6" width="18.86328125" bestFit="1" customWidth="1"/>
  </cols>
  <sheetData>
    <row r="1" spans="2:6" x14ac:dyDescent="0.45">
      <c r="B1" s="30" t="s">
        <v>411</v>
      </c>
    </row>
    <row r="2" spans="2:6" ht="14.65" thickBot="1" x14ac:dyDescent="0.5">
      <c r="B2" s="30"/>
    </row>
    <row r="3" spans="2:6" x14ac:dyDescent="0.45">
      <c r="B3" s="76" t="s">
        <v>486</v>
      </c>
      <c r="C3" s="55"/>
      <c r="D3" s="77" t="s">
        <v>464</v>
      </c>
      <c r="E3" s="77" t="s">
        <v>434</v>
      </c>
      <c r="F3" s="78" t="s">
        <v>487</v>
      </c>
    </row>
    <row r="4" spans="2:6" x14ac:dyDescent="0.45">
      <c r="B4" s="56" t="s">
        <v>412</v>
      </c>
      <c r="C4" s="57" t="s">
        <v>413</v>
      </c>
      <c r="D4" s="57">
        <v>0.8</v>
      </c>
      <c r="E4" s="57">
        <v>0</v>
      </c>
      <c r="F4" s="73">
        <f>+D4*E4</f>
        <v>0</v>
      </c>
    </row>
    <row r="5" spans="2:6" x14ac:dyDescent="0.45">
      <c r="B5" s="56"/>
      <c r="C5" s="57" t="s">
        <v>414</v>
      </c>
      <c r="D5" s="57">
        <v>0.2</v>
      </c>
      <c r="E5" s="57">
        <v>2.8</v>
      </c>
      <c r="F5" s="73">
        <f>+D5*E5</f>
        <v>0.55999999999999994</v>
      </c>
    </row>
    <row r="6" spans="2:6" x14ac:dyDescent="0.45">
      <c r="B6" s="111" t="s">
        <v>386</v>
      </c>
      <c r="C6" s="112"/>
      <c r="D6" s="112"/>
      <c r="E6" s="113"/>
      <c r="F6" s="73">
        <f>SUM(F4:F5)</f>
        <v>0.55999999999999994</v>
      </c>
    </row>
    <row r="7" spans="2:6" x14ac:dyDescent="0.45">
      <c r="B7" s="56" t="s">
        <v>415</v>
      </c>
      <c r="C7" s="57" t="s">
        <v>413</v>
      </c>
      <c r="D7" s="57">
        <v>0.8</v>
      </c>
      <c r="E7" s="57">
        <v>44.8</v>
      </c>
      <c r="F7" s="73">
        <f>+D7*E7</f>
        <v>35.839999999999996</v>
      </c>
    </row>
    <row r="8" spans="2:6" x14ac:dyDescent="0.45">
      <c r="B8" s="56"/>
      <c r="C8" s="57" t="s">
        <v>414</v>
      </c>
      <c r="D8" s="57">
        <v>0.2</v>
      </c>
      <c r="E8" s="57">
        <v>156.80000000000001</v>
      </c>
      <c r="F8" s="73">
        <f>+D8*E8</f>
        <v>31.360000000000003</v>
      </c>
    </row>
    <row r="9" spans="2:6" ht="14.65" thickBot="1" x14ac:dyDescent="0.5">
      <c r="B9" s="114" t="s">
        <v>386</v>
      </c>
      <c r="C9" s="115"/>
      <c r="D9" s="115"/>
      <c r="E9" s="116"/>
      <c r="F9" s="79">
        <f>SUM(F7:F8)</f>
        <v>67.2</v>
      </c>
    </row>
    <row r="10" spans="2:6" ht="14.65" thickBot="1" x14ac:dyDescent="0.5">
      <c r="B10" s="108" t="s">
        <v>430</v>
      </c>
      <c r="C10" s="109"/>
      <c r="D10" s="109"/>
      <c r="E10" s="110"/>
      <c r="F10" s="80">
        <f>+(F9+F6)/2</f>
        <v>33.880000000000003</v>
      </c>
    </row>
    <row r="12" spans="2:6" x14ac:dyDescent="0.45">
      <c r="B12" s="30" t="s">
        <v>419</v>
      </c>
    </row>
    <row r="13" spans="2:6" ht="14.65" thickBot="1" x14ac:dyDescent="0.5">
      <c r="B13" s="30"/>
    </row>
    <row r="14" spans="2:6" x14ac:dyDescent="0.45">
      <c r="B14" s="76" t="s">
        <v>486</v>
      </c>
      <c r="C14" s="117" t="s">
        <v>483</v>
      </c>
      <c r="D14" s="117"/>
      <c r="E14" s="77" t="s">
        <v>464</v>
      </c>
      <c r="F14" s="78" t="s">
        <v>487</v>
      </c>
    </row>
    <row r="15" spans="2:6" x14ac:dyDescent="0.45">
      <c r="B15" s="56" t="s">
        <v>420</v>
      </c>
      <c r="C15" s="72">
        <v>0.9</v>
      </c>
      <c r="D15" s="72">
        <v>2.1</v>
      </c>
      <c r="E15" s="72">
        <v>0.25</v>
      </c>
      <c r="F15" s="73">
        <f>+(C15+D15)/2*E15</f>
        <v>0.375</v>
      </c>
    </row>
    <row r="16" spans="2:6" x14ac:dyDescent="0.45">
      <c r="B16" s="56" t="s">
        <v>421</v>
      </c>
      <c r="C16" s="72">
        <v>63.5</v>
      </c>
      <c r="D16" s="72">
        <v>141.9</v>
      </c>
      <c r="E16" s="72">
        <v>0.65</v>
      </c>
      <c r="F16" s="73">
        <f>+(C16+D16)/2*E16</f>
        <v>66.75500000000001</v>
      </c>
    </row>
    <row r="17" spans="2:6" x14ac:dyDescent="0.45">
      <c r="B17" s="56" t="s">
        <v>422</v>
      </c>
      <c r="C17" s="72">
        <v>130.1</v>
      </c>
      <c r="D17" s="72">
        <v>298</v>
      </c>
      <c r="E17" s="72">
        <v>0.1</v>
      </c>
      <c r="F17" s="73">
        <f>+(C17+D17)/2*E17</f>
        <v>21.405000000000001</v>
      </c>
    </row>
    <row r="18" spans="2:6" x14ac:dyDescent="0.45">
      <c r="B18" s="118" t="s">
        <v>484</v>
      </c>
      <c r="C18" s="119"/>
      <c r="D18" s="119"/>
      <c r="E18" s="120"/>
      <c r="F18" s="74">
        <f>SUM(F15:F17)</f>
        <v>88.535000000000011</v>
      </c>
    </row>
    <row r="19" spans="2:6" ht="14.65" thickBot="1" x14ac:dyDescent="0.5">
      <c r="B19" s="105" t="s">
        <v>485</v>
      </c>
      <c r="C19" s="106"/>
      <c r="D19" s="106"/>
      <c r="E19" s="107"/>
      <c r="F19" s="75">
        <f>+F18/12</f>
        <v>7.3779166666666676</v>
      </c>
    </row>
  </sheetData>
  <mergeCells count="6">
    <mergeCell ref="B19:E19"/>
    <mergeCell ref="B10:E10"/>
    <mergeCell ref="B6:E6"/>
    <mergeCell ref="B9:E9"/>
    <mergeCell ref="C14:D14"/>
    <mergeCell ref="B18:E18"/>
  </mergeCells>
  <pageMargins left="0.7" right="0.7" top="0.75" bottom="0.75" header="0.3" footer="0.3"/>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Minutes" ma:contentTypeID="0x01010020DECF7569711D4CA2681F69670495AB008E1B053DD11BDD40A1240D22E1438635" ma:contentTypeVersion="14" ma:contentTypeDescription="This should be used for creating internal minutes" ma:contentTypeScope="" ma:versionID="4add9027c1cad7dd6b413dc902ad83fc">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5b8939538a39ab5e14a400cfa1050f7a" ns2:_="" ns3:_="">
    <xsd:import namespace="http://schemas.microsoft.com/sharepoint/v3/fields"/>
    <xsd:import namespace="631298fc-6a88-4548-b7d9-3b164918c4a3"/>
    <xsd:element name="properties">
      <xsd:complexType>
        <xsd:sequence>
          <xsd:element name="documentManagement">
            <xsd:complexType>
              <xsd:all>
                <xsd:element ref="ns3:Recipient" minOccurs="0"/>
                <xsd:element ref="ns3:Organisation" minOccurs="0"/>
                <xsd:element ref="ns3:Meeting_x0020_Date" minOccurs="0"/>
                <xsd:element ref="ns2:_Status" minOccurs="0"/>
                <xsd:element ref="ns3:Classification" minOccurs="0"/>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2"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Recipient" ma:index="9" nillable="true" ma:displayName="Recipient" ma:description="Internal or external person(s) or group (eg Exec, SMT or Authority).  For Legal Advice put recipient of advice." ma:internalName="Recipient">
      <xsd:simpleType>
        <xsd:restriction base="dms:Text">
          <xsd:maxLength value="255"/>
        </xsd:restriction>
      </xsd:simpleType>
    </xsd:element>
    <xsd:element name="Organisation" ma:index="10"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Wales &amp; West Utilities"/>
              <xsd:enumeration value="Welsh Assembly"/>
              <xsd:enumeration value="WPD"/>
              <xsd:enumeration value="Xoserve"/>
              <xsd:enumeration value="-"/>
            </xsd:restriction>
          </xsd:simpleType>
        </xsd:union>
      </xsd:simpleType>
    </xsd:element>
    <xsd:element name="Meeting_x0020_Date" ma:index="11" nillable="true" ma:displayName="Meeting Date" ma:description="Enter the date as DD/MM/YYYY" ma:format="DateOnly" ma:internalName="Meeting_x0020_Date">
      <xsd:simpleType>
        <xsd:restriction base="dms:DateTime"/>
      </xsd:simpleType>
    </xsd:element>
    <xsd:element name="Classification" ma:index="13"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Protect</Classification>
    <Organisation xmlns="631298fc-6a88-4548-b7d9-3b164918c4a3">Choose an Organisation</Organisation>
    <Descriptor xmlns="631298fc-6a88-4548-b7d9-3b164918c4a3" xsi:nil="true"/>
    <Meeting_x0020_Date xmlns="631298fc-6a88-4548-b7d9-3b164918c4a3" xsi:nil="true"/>
    <Recipient xmlns="631298fc-6a88-4548-b7d9-3b164918c4a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ca9306fc-8436-45f0-b931-e34f519be3a3" ContentTypeId="0x01010020DECF7569711D4CA2681F69670495AB" PreviousValue="true"/>
</file>

<file path=customXml/item5.xml><?xml version="1.0" encoding="utf-8"?>
<sisl xmlns:xsi="http://www.w3.org/2001/XMLSchema-instance" xmlns:xsd="http://www.w3.org/2001/XMLSchema" xmlns="http://www.boldonjames.com/2008/01/sie/internal/label" sislVersion="0" policy="973096ae-7329-4b3b-9368-47aeba6959e1"/>
</file>

<file path=customXml/itemProps1.xml><?xml version="1.0" encoding="utf-8"?>
<ds:datastoreItem xmlns:ds="http://schemas.openxmlformats.org/officeDocument/2006/customXml" ds:itemID="{F3D1DE7C-26C5-43E6-B508-B26191C464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631298fc-6a88-4548-b7d9-3b164918c4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9107C5-B401-4A16-BB12-3D243B9D13F0}">
  <ds:schemaRefs>
    <ds:schemaRef ds:uri="http://schemas.microsoft.com/office/infopath/2007/PartnerControls"/>
    <ds:schemaRef ds:uri="http://purl.org/dc/elements/1.1/"/>
    <ds:schemaRef ds:uri="http://schemas.microsoft.com/office/2006/metadata/properties"/>
    <ds:schemaRef ds:uri="631298fc-6a88-4548-b7d9-3b164918c4a3"/>
    <ds:schemaRef ds:uri="http://purl.org/dc/terms/"/>
    <ds:schemaRef ds:uri="http://schemas.openxmlformats.org/package/2006/metadata/core-properties"/>
    <ds:schemaRef ds:uri="http://schemas.microsoft.com/office/2006/documentManagement/types"/>
    <ds:schemaRef ds:uri="http://purl.org/dc/dcmitype/"/>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631F35AF-1561-463F-AB4D-8A0E67B93946}">
  <ds:schemaRefs>
    <ds:schemaRef ds:uri="Microsoft.SharePoint.Taxonomy.ContentTypeSync"/>
  </ds:schemaRefs>
</ds:datastoreItem>
</file>

<file path=customXml/itemProps5.xml><?xml version="1.0" encoding="utf-8"?>
<ds:datastoreItem xmlns:ds="http://schemas.openxmlformats.org/officeDocument/2006/customXml" ds:itemID="{A50B8319-4896-4392-9AC9-C200EFC34EE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Updates</vt:lpstr>
      <vt:lpstr>2016 FID</vt:lpstr>
      <vt:lpstr>Fixed data</vt:lpstr>
      <vt:lpstr>Option 1</vt:lpstr>
      <vt:lpstr>Workings 1</vt:lpstr>
      <vt:lpstr>Option 2</vt:lpstr>
      <vt:lpstr>Workings 2</vt:lpstr>
      <vt:lpstr>RPI series</vt:lpstr>
      <vt:lpstr>Constraints</vt:lpstr>
      <vt:lpstr>Wholesale gas price impact</vt:lpstr>
      <vt:lpstr>Intervention</vt:lpstr>
      <vt:lpstr>Loss of life</vt:lpstr>
      <vt:lpstr>'Option 1'!Print_Area</vt:lpstr>
      <vt:lpstr>'Option 2'!Print_Area</vt:lpstr>
      <vt:lpstr>'Workings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Rebecca Pickett</cp:lastModifiedBy>
  <cp:lastPrinted>2018-05-22T10:48:12Z</cp:lastPrinted>
  <dcterms:created xsi:type="dcterms:W3CDTF">2012-02-15T20:11:21Z</dcterms:created>
  <dcterms:modified xsi:type="dcterms:W3CDTF">2018-08-07T09:05:31Z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0x01010020DECF7569711D4CA2681F69670495AB008E1B053DD11BDD40A1240D22E1438635</vt:lpwstr>
  </property>
  <property fmtid="{D5CDD505-2E9C-101B-9397-08002B2CF9AE}" pid="3" name="_AdHocReviewCycleID">
    <vt:i4>1374126539</vt:i4>
  </property>
  <property fmtid="{D5CDD505-2E9C-101B-9397-08002B2CF9AE}" pid="4" name="_NewReviewCycle">
    <vt:lpwstr/>
  </property>
  <property fmtid="{D5CDD505-2E9C-101B-9397-08002B2CF9AE}" pid="5" name="_EmailSubject">
    <vt:lpwstr>CBA</vt:lpwstr>
  </property>
  <property fmtid="{D5CDD505-2E9C-101B-9397-08002B2CF9AE}" pid="6" name="_AuthorEmail">
    <vt:lpwstr>Martin.Watson@nationalgrid.com</vt:lpwstr>
  </property>
  <property fmtid="{D5CDD505-2E9C-101B-9397-08002B2CF9AE}" pid="7" name="_AuthorEmailDisplayName">
    <vt:lpwstr>Watson, Martin</vt:lpwstr>
  </property>
  <property fmtid="{D5CDD505-2E9C-101B-9397-08002B2CF9AE}" pid="8" name="_PreviousAdHocReviewCycleID">
    <vt:i4>607836515</vt:i4>
  </property>
  <property fmtid="{D5CDD505-2E9C-101B-9397-08002B2CF9AE}" pid="9" name="_ReviewingToolsShownOnce">
    <vt:lpwstr/>
  </property>
  <property fmtid="{D5CDD505-2E9C-101B-9397-08002B2CF9AE}" pid="10" name="BJSCc5a055b0-1bed-4579_x">
    <vt:lpwstr/>
  </property>
  <property fmtid="{D5CDD505-2E9C-101B-9397-08002B2CF9AE}" pid="11" name="BJSCdd9eba61-d6b9-469b_x">
    <vt:lpwstr/>
  </property>
  <property fmtid="{D5CDD505-2E9C-101B-9397-08002B2CF9AE}" pid="12" name="BJSCSummaryMarking">
    <vt:lpwstr>This item has no classification</vt:lpwstr>
  </property>
  <property fmtid="{D5CDD505-2E9C-101B-9397-08002B2CF9AE}" pid="13" name="BJSCInternalLabel">
    <vt:lpwstr>&lt;?xml version="1.0" encoding="us-ascii"?&gt;&lt;sisl xmlns:xsi="http://www.w3.org/2001/XMLSchema-instance" xmlns:xsd="http://www.w3.org/2001/XMLSchema" sislVersion="0" policy="973096ae-7329-4b3b-9368-47aeba6959e1" xmlns="http://www.boldonjames.com/2008/01/sie/internal/label" /&gt;</vt:lpwstr>
  </property>
  <property fmtid="{D5CDD505-2E9C-101B-9397-08002B2CF9AE}" pid="14" name="docIndexRef">
    <vt:lpwstr>ac614f66-aef3-423b-8e22-1df012c0d6c1</vt:lpwstr>
  </property>
  <property fmtid="{D5CDD505-2E9C-101B-9397-08002B2CF9AE}" pid="15" name="bjDocumentSecurityLabel">
    <vt:lpwstr>This item has no classification</vt:lpwstr>
  </property>
  <property fmtid="{D5CDD505-2E9C-101B-9397-08002B2CF9AE}" pid="16" name="bjSaver">
    <vt:lpwstr>fy3C6PQSr9fejUEq730YDHmlOKXSVOmV</vt:lpwstr>
  </property>
</Properties>
</file>