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ENERAL\Anthony\"/>
    </mc:Choice>
  </mc:AlternateContent>
  <bookViews>
    <workbookView xWindow="-12" yWindow="-12" windowWidth="14400" windowHeight="11580" tabRatio="926" activeTab="2"/>
  </bookViews>
  <sheets>
    <sheet name="R1 Cover" sheetId="13" r:id="rId1"/>
    <sheet name="R2 Schematic" sheetId="14" r:id="rId2"/>
    <sheet name="R3 Version log" sheetId="15" r:id="rId3"/>
    <sheet name="R4 Licence Condition Values" sheetId="16" r:id="rId4"/>
    <sheet name="R5 Input page" sheetId="17" r:id="rId5"/>
    <sheet name="R6 Base revenue" sheetId="3" r:id="rId6"/>
    <sheet name="R7 pass through" sheetId="4" r:id="rId7"/>
    <sheet name="R8 Output incentives" sheetId="5" r:id="rId8"/>
    <sheet name="R9 Innovation incentive" sheetId="6" r:id="rId9"/>
    <sheet name="R10 Correction" sheetId="7" r:id="rId10"/>
    <sheet name="R11 TIRG" sheetId="18" r:id="rId11"/>
    <sheet name="R12 TO MAR" sheetId="2" r:id="rId12"/>
    <sheet name="R13 Excluded Revenue" sheetId="11" r:id="rId13"/>
    <sheet name="R14 Rec to Stat Ac" sheetId="10" r:id="rId14"/>
  </sheets>
  <externalReferences>
    <externalReference r:id="rId15"/>
    <externalReference r:id="rId16"/>
    <externalReference r:id="rId17"/>
  </externalReferences>
  <definedNames>
    <definedName name="ADD">'R5 Input page'!$D$76:$M$76</definedName>
    <definedName name="ADDSF6">'[1]R5 Input page'!$F$98:$M$98</definedName>
    <definedName name="AFFTIRG">'R5 Input page'!$F$101:$M$101</definedName>
    <definedName name="AFFTIRG2">'R5 Input page'!$F$110:$M$110</definedName>
    <definedName name="AFFTIRG3">'R5 Input page'!$F$119:$M$119</definedName>
    <definedName name="AFFTIRG4">'R5 Input page'!$F$128:$M$128</definedName>
    <definedName name="AFFTIRG5">'R5 Input page'!$F$137:$M$137</definedName>
    <definedName name="AFFTIRGDepn">'R5 Input page'!$F$102:$M$102</definedName>
    <definedName name="AFFTIRGDepn2">'R5 Input page'!$F$111:$M$111</definedName>
    <definedName name="AFFTIRGDepn3">'R5 Input page'!$F$120:$M$120</definedName>
    <definedName name="AFFTIRGDepn4">'R5 Input page'!$F$129:$M$129</definedName>
    <definedName name="AFFTIRGDepn5">'R5 Input page'!$F$138:$M$138</definedName>
    <definedName name="ALE">'R5 Input page'!$D$80:$M$80</definedName>
    <definedName name="ANIA">'R9 Innovation incentive'!$F$27:$M$27</definedName>
    <definedName name="ATIRG">'R5 Input page'!$F$105:$M$105</definedName>
    <definedName name="ATIRG2">'R5 Input page'!$F$114:$M$114</definedName>
    <definedName name="ATIRG3">'R5 Input page'!$F$123:$M$123</definedName>
    <definedName name="ATIRG4">'R5 Input page'!$F$132:$M$132</definedName>
    <definedName name="ATIRG5">'R5 Input page'!$F$141:$M$141</definedName>
    <definedName name="BASE">'R5 Input page'!$E$75</definedName>
    <definedName name="BPC">'R5 Input page'!$F$93:$M$93</definedName>
    <definedName name="BR" comment="Transmission Base Revenue">'R6 Base revenue'!$F$14:$M$14</definedName>
    <definedName name="CCTIRG">'R4 Licence Condition Values'!$D$82:$M$82</definedName>
    <definedName name="CF">'R4 Licence Condition Values'!$F$45:$M$45</definedName>
    <definedName name="CFTIRG1">'R4 Licence Condition Values'!$F$75:$M$75</definedName>
    <definedName name="CFTIRG2">'R4 Licence Condition Values'!$F$86:$M$86</definedName>
    <definedName name="CFTIRG3">'R4 Licence Condition Values'!$F$96:$M$96</definedName>
    <definedName name="cftirg4">'R4 Licence Condition Values'!$F$106:$M$106</definedName>
    <definedName name="CFTIRG5">'R4 Licence Condition Values'!$F$116:$M$116</definedName>
    <definedName name="CompName">'R5 Input page'!$E$6</definedName>
    <definedName name="CONADJ">'R8 Output incentives'!$H$151:$M$151</definedName>
    <definedName name="CSSPRO">'R4 Licence Condition Values'!#REF!</definedName>
    <definedName name="CTE">'R5 Input page'!#REF!</definedName>
    <definedName name="Dep">'R4 Licence Condition Values'!$E$79:$M$79</definedName>
    <definedName name="Dep_3">'R4 Licence Condition Values'!$F$100:$M$100</definedName>
    <definedName name="Dep_4">'R4 Licence Condition Values'!$F$110:$M$110</definedName>
    <definedName name="Dep_5">'R4 Licence Condition Values'!$F$120:$M$120</definedName>
    <definedName name="DIS">'R5 Input page'!#REF!</definedName>
    <definedName name="DSP">'R5 Input page'!$D$78:$M$78</definedName>
    <definedName name="EDR">'R8 Output incentives'!$F$137:$M$137</definedName>
    <definedName name="EDRO">'R5 Input page'!$F$83:$M$83</definedName>
    <definedName name="ENIA">'R5 Input page'!$F$92:$M$92</definedName>
    <definedName name="ENSA">'R5 Input page'!$D$61:$M$61</definedName>
    <definedName name="ENST">'R4 Licence Condition Values'!$D$23:$M$23</definedName>
    <definedName name="ETIRGC">'R4 Licence Condition Values'!$E$80:$M$80</definedName>
    <definedName name="ETIRGC2">'R4 Licence Condition Values'!$F$91:$M$91</definedName>
    <definedName name="ETIRGC3">'R4 Licence Condition Values'!$F$101:$M$101</definedName>
    <definedName name="ETIRGC4">'R4 Licence Condition Values'!$F$111:$M$111</definedName>
    <definedName name="ETIRGC5">'R4 Licence Condition Values'!$F$121:$M$121</definedName>
    <definedName name="ETIRGORAV">'R4 Licence Condition Values'!$E$78:$M$78</definedName>
    <definedName name="ETIRGORAV2">'R4 Licence Condition Values'!$F$89:$M$89</definedName>
    <definedName name="ETIRGORAV3">'R4 Licence Condition Values'!$F$99:$M$99</definedName>
    <definedName name="ETIRGORAV4">'R4 Licence Condition Values'!$F$109:$M$109</definedName>
    <definedName name="ETIRGORAV5">'R4 Licence Condition Values'!$F$119:$M$119</definedName>
    <definedName name="FactAA">'R5 Input page'!#REF!</definedName>
    <definedName name="FactBB">'R5 Input page'!#REF!</definedName>
    <definedName name="FactX">'R5 Input page'!#REF!</definedName>
    <definedName name="FactY">'R5 Input page'!#REF!</definedName>
    <definedName name="FactZ">'R5 Input page'!#REF!</definedName>
    <definedName name="FTIRG2">'R4 Licence Condition Values'!$F$87:$M$87</definedName>
    <definedName name="FTIRGC">'R4 Licence Condition Values'!$F$76:$M$76</definedName>
    <definedName name="FTIRGC3">'R4 Licence Condition Values'!$F$97:$M$97</definedName>
    <definedName name="FTIRGC4">'R4 Licence Condition Values'!$F$107:$M$107</definedName>
    <definedName name="FTIRGC5">'R4 Licence Condition Values'!$F$117:$M$117</definedName>
    <definedName name="FTIRGDepn">'R4 Licence Condition Values'!$F$77:$M$77</definedName>
    <definedName name="FTIRGDepn2">'R4 Licence Condition Values'!$F$88:$M$88</definedName>
    <definedName name="FTIRGDepn3">'R4 Licence Condition Values'!$F$98:$M$98</definedName>
    <definedName name="FTIRGDepn4">'R4 Licence Condition Values'!$F$108:$M$108</definedName>
    <definedName name="FTIRGDEPN5">'R4 Licence Condition Values'!$F$118:$M$118</definedName>
    <definedName name="FYADD">'R5 Input page'!$F$77:$M$77</definedName>
    <definedName name="FYDSP">'R5 Input page'!$F$79:$M$79</definedName>
    <definedName name="It">'R5 Input page'!$E$45:$M$45</definedName>
    <definedName name="KPI">'R5 Input page'!#REF!</definedName>
    <definedName name="Kt">'R10 Correction'!$D$18:$M$18</definedName>
    <definedName name="MOD">'R5 Input page'!$F$25:$M$25</definedName>
    <definedName name="NIA">'R9 Innovation incentive'!$F$17:$M$17</definedName>
    <definedName name="NIAIE">'R5 Input page'!$F$96:$M$96</definedName>
    <definedName name="NIAINT">'[1]R5 Input page'!$F$105:$M$105</definedName>
    <definedName name="NIAR">'R5 Input page'!$F$94:$M$94</definedName>
    <definedName name="NIAV">'R4 Licence Condition Values'!$F$42:$M$42</definedName>
    <definedName name="NICF">'R5 Input page'!$F$95:$M$95</definedName>
    <definedName name="NTPC">'R5 Input page'!$D$81:$M$81</definedName>
    <definedName name="OIP">'R8 Output incentives'!$F$14:$M$14</definedName>
    <definedName name="_xlnm.Print_Area" localSheetId="9">'R10 Correction'!$A$1:$N$30</definedName>
    <definedName name="_xlnm.Print_Area" localSheetId="10">'R11 TIRG'!$A$1:$O$307</definedName>
    <definedName name="_xlnm.Print_Area" localSheetId="11">'R12 TO MAR'!$A$1:$N$23</definedName>
    <definedName name="_xlnm.Print_Area" localSheetId="3">'R4 Licence Condition Values'!$A$1:$N$123</definedName>
    <definedName name="_xlnm.Print_Area" localSheetId="4">'R5 Input page'!$A$1:$N$143</definedName>
    <definedName name="_xlnm.Print_Area" localSheetId="5">'R6 Base revenue'!$A$1:$N$117</definedName>
    <definedName name="_xlnm.Print_Area" localSheetId="6">'R7 pass through'!$A$1:$N$55</definedName>
    <definedName name="_xlnm.Print_Area" localSheetId="7">'R8 Output incentives'!$A$1:$N$132</definedName>
    <definedName name="_xlnm.Print_Area" localSheetId="8">'R9 Innovation incentive'!$A$1:$N$41</definedName>
    <definedName name="PTIS">'R8 Output incentives'!$F$130:$M$130</definedName>
    <definedName name="PTRA">'R4 Licence Condition Values'!$F$70:$M$70</definedName>
    <definedName name="PTt" comment="Pass through Items">'R7 pass through'!$F$12:$M$12</definedName>
    <definedName name="PU">'R4 Licence Condition Values'!$F$9:$M$9</definedName>
    <definedName name="PVF">'R5 Input page'!$E$42:$M$42</definedName>
    <definedName name="RBA">'R5 Input page'!$D$49:$M$49</definedName>
    <definedName name="RBE">'R4 Licence Condition Values'!$D$12:$M$12</definedName>
    <definedName name="RBt">'R7 pass through'!$E$10:$M$10</definedName>
    <definedName name="RegYr">'R5 Input page'!$F$7</definedName>
    <definedName name="REV">'R6 Base revenue'!$E$78:$M$78</definedName>
    <definedName name="RI">'R8 Output incentives'!$E$32:$M$32</definedName>
    <definedName name="RIDPA">'R4 Licence Condition Values'!$F$24:$M$24</definedName>
    <definedName name="RILEG">'R5 Input page'!$F$55</definedName>
    <definedName name="RPIA">'R5 Input page'!$D$10:$M$10</definedName>
    <definedName name="RPIF">'R6 Base revenue'!$E$30:$M$30</definedName>
    <definedName name="SAFTIRG">'R5 Input page'!$F$103:$M$103</definedName>
    <definedName name="SAFTIRG1">'R5 Input page'!$D$103:$M$103</definedName>
    <definedName name="SAFTIRG2">'R5 Input page'!$F$112:$M$112</definedName>
    <definedName name="SAFTIRG3">'R5 Input page'!$F$121:$M$121</definedName>
    <definedName name="SAFTIRG4">'R5 Input page'!$F$130:$M$130</definedName>
    <definedName name="SAFTIRG5">'R5 Input page'!$F$139:$M$139</definedName>
    <definedName name="SEA">'R5 Input page'!$F$67:$M$67</definedName>
    <definedName name="SEAPRO">'R4 Licence Condition Values'!$F$65:$M$65</definedName>
    <definedName name="SER">'R5 Input page'!$F$65:$M$65</definedName>
    <definedName name="SERLIMIT">'R4 Licence Condition Values'!$F$54:$M$54</definedName>
    <definedName name="SFI">'R8 Output incentives'!$E$121:$M$121</definedName>
    <definedName name="SHCP">'[2]R8 Output incentives'!$F$149:$M$149</definedName>
    <definedName name="SKPI">'R8 Output incentives'!$F$107:$M$107</definedName>
    <definedName name="SKPIC">'R5 Input page'!$F$66:$M$66</definedName>
    <definedName name="SKPICAP">'R4 Licence Condition Values'!$F$59:$M$59</definedName>
    <definedName name="SKPICOL">'R4 Licence Condition Values'!$F$61:$M$61</definedName>
    <definedName name="SKPIDPA">'R4 Licence Condition Values'!$F$62:$M$62</definedName>
    <definedName name="SKPIPRO">'R4 Licence Condition Values'!$F$63:$M$63</definedName>
    <definedName name="SKPIT">'R4 Licence Condition Values'!$F$58:$M$58</definedName>
    <definedName name="SKPIUPA">'R4 Licence Condition Values'!$F$60:$M$60</definedName>
    <definedName name="SOMOD">'R5 Input page'!$F$28:$M$28</definedName>
    <definedName name="SOPU">'R4 Licence Condition Values'!$F$10:$M$10</definedName>
    <definedName name="SS">'R8 Output incentives'!#REF!</definedName>
    <definedName name="SSC">'R5 Input page'!$F$64:$M$64</definedName>
    <definedName name="SSCAP">'R4 Licence Condition Values'!$F$50:$M$50</definedName>
    <definedName name="SSCOL">'R4 Licence Condition Values'!$F$51:$M$51</definedName>
    <definedName name="SSDPA">'R4 Licence Condition Values'!$F$53:$M$53</definedName>
    <definedName name="SSI">'R8 Output incentives'!$F$83:$M$83</definedName>
    <definedName name="SSO">'R8 Output incentives'!$F$64:$M$64</definedName>
    <definedName name="SSPRO">'R4 Licence Condition Values'!$F$55:$M$55</definedName>
    <definedName name="SSSCAP">'R4 Licence Condition Values'!#REF!</definedName>
    <definedName name="SSSCOL">'R4 Licence Condition Values'!#REF!</definedName>
    <definedName name="SSSDPA">'R4 Licence Condition Values'!#REF!</definedName>
    <definedName name="SSSP">'[3]R5 Input page'!$D$81:$M$81</definedName>
    <definedName name="SSST">'R4 Licence Condition Values'!#REF!</definedName>
    <definedName name="SSSUPA">'R4 Licence Condition Values'!#REF!</definedName>
    <definedName name="SST">'R4 Licence Condition Values'!$F$49:$M$49</definedName>
    <definedName name="SSUPA">'R4 Licence Condition Values'!$F$52:$M$52</definedName>
    <definedName name="SubTIRG">'R11 TIRG'!$E$12:$M$12</definedName>
    <definedName name="TIRG">'R11 TIRG'!$E$16:$M$16</definedName>
    <definedName name="TIRGIncAdj">'R5 Input page'!$F$104:$M$104</definedName>
    <definedName name="TIRGIncAdj2">'R5 Input page'!$F$113:$M$113</definedName>
    <definedName name="TIRGIncAdj3">'R5 Input page'!$F$122:$M$122</definedName>
    <definedName name="TIRGIncAdj4">'R5 Input page'!$F$131:$M$131</definedName>
    <definedName name="TIRGIncAdj5">'R5 Input page'!$F$140:$M$140</definedName>
    <definedName name="TIS">'R4 Licence Condition Values'!$D$40:$M$40</definedName>
    <definedName name="TNR">'R5 Input page'!$D$33:$M$33</definedName>
    <definedName name="TO">'R12 TO MAR'!$F$16:$M$16</definedName>
    <definedName name="TOTO">'R5 Input page'!$F$88:$M$88</definedName>
    <definedName name="TPA">'R5 Input page'!$E$51:$M$51</definedName>
    <definedName name="TPD">'R7 pass through'!$E$11:$M$11</definedName>
    <definedName name="TR">'R5 Input page'!$D$70:$M$70</definedName>
    <definedName name="TS">'R5 Input page'!#REF!</definedName>
    <definedName name="UNTO">'R5 Input page'!$F$87:$M$87</definedName>
    <definedName name="VOLL">'R4 Licence Condition Values'!$F$22:$M$22</definedName>
    <definedName name="WACC">'R5 Input page'!$E$41:$M$41</definedName>
  </definedNames>
  <calcPr calcId="162913"/>
</workbook>
</file>

<file path=xl/calcChain.xml><?xml version="1.0" encoding="utf-8"?>
<calcChain xmlns="http://schemas.openxmlformats.org/spreadsheetml/2006/main">
  <c r="G80" i="5" l="1"/>
  <c r="H80" i="5"/>
  <c r="I80" i="5"/>
  <c r="J80" i="5"/>
  <c r="K80" i="5"/>
  <c r="L80" i="5"/>
  <c r="M80" i="5"/>
  <c r="F80" i="5"/>
  <c r="G81" i="5"/>
  <c r="H81" i="5"/>
  <c r="I81" i="5"/>
  <c r="J81" i="5"/>
  <c r="K81" i="5"/>
  <c r="L81" i="5"/>
  <c r="M81" i="5"/>
  <c r="F81" i="5"/>
  <c r="G77" i="5"/>
  <c r="H77" i="5"/>
  <c r="I77" i="5"/>
  <c r="J77" i="5"/>
  <c r="K77" i="5"/>
  <c r="L77" i="5"/>
  <c r="M77" i="5"/>
  <c r="F77" i="5"/>
  <c r="G106" i="5"/>
  <c r="H106" i="5"/>
  <c r="I106" i="5"/>
  <c r="J106" i="5"/>
  <c r="K106" i="5"/>
  <c r="L106" i="5"/>
  <c r="M106" i="5"/>
  <c r="F106" i="5"/>
  <c r="G105" i="5"/>
  <c r="H105" i="5"/>
  <c r="I105" i="5"/>
  <c r="J105" i="5"/>
  <c r="K105" i="5"/>
  <c r="L105" i="5"/>
  <c r="M105" i="5"/>
  <c r="F105" i="5"/>
  <c r="G104" i="5"/>
  <c r="H104" i="5"/>
  <c r="I104" i="5"/>
  <c r="J104" i="5"/>
  <c r="K104" i="5"/>
  <c r="L104" i="5"/>
  <c r="M104" i="5"/>
  <c r="F104" i="5"/>
  <c r="G103" i="5"/>
  <c r="H103" i="5"/>
  <c r="I103" i="5"/>
  <c r="J103" i="5"/>
  <c r="K103" i="5"/>
  <c r="L103" i="5"/>
  <c r="M103" i="5"/>
  <c r="F103" i="5"/>
  <c r="G102" i="5"/>
  <c r="H102" i="5"/>
  <c r="I102" i="5"/>
  <c r="J102" i="5"/>
  <c r="K102" i="5"/>
  <c r="L102" i="5"/>
  <c r="M102" i="5"/>
  <c r="F102" i="5"/>
  <c r="G101" i="5"/>
  <c r="H101" i="5"/>
  <c r="H78" i="5" s="1"/>
  <c r="I101" i="5"/>
  <c r="J101" i="5"/>
  <c r="J107" i="5" s="1"/>
  <c r="J78" i="5" s="1"/>
  <c r="K101" i="5"/>
  <c r="L101" i="5"/>
  <c r="L107" i="5" s="1"/>
  <c r="L78" i="5" s="1"/>
  <c r="M101" i="5"/>
  <c r="M107" i="5" s="1"/>
  <c r="M78" i="5" s="1"/>
  <c r="F101" i="5"/>
  <c r="G74" i="5"/>
  <c r="H74" i="5"/>
  <c r="I74" i="5"/>
  <c r="J74" i="5"/>
  <c r="K74" i="5"/>
  <c r="L74" i="5"/>
  <c r="M74" i="5"/>
  <c r="F74" i="5"/>
  <c r="F89" i="5"/>
  <c r="F90" i="5"/>
  <c r="G93" i="5"/>
  <c r="H93" i="5"/>
  <c r="I93" i="5"/>
  <c r="J93" i="5"/>
  <c r="K93" i="5"/>
  <c r="L93" i="5"/>
  <c r="M93" i="5"/>
  <c r="F93" i="5"/>
  <c r="G92" i="5"/>
  <c r="H92" i="5"/>
  <c r="I92" i="5"/>
  <c r="J92" i="5"/>
  <c r="K92" i="5"/>
  <c r="L92" i="5"/>
  <c r="M92" i="5"/>
  <c r="F92" i="5"/>
  <c r="G91" i="5"/>
  <c r="H91" i="5"/>
  <c r="I91" i="5"/>
  <c r="J91" i="5"/>
  <c r="K91" i="5"/>
  <c r="L91" i="5"/>
  <c r="M91" i="5"/>
  <c r="F91" i="5"/>
  <c r="G90" i="5"/>
  <c r="H90" i="5"/>
  <c r="I90" i="5"/>
  <c r="J90" i="5"/>
  <c r="K90" i="5"/>
  <c r="L90" i="5"/>
  <c r="M90" i="5"/>
  <c r="G89" i="5"/>
  <c r="H89" i="5"/>
  <c r="I89" i="5"/>
  <c r="J89" i="5"/>
  <c r="K89" i="5"/>
  <c r="L89" i="5"/>
  <c r="M89" i="5"/>
  <c r="G94" i="5"/>
  <c r="H94" i="5"/>
  <c r="I94" i="5"/>
  <c r="J94" i="5"/>
  <c r="J95" i="5" s="1"/>
  <c r="J75" i="5" s="1"/>
  <c r="K94" i="5"/>
  <c r="L94" i="5"/>
  <c r="M94" i="5"/>
  <c r="F94" i="5"/>
  <c r="L95" i="5" l="1"/>
  <c r="L75" i="5" s="1"/>
  <c r="G78" i="5"/>
  <c r="I107" i="5"/>
  <c r="I78" i="5" s="1"/>
  <c r="K107" i="5"/>
  <c r="K78" i="5" s="1"/>
  <c r="F78" i="5"/>
  <c r="F79" i="5" s="1"/>
  <c r="M95" i="5"/>
  <c r="M75" i="5" s="1"/>
  <c r="K95" i="5"/>
  <c r="K75" i="5" s="1"/>
  <c r="I95" i="5"/>
  <c r="I75" i="5" s="1"/>
  <c r="H75" i="5"/>
  <c r="G75" i="5"/>
  <c r="F75" i="5"/>
  <c r="F82" i="5" l="1"/>
  <c r="M164" i="5" l="1"/>
  <c r="L164" i="5"/>
  <c r="K164" i="5"/>
  <c r="J164" i="5"/>
  <c r="I164" i="5"/>
  <c r="H164" i="5"/>
  <c r="G164" i="5"/>
  <c r="F164" i="5"/>
  <c r="M163" i="5"/>
  <c r="L163" i="5"/>
  <c r="K163" i="5"/>
  <c r="J163" i="5"/>
  <c r="I163" i="5"/>
  <c r="H163" i="5"/>
  <c r="G163" i="5"/>
  <c r="F163" i="5"/>
  <c r="F162" i="5"/>
  <c r="G159" i="5" s="1"/>
  <c r="M161" i="5"/>
  <c r="L161" i="5"/>
  <c r="K161" i="5"/>
  <c r="J161" i="5"/>
  <c r="I161" i="5"/>
  <c r="H161" i="5"/>
  <c r="G161" i="5"/>
  <c r="F161" i="5"/>
  <c r="M160" i="5"/>
  <c r="L160" i="5"/>
  <c r="K160" i="5"/>
  <c r="J160" i="5"/>
  <c r="I160" i="5"/>
  <c r="H160" i="5"/>
  <c r="G160" i="5"/>
  <c r="F160" i="5"/>
  <c r="F165" i="5" l="1"/>
  <c r="F114" i="5" s="1"/>
  <c r="G162" i="5"/>
  <c r="G165" i="5" s="1"/>
  <c r="G114" i="5" s="1"/>
  <c r="H159" i="5" l="1"/>
  <c r="H162" i="5" s="1"/>
  <c r="I159" i="5" s="1"/>
  <c r="I162" i="5" s="1"/>
  <c r="I165" i="5" s="1"/>
  <c r="H165" i="5" l="1"/>
  <c r="H114" i="5" s="1"/>
  <c r="I114" i="5"/>
  <c r="J159" i="5"/>
  <c r="J162" i="5" s="1"/>
  <c r="K159" i="5" l="1"/>
  <c r="K162" i="5" s="1"/>
  <c r="J165" i="5"/>
  <c r="J114" i="5" s="1"/>
  <c r="K165" i="5" l="1"/>
  <c r="K114" i="5" s="1"/>
  <c r="L159" i="5"/>
  <c r="L162" i="5" s="1"/>
  <c r="M159" i="5" l="1"/>
  <c r="M162" i="5" s="1"/>
  <c r="M165" i="5" s="1"/>
  <c r="M114" i="5" s="1"/>
  <c r="L165" i="5"/>
  <c r="L114" i="5" s="1"/>
  <c r="E39" i="4" l="1"/>
  <c r="E55" i="3" l="1"/>
  <c r="H168" i="18" l="1"/>
  <c r="H170" i="18" s="1"/>
  <c r="M29" i="3" l="1"/>
  <c r="L29" i="3"/>
  <c r="L28" i="3"/>
  <c r="K28" i="3"/>
  <c r="K27" i="3"/>
  <c r="J27" i="3"/>
  <c r="J26" i="3"/>
  <c r="I26" i="3"/>
  <c r="I25" i="3"/>
  <c r="H25" i="3"/>
  <c r="H24" i="3" l="1"/>
  <c r="G24" i="3"/>
  <c r="G23" i="3"/>
  <c r="F23" i="3"/>
  <c r="F22" i="3"/>
  <c r="E22" i="3"/>
  <c r="E10" i="17" l="1"/>
  <c r="F10" i="17"/>
  <c r="G10" i="17"/>
  <c r="H10" i="17"/>
  <c r="I10" i="17"/>
  <c r="J10" i="17"/>
  <c r="K10" i="17"/>
  <c r="L10" i="17"/>
  <c r="M10" i="17"/>
  <c r="D10" i="17"/>
  <c r="E42" i="4" l="1"/>
  <c r="E40" i="4"/>
  <c r="E58" i="3"/>
  <c r="E56" i="3"/>
  <c r="E54" i="3"/>
  <c r="E53" i="3"/>
  <c r="F38" i="5" s="1"/>
  <c r="G89" i="18" l="1"/>
  <c r="H89" i="18"/>
  <c r="I89" i="18"/>
  <c r="J89" i="18"/>
  <c r="K89" i="18"/>
  <c r="L89" i="18"/>
  <c r="M89" i="18"/>
  <c r="F89" i="18"/>
  <c r="F26" i="5" l="1"/>
  <c r="G26" i="5"/>
  <c r="G10" i="5"/>
  <c r="F10" i="5"/>
  <c r="G10" i="6" l="1"/>
  <c r="H10" i="6"/>
  <c r="I10" i="6"/>
  <c r="J10" i="6"/>
  <c r="K10" i="6"/>
  <c r="L10" i="6"/>
  <c r="M10" i="6"/>
  <c r="F10" i="6"/>
  <c r="F47" i="5" l="1"/>
  <c r="F46" i="5"/>
  <c r="F45" i="5"/>
  <c r="F44" i="5"/>
  <c r="F43" i="5"/>
  <c r="F42" i="5"/>
  <c r="F50" i="5" l="1"/>
  <c r="F52" i="5" s="1"/>
  <c r="G9" i="5"/>
  <c r="G305" i="18" l="1"/>
  <c r="H305" i="18"/>
  <c r="I305" i="18"/>
  <c r="J305" i="18"/>
  <c r="K305" i="18"/>
  <c r="L305" i="18"/>
  <c r="M305" i="18"/>
  <c r="F305" i="18"/>
  <c r="G304" i="18"/>
  <c r="H304" i="18"/>
  <c r="I304" i="18"/>
  <c r="J304" i="18"/>
  <c r="K304" i="18"/>
  <c r="L304" i="18"/>
  <c r="M304" i="18"/>
  <c r="F304" i="18"/>
  <c r="G246" i="18"/>
  <c r="H246" i="18"/>
  <c r="I246" i="18"/>
  <c r="J246" i="18"/>
  <c r="K246" i="18"/>
  <c r="L246" i="18"/>
  <c r="M246" i="18"/>
  <c r="F246" i="18"/>
  <c r="G245" i="18"/>
  <c r="H245" i="18"/>
  <c r="I245" i="18"/>
  <c r="J245" i="18"/>
  <c r="K245" i="18"/>
  <c r="L245" i="18"/>
  <c r="M245" i="18"/>
  <c r="F245" i="18"/>
  <c r="G189" i="18"/>
  <c r="H189" i="18"/>
  <c r="I189" i="18"/>
  <c r="J189" i="18"/>
  <c r="K189" i="18"/>
  <c r="L189" i="18"/>
  <c r="M189" i="18"/>
  <c r="F189" i="18"/>
  <c r="G188" i="18"/>
  <c r="H188" i="18"/>
  <c r="I188" i="18"/>
  <c r="J188" i="18"/>
  <c r="K188" i="18"/>
  <c r="L188" i="18"/>
  <c r="M188" i="18"/>
  <c r="F188" i="18"/>
  <c r="G130" i="18"/>
  <c r="H130" i="18"/>
  <c r="I130" i="18"/>
  <c r="J130" i="18"/>
  <c r="K130" i="18"/>
  <c r="L130" i="18"/>
  <c r="M130" i="18"/>
  <c r="F130" i="18"/>
  <c r="G129" i="18"/>
  <c r="H129" i="18"/>
  <c r="I129" i="18"/>
  <c r="J129" i="18"/>
  <c r="K129" i="18"/>
  <c r="L129" i="18"/>
  <c r="M129" i="18"/>
  <c r="F129" i="18"/>
  <c r="G79" i="18"/>
  <c r="H79" i="18"/>
  <c r="I79" i="18"/>
  <c r="J79" i="18"/>
  <c r="K79" i="18"/>
  <c r="L79" i="18"/>
  <c r="M79" i="18"/>
  <c r="F79" i="18"/>
  <c r="G73" i="18"/>
  <c r="G14" i="18" s="1"/>
  <c r="H73" i="18"/>
  <c r="H14" i="18" s="1"/>
  <c r="I73" i="18"/>
  <c r="I14" i="18" s="1"/>
  <c r="J73" i="18"/>
  <c r="J14" i="18" s="1"/>
  <c r="K73" i="18"/>
  <c r="K14" i="18" s="1"/>
  <c r="L73" i="18"/>
  <c r="L14" i="18" s="1"/>
  <c r="M73" i="18"/>
  <c r="M14" i="18" s="1"/>
  <c r="F73" i="18"/>
  <c r="F14" i="18" s="1"/>
  <c r="G72" i="18"/>
  <c r="G13" i="18" s="1"/>
  <c r="H72" i="18"/>
  <c r="H13" i="18" s="1"/>
  <c r="I72" i="18"/>
  <c r="I13" i="18" s="1"/>
  <c r="J72" i="18"/>
  <c r="J13" i="18" s="1"/>
  <c r="K72" i="18"/>
  <c r="K13" i="18" s="1"/>
  <c r="L72" i="18"/>
  <c r="L13" i="18" s="1"/>
  <c r="M72" i="18"/>
  <c r="M13" i="18" s="1"/>
  <c r="F72" i="18"/>
  <c r="F13" i="18" s="1"/>
  <c r="G270" i="18" l="1"/>
  <c r="H270" i="18"/>
  <c r="I270" i="18"/>
  <c r="J270" i="18"/>
  <c r="K270" i="18"/>
  <c r="L270" i="18"/>
  <c r="M270" i="18"/>
  <c r="F270" i="18"/>
  <c r="G265" i="18"/>
  <c r="H265" i="18"/>
  <c r="I265" i="18"/>
  <c r="J265" i="18"/>
  <c r="K265" i="18"/>
  <c r="L265" i="18"/>
  <c r="M265" i="18"/>
  <c r="F265" i="18"/>
  <c r="G255" i="18"/>
  <c r="H255" i="18"/>
  <c r="I255" i="18"/>
  <c r="J255" i="18"/>
  <c r="K255" i="18"/>
  <c r="L255" i="18"/>
  <c r="M255" i="18"/>
  <c r="F255" i="18"/>
  <c r="G196" i="18"/>
  <c r="H196" i="18"/>
  <c r="I196" i="18"/>
  <c r="J196" i="18"/>
  <c r="K196" i="18"/>
  <c r="L196" i="18"/>
  <c r="M196" i="18"/>
  <c r="F196" i="18"/>
  <c r="G138" i="18"/>
  <c r="H138" i="18"/>
  <c r="I138" i="18"/>
  <c r="J138" i="18"/>
  <c r="K138" i="18"/>
  <c r="L138" i="18"/>
  <c r="M138" i="18"/>
  <c r="F138" i="18"/>
  <c r="F121" i="18"/>
  <c r="G121" i="18"/>
  <c r="H121" i="18"/>
  <c r="I121" i="18"/>
  <c r="J121" i="18"/>
  <c r="K121" i="18"/>
  <c r="L121" i="18"/>
  <c r="M121" i="18"/>
  <c r="G22" i="18"/>
  <c r="H22" i="18"/>
  <c r="I22" i="18"/>
  <c r="J22" i="18"/>
  <c r="K22" i="18"/>
  <c r="L22" i="18"/>
  <c r="M22" i="18"/>
  <c r="F22" i="18"/>
  <c r="E12" i="7" l="1"/>
  <c r="G35" i="6" l="1"/>
  <c r="H35" i="6"/>
  <c r="I35" i="6"/>
  <c r="J35" i="6"/>
  <c r="K35" i="6"/>
  <c r="L35" i="6"/>
  <c r="M35" i="6"/>
  <c r="F35" i="6"/>
  <c r="M34" i="6"/>
  <c r="L34" i="6"/>
  <c r="K34" i="6"/>
  <c r="J34" i="6"/>
  <c r="I34" i="6"/>
  <c r="H34" i="6"/>
  <c r="G34" i="6"/>
  <c r="F34" i="6"/>
  <c r="G117" i="5"/>
  <c r="H117" i="5"/>
  <c r="I117" i="5"/>
  <c r="J117" i="5"/>
  <c r="K117" i="5"/>
  <c r="L117" i="5"/>
  <c r="M117" i="5"/>
  <c r="F22" i="6"/>
  <c r="G70" i="16"/>
  <c r="H70" i="16" s="1"/>
  <c r="I70" i="16" s="1"/>
  <c r="J70" i="16" s="1"/>
  <c r="K70" i="16" s="1"/>
  <c r="L70" i="16" s="1"/>
  <c r="M70" i="16" s="1"/>
  <c r="M22" i="6" s="1"/>
  <c r="F116" i="5"/>
  <c r="M116" i="5"/>
  <c r="M37" i="6" l="1"/>
  <c r="K37" i="6"/>
  <c r="I37" i="6"/>
  <c r="G37" i="6"/>
  <c r="F37" i="6"/>
  <c r="L37" i="6"/>
  <c r="J37" i="6"/>
  <c r="H37" i="6"/>
  <c r="K22" i="6"/>
  <c r="I22" i="6"/>
  <c r="L116" i="5"/>
  <c r="J116" i="5"/>
  <c r="H116" i="5"/>
  <c r="L22" i="6"/>
  <c r="J22" i="6"/>
  <c r="H22" i="6"/>
  <c r="K116" i="5"/>
  <c r="I116" i="5"/>
  <c r="G116" i="5"/>
  <c r="G22" i="6"/>
  <c r="G226" i="18"/>
  <c r="H226" i="18"/>
  <c r="I226" i="18"/>
  <c r="J226" i="18"/>
  <c r="K226" i="18"/>
  <c r="L226" i="18"/>
  <c r="M226" i="18"/>
  <c r="F226" i="18"/>
  <c r="G224" i="18"/>
  <c r="H224" i="18"/>
  <c r="I224" i="18"/>
  <c r="J224" i="18"/>
  <c r="K224" i="18"/>
  <c r="L224" i="18"/>
  <c r="M224" i="18"/>
  <c r="F224" i="18"/>
  <c r="G271" i="18"/>
  <c r="H271" i="18"/>
  <c r="I271" i="18"/>
  <c r="J271" i="18"/>
  <c r="K271" i="18"/>
  <c r="L271" i="18"/>
  <c r="M271" i="18"/>
  <c r="F271" i="18"/>
  <c r="G266" i="18"/>
  <c r="H266" i="18"/>
  <c r="I266" i="18"/>
  <c r="J266" i="18"/>
  <c r="K266" i="18"/>
  <c r="L266" i="18"/>
  <c r="M266" i="18"/>
  <c r="F266" i="18"/>
  <c r="G283" i="18"/>
  <c r="H283" i="18"/>
  <c r="I283" i="18"/>
  <c r="J283" i="18"/>
  <c r="K283" i="18"/>
  <c r="L283" i="18"/>
  <c r="M283" i="18"/>
  <c r="F283" i="18"/>
  <c r="G285" i="18"/>
  <c r="H285" i="18"/>
  <c r="I285" i="18"/>
  <c r="J285" i="18"/>
  <c r="K285" i="18"/>
  <c r="L285" i="18"/>
  <c r="M285" i="18"/>
  <c r="F285" i="18"/>
  <c r="G286" i="18"/>
  <c r="H286" i="18"/>
  <c r="I286" i="18"/>
  <c r="J286" i="18"/>
  <c r="K286" i="18"/>
  <c r="L286" i="18"/>
  <c r="M286" i="18"/>
  <c r="F286" i="18"/>
  <c r="F287" i="18" s="1"/>
  <c r="G227" i="18"/>
  <c r="H227" i="18"/>
  <c r="I227" i="18"/>
  <c r="J227" i="18"/>
  <c r="K227" i="18"/>
  <c r="L227" i="18"/>
  <c r="M227" i="18"/>
  <c r="F227" i="18"/>
  <c r="G180" i="18"/>
  <c r="H180" i="18"/>
  <c r="I180" i="18"/>
  <c r="J180" i="18"/>
  <c r="K180" i="18"/>
  <c r="L180" i="18"/>
  <c r="M180" i="18"/>
  <c r="F180" i="18"/>
  <c r="G297" i="18"/>
  <c r="H297" i="18"/>
  <c r="I297" i="18"/>
  <c r="J297" i="18"/>
  <c r="K297" i="18"/>
  <c r="L297" i="18"/>
  <c r="M297" i="18"/>
  <c r="F297" i="18"/>
  <c r="G238" i="18"/>
  <c r="H238" i="18"/>
  <c r="I238" i="18"/>
  <c r="J238" i="18"/>
  <c r="K238" i="18"/>
  <c r="L238" i="18"/>
  <c r="M238" i="18"/>
  <c r="F238" i="18"/>
  <c r="G153" i="18"/>
  <c r="H153" i="18"/>
  <c r="I153" i="18"/>
  <c r="J153" i="18"/>
  <c r="K153" i="18"/>
  <c r="L153" i="18"/>
  <c r="M153" i="18"/>
  <c r="F153" i="18"/>
  <c r="G148" i="18"/>
  <c r="H148" i="18"/>
  <c r="I148" i="18"/>
  <c r="J148" i="18"/>
  <c r="K148" i="18"/>
  <c r="L148" i="18"/>
  <c r="M148" i="18"/>
  <c r="F148" i="18"/>
  <c r="G206" i="18" l="1"/>
  <c r="H206" i="18"/>
  <c r="I206" i="18"/>
  <c r="J206" i="18"/>
  <c r="K206" i="18"/>
  <c r="L206" i="18"/>
  <c r="M206" i="18"/>
  <c r="G207" i="18"/>
  <c r="H207" i="18"/>
  <c r="I207" i="18"/>
  <c r="J207" i="18"/>
  <c r="K207" i="18"/>
  <c r="L207" i="18"/>
  <c r="M207" i="18"/>
  <c r="F207" i="18"/>
  <c r="F206" i="18"/>
  <c r="G211" i="18"/>
  <c r="H211" i="18"/>
  <c r="I211" i="18"/>
  <c r="J211" i="18"/>
  <c r="K211" i="18"/>
  <c r="L211" i="18"/>
  <c r="M211" i="18"/>
  <c r="G212" i="18"/>
  <c r="H212" i="18"/>
  <c r="I212" i="18"/>
  <c r="J212" i="18"/>
  <c r="K212" i="18"/>
  <c r="L212" i="18"/>
  <c r="M212" i="18"/>
  <c r="F212" i="18"/>
  <c r="F211" i="18"/>
  <c r="G149" i="18"/>
  <c r="H149" i="18"/>
  <c r="I149" i="18"/>
  <c r="J149" i="18"/>
  <c r="K149" i="18"/>
  <c r="L149" i="18"/>
  <c r="M149" i="18"/>
  <c r="G154" i="18"/>
  <c r="H154" i="18"/>
  <c r="I154" i="18"/>
  <c r="J154" i="18"/>
  <c r="K154" i="18"/>
  <c r="L154" i="18"/>
  <c r="M154" i="18"/>
  <c r="F154" i="18"/>
  <c r="F149" i="18"/>
  <c r="G166" i="18"/>
  <c r="H166" i="18"/>
  <c r="I166" i="18"/>
  <c r="J166" i="18"/>
  <c r="K166" i="18"/>
  <c r="L166" i="18"/>
  <c r="M166" i="18"/>
  <c r="G168" i="18"/>
  <c r="G170" i="18" s="1"/>
  <c r="I168" i="18"/>
  <c r="I170" i="18" s="1"/>
  <c r="J168" i="18"/>
  <c r="J170" i="18" s="1"/>
  <c r="K168" i="18"/>
  <c r="K170" i="18" s="1"/>
  <c r="L168" i="18"/>
  <c r="L170" i="18" s="1"/>
  <c r="M168" i="18"/>
  <c r="M170" i="18" s="1"/>
  <c r="G169" i="18"/>
  <c r="H169" i="18"/>
  <c r="I169" i="18"/>
  <c r="J169" i="18"/>
  <c r="K169" i="18"/>
  <c r="L169" i="18"/>
  <c r="M169" i="18"/>
  <c r="F169" i="18"/>
  <c r="F168" i="18"/>
  <c r="F170" i="18" s="1"/>
  <c r="F166" i="18"/>
  <c r="G107" i="18"/>
  <c r="H107" i="18"/>
  <c r="I107" i="18"/>
  <c r="J107" i="18"/>
  <c r="K107" i="18"/>
  <c r="L107" i="18"/>
  <c r="M107" i="18"/>
  <c r="F107" i="18"/>
  <c r="G109" i="18"/>
  <c r="H109" i="18"/>
  <c r="I109" i="18"/>
  <c r="J109" i="18"/>
  <c r="K109" i="18"/>
  <c r="L109" i="18"/>
  <c r="M109" i="18"/>
  <c r="G110" i="18"/>
  <c r="H110" i="18"/>
  <c r="I110" i="18"/>
  <c r="J110" i="18"/>
  <c r="K110" i="18"/>
  <c r="L110" i="18"/>
  <c r="M110" i="18"/>
  <c r="F109" i="18"/>
  <c r="F111" i="18" s="1"/>
  <c r="G94" i="18"/>
  <c r="H94" i="18"/>
  <c r="I94" i="18"/>
  <c r="J94" i="18"/>
  <c r="K94" i="18"/>
  <c r="L94" i="18"/>
  <c r="M94" i="18"/>
  <c r="F94" i="18"/>
  <c r="G95" i="18"/>
  <c r="H95" i="18"/>
  <c r="I95" i="18"/>
  <c r="J95" i="18"/>
  <c r="K95" i="18"/>
  <c r="L95" i="18"/>
  <c r="M95" i="18"/>
  <c r="F95" i="18"/>
  <c r="G90" i="18"/>
  <c r="H90" i="18"/>
  <c r="I90" i="18"/>
  <c r="J90" i="18"/>
  <c r="K90" i="18"/>
  <c r="L90" i="18"/>
  <c r="M90" i="18"/>
  <c r="F90" i="18"/>
  <c r="G32" i="18"/>
  <c r="H32" i="18"/>
  <c r="I32" i="18"/>
  <c r="J32" i="18"/>
  <c r="K32" i="18"/>
  <c r="L32" i="18"/>
  <c r="M32" i="18"/>
  <c r="F32" i="18"/>
  <c r="G52" i="18"/>
  <c r="G33" i="18" l="1"/>
  <c r="H33" i="18"/>
  <c r="I33" i="18"/>
  <c r="J33" i="18"/>
  <c r="K33" i="18"/>
  <c r="L33" i="18"/>
  <c r="M33" i="18"/>
  <c r="F33" i="18"/>
  <c r="F38" i="18"/>
  <c r="F110" i="18"/>
  <c r="G37" i="18"/>
  <c r="H37" i="18"/>
  <c r="I37" i="18"/>
  <c r="J37" i="18"/>
  <c r="K37" i="18"/>
  <c r="L37" i="18"/>
  <c r="M37" i="18"/>
  <c r="F37" i="18"/>
  <c r="F42" i="17" l="1"/>
  <c r="G42" i="17"/>
  <c r="G119" i="5" s="1"/>
  <c r="H42" i="17"/>
  <c r="H119" i="5" s="1"/>
  <c r="I42" i="17"/>
  <c r="I119" i="5" s="1"/>
  <c r="J42" i="17"/>
  <c r="J119" i="5" s="1"/>
  <c r="K42" i="17"/>
  <c r="K119" i="5" s="1"/>
  <c r="L42" i="17"/>
  <c r="L119" i="5" s="1"/>
  <c r="M42" i="17"/>
  <c r="M119" i="5" s="1"/>
  <c r="E42" i="17"/>
  <c r="E41" i="4" s="1"/>
  <c r="G30" i="5" l="1"/>
  <c r="H30" i="5"/>
  <c r="I30" i="5"/>
  <c r="J30" i="5"/>
  <c r="K30" i="5"/>
  <c r="L30" i="5"/>
  <c r="M30" i="5"/>
  <c r="F30" i="5"/>
  <c r="G39" i="4"/>
  <c r="H39" i="4"/>
  <c r="I39" i="4"/>
  <c r="J39" i="4"/>
  <c r="K39" i="4"/>
  <c r="L39" i="4"/>
  <c r="M39" i="4"/>
  <c r="F39" i="4"/>
  <c r="F119" i="5"/>
  <c r="G115" i="5"/>
  <c r="H115" i="5"/>
  <c r="I115" i="5"/>
  <c r="J115" i="5"/>
  <c r="K115" i="5"/>
  <c r="L115" i="5"/>
  <c r="M115" i="5"/>
  <c r="F115" i="5"/>
  <c r="H79" i="5" l="1"/>
  <c r="H76" i="5"/>
  <c r="G76" i="5"/>
  <c r="M82" i="5"/>
  <c r="K82" i="5"/>
  <c r="I82" i="5"/>
  <c r="G82" i="5"/>
  <c r="L82" i="5"/>
  <c r="J82" i="5"/>
  <c r="H82" i="5"/>
  <c r="G150" i="5"/>
  <c r="H150" i="5"/>
  <c r="I150" i="5"/>
  <c r="J150" i="5"/>
  <c r="K150" i="5"/>
  <c r="L150" i="5"/>
  <c r="M150" i="5"/>
  <c r="G145" i="5"/>
  <c r="H145" i="5"/>
  <c r="I145" i="5"/>
  <c r="J145" i="5"/>
  <c r="K145" i="5"/>
  <c r="L145" i="5"/>
  <c r="M145" i="5"/>
  <c r="G146" i="5"/>
  <c r="H146" i="5"/>
  <c r="I146" i="5"/>
  <c r="J146" i="5"/>
  <c r="K146" i="5"/>
  <c r="M151" i="5" s="1"/>
  <c r="M13" i="5" s="1"/>
  <c r="L146" i="5"/>
  <c r="M146" i="5"/>
  <c r="F150" i="5"/>
  <c r="F146" i="5"/>
  <c r="F145" i="5"/>
  <c r="K151" i="5" l="1"/>
  <c r="K13" i="5" s="1"/>
  <c r="L151" i="5"/>
  <c r="L13" i="5" s="1"/>
  <c r="J76" i="5"/>
  <c r="L76" i="5"/>
  <c r="I76" i="5"/>
  <c r="K76" i="5"/>
  <c r="M76" i="5"/>
  <c r="J79" i="5"/>
  <c r="I79" i="5"/>
  <c r="K79" i="5"/>
  <c r="M79" i="5"/>
  <c r="G79" i="5"/>
  <c r="L79" i="5"/>
  <c r="M287" i="18"/>
  <c r="L287" i="18"/>
  <c r="K287" i="18"/>
  <c r="J287" i="18"/>
  <c r="I287" i="18"/>
  <c r="H287" i="18"/>
  <c r="M282" i="18"/>
  <c r="L282" i="18"/>
  <c r="K282" i="18"/>
  <c r="J282" i="18"/>
  <c r="I282" i="18"/>
  <c r="H282" i="18"/>
  <c r="G282" i="18"/>
  <c r="F282" i="18"/>
  <c r="M264" i="18"/>
  <c r="L264" i="18"/>
  <c r="K264" i="18"/>
  <c r="J264" i="18"/>
  <c r="I264" i="18"/>
  <c r="H264" i="18"/>
  <c r="G264" i="18"/>
  <c r="F264" i="18"/>
  <c r="M228" i="18"/>
  <c r="L228" i="18"/>
  <c r="K228" i="18"/>
  <c r="J228" i="18"/>
  <c r="I228" i="18"/>
  <c r="H228" i="18"/>
  <c r="F228" i="18"/>
  <c r="M223" i="18"/>
  <c r="L223" i="18"/>
  <c r="K223" i="18"/>
  <c r="J223" i="18"/>
  <c r="I223" i="18"/>
  <c r="H223" i="18"/>
  <c r="G223" i="18"/>
  <c r="F223" i="18"/>
  <c r="M205" i="18"/>
  <c r="L205" i="18"/>
  <c r="K205" i="18"/>
  <c r="J205" i="18"/>
  <c r="I205" i="18"/>
  <c r="H205" i="18"/>
  <c r="G205" i="18"/>
  <c r="F205" i="18"/>
  <c r="M165" i="18"/>
  <c r="L165" i="18"/>
  <c r="K165" i="18"/>
  <c r="J165" i="18"/>
  <c r="I165" i="18"/>
  <c r="H165" i="18"/>
  <c r="G165" i="18"/>
  <c r="F165" i="18"/>
  <c r="M147" i="18"/>
  <c r="L147" i="18"/>
  <c r="K147" i="18"/>
  <c r="J147" i="18"/>
  <c r="I147" i="18"/>
  <c r="H147" i="18"/>
  <c r="G147" i="18"/>
  <c r="F147" i="18"/>
  <c r="M111" i="18"/>
  <c r="M122" i="18" s="1"/>
  <c r="L111" i="18"/>
  <c r="L122" i="18" s="1"/>
  <c r="K111" i="18"/>
  <c r="K122" i="18" s="1"/>
  <c r="J111" i="18"/>
  <c r="J122" i="18" s="1"/>
  <c r="I111" i="18"/>
  <c r="I122" i="18" s="1"/>
  <c r="H111" i="18"/>
  <c r="H122" i="18" s="1"/>
  <c r="G111" i="18"/>
  <c r="G122" i="18" s="1"/>
  <c r="F122" i="18"/>
  <c r="M106" i="18"/>
  <c r="L106" i="18"/>
  <c r="K106" i="18"/>
  <c r="J106" i="18"/>
  <c r="I106" i="18"/>
  <c r="H106" i="18"/>
  <c r="G106" i="18"/>
  <c r="F106" i="18"/>
  <c r="M88" i="18"/>
  <c r="L88" i="18"/>
  <c r="K88" i="18"/>
  <c r="J88" i="18"/>
  <c r="I88" i="18"/>
  <c r="H88" i="18"/>
  <c r="G88" i="18"/>
  <c r="F88" i="18"/>
  <c r="I298" i="18" l="1"/>
  <c r="K298" i="18"/>
  <c r="M298" i="18"/>
  <c r="H298" i="18"/>
  <c r="J298" i="18"/>
  <c r="L298" i="18"/>
  <c r="F298" i="18"/>
  <c r="I239" i="18"/>
  <c r="K239" i="18"/>
  <c r="M239" i="18"/>
  <c r="H239" i="18"/>
  <c r="J239" i="18"/>
  <c r="L239" i="18"/>
  <c r="F239" i="18"/>
  <c r="H181" i="18"/>
  <c r="J181" i="18"/>
  <c r="L181" i="18"/>
  <c r="I181" i="18"/>
  <c r="K181" i="18"/>
  <c r="M181" i="18"/>
  <c r="F181" i="18"/>
  <c r="G228" i="18"/>
  <c r="G287" i="18"/>
  <c r="M10" i="7"/>
  <c r="L10" i="7"/>
  <c r="K10" i="7"/>
  <c r="J10" i="7"/>
  <c r="I10" i="7"/>
  <c r="I11" i="10" s="1"/>
  <c r="H10" i="7"/>
  <c r="G10" i="7"/>
  <c r="F10" i="7"/>
  <c r="K13" i="10" l="1"/>
  <c r="G298" i="18"/>
  <c r="G239" i="18"/>
  <c r="G181" i="18"/>
  <c r="E13" i="7"/>
  <c r="F17" i="7" s="1"/>
  <c r="E15" i="7"/>
  <c r="G15" i="7"/>
  <c r="E83" i="3"/>
  <c r="G83" i="3"/>
  <c r="H83" i="3"/>
  <c r="I83" i="3"/>
  <c r="J83" i="3"/>
  <c r="K83" i="3"/>
  <c r="L83" i="3"/>
  <c r="M83" i="3"/>
  <c r="F83" i="3"/>
  <c r="F53" i="18"/>
  <c r="G53" i="18"/>
  <c r="H53" i="18"/>
  <c r="I53" i="18"/>
  <c r="J53" i="18"/>
  <c r="K53" i="18"/>
  <c r="L53" i="18"/>
  <c r="M53" i="18"/>
  <c r="F52" i="18"/>
  <c r="F54" i="18" s="1"/>
  <c r="G54" i="18"/>
  <c r="H52" i="18"/>
  <c r="H54" i="18" s="1"/>
  <c r="H65" i="18" s="1"/>
  <c r="I52" i="18"/>
  <c r="I54" i="18" s="1"/>
  <c r="J52" i="18"/>
  <c r="J54" i="18" s="1"/>
  <c r="J65" i="18" s="1"/>
  <c r="K52" i="18"/>
  <c r="K54" i="18" s="1"/>
  <c r="L52" i="18"/>
  <c r="L54" i="18" s="1"/>
  <c r="L65" i="18" s="1"/>
  <c r="M52" i="18"/>
  <c r="M54" i="18" s="1"/>
  <c r="F64" i="18"/>
  <c r="G64" i="18"/>
  <c r="H64" i="18"/>
  <c r="I64" i="18"/>
  <c r="J64" i="18"/>
  <c r="K64" i="18"/>
  <c r="L64" i="18"/>
  <c r="M64" i="18"/>
  <c r="D6" i="10"/>
  <c r="F50" i="18"/>
  <c r="G50" i="18"/>
  <c r="H50" i="18"/>
  <c r="I50" i="18"/>
  <c r="J50" i="18"/>
  <c r="K50" i="18"/>
  <c r="L50" i="18"/>
  <c r="M50" i="18"/>
  <c r="F21" i="5" l="1"/>
  <c r="F32" i="5" s="1"/>
  <c r="F65" i="18"/>
  <c r="E85" i="3"/>
  <c r="E40" i="3" s="1"/>
  <c r="E14" i="7"/>
  <c r="F18" i="7" s="1"/>
  <c r="M65" i="18"/>
  <c r="K65" i="18"/>
  <c r="I65" i="18"/>
  <c r="G65" i="18"/>
  <c r="G38" i="18"/>
  <c r="H38" i="18"/>
  <c r="I38" i="18"/>
  <c r="J38" i="18"/>
  <c r="K38" i="18"/>
  <c r="L38" i="18"/>
  <c r="M38" i="18"/>
  <c r="F9" i="5" l="1"/>
  <c r="F75" i="3"/>
  <c r="M49" i="18"/>
  <c r="L49" i="18"/>
  <c r="K49" i="18"/>
  <c r="J49" i="18"/>
  <c r="I49" i="18"/>
  <c r="H49" i="18"/>
  <c r="G49" i="18"/>
  <c r="F49" i="18"/>
  <c r="F31" i="18"/>
  <c r="G31" i="18"/>
  <c r="H31" i="18"/>
  <c r="I31" i="18"/>
  <c r="J31" i="18"/>
  <c r="K31" i="18"/>
  <c r="L31" i="18"/>
  <c r="M31" i="18"/>
  <c r="G16" i="6"/>
  <c r="H16" i="6"/>
  <c r="I16" i="6"/>
  <c r="J16" i="6"/>
  <c r="K16" i="6"/>
  <c r="L16" i="6"/>
  <c r="M16" i="6"/>
  <c r="F16" i="6"/>
  <c r="G24" i="6" l="1"/>
  <c r="H24" i="6"/>
  <c r="I24" i="6"/>
  <c r="J24" i="6"/>
  <c r="K24" i="6"/>
  <c r="L24" i="6"/>
  <c r="M24" i="6"/>
  <c r="F24" i="6"/>
  <c r="G23" i="6"/>
  <c r="H23" i="6"/>
  <c r="I23" i="6"/>
  <c r="J23" i="6"/>
  <c r="K23" i="6"/>
  <c r="L23" i="6"/>
  <c r="M23" i="6"/>
  <c r="F23" i="6"/>
  <c r="G25" i="6"/>
  <c r="H25" i="6"/>
  <c r="I25" i="6"/>
  <c r="J25" i="6"/>
  <c r="K25" i="6"/>
  <c r="L25" i="6"/>
  <c r="M25" i="6"/>
  <c r="F25" i="6"/>
  <c r="F135" i="5" l="1"/>
  <c r="G135" i="5"/>
  <c r="H135" i="5"/>
  <c r="I135" i="5"/>
  <c r="J135" i="5"/>
  <c r="K135" i="5"/>
  <c r="L135" i="5"/>
  <c r="M135" i="5"/>
  <c r="G12" i="5"/>
  <c r="F12" i="5"/>
  <c r="G136" i="5"/>
  <c r="H136" i="5"/>
  <c r="I136" i="5"/>
  <c r="J136" i="5"/>
  <c r="K136" i="5"/>
  <c r="L136" i="5"/>
  <c r="M136" i="5"/>
  <c r="F136" i="5"/>
  <c r="H137" i="5" l="1"/>
  <c r="H12" i="5" s="1"/>
  <c r="L137" i="5"/>
  <c r="L12" i="5" s="1"/>
  <c r="J137" i="5"/>
  <c r="J12" i="5" s="1"/>
  <c r="M137" i="5"/>
  <c r="M12" i="5" s="1"/>
  <c r="K137" i="5"/>
  <c r="K12" i="5" s="1"/>
  <c r="I137" i="5"/>
  <c r="I12" i="5" s="1"/>
  <c r="F22" i="5" l="1"/>
  <c r="G22" i="5"/>
  <c r="F23" i="5"/>
  <c r="G23" i="5"/>
  <c r="F24" i="5"/>
  <c r="G24" i="5"/>
  <c r="F129" i="5"/>
  <c r="G129" i="5"/>
  <c r="H129" i="5"/>
  <c r="I129" i="5"/>
  <c r="J129" i="5"/>
  <c r="K129" i="5"/>
  <c r="L129" i="5"/>
  <c r="M129" i="5"/>
  <c r="F128" i="5"/>
  <c r="G128" i="5"/>
  <c r="H128" i="5"/>
  <c r="I128" i="5"/>
  <c r="J128" i="5"/>
  <c r="J130" i="5" s="1"/>
  <c r="J118" i="5" s="1"/>
  <c r="K128" i="5"/>
  <c r="K130" i="5" s="1"/>
  <c r="K118" i="5" s="1"/>
  <c r="L128" i="5"/>
  <c r="L130" i="5" s="1"/>
  <c r="L118" i="5" s="1"/>
  <c r="M128" i="5"/>
  <c r="M130" i="5" s="1"/>
  <c r="M118" i="5" s="1"/>
  <c r="F63" i="5"/>
  <c r="G63" i="5"/>
  <c r="I63" i="5"/>
  <c r="J63" i="5"/>
  <c r="K63" i="5"/>
  <c r="L63" i="5"/>
  <c r="M63" i="5"/>
  <c r="H63" i="5"/>
  <c r="I24" i="5"/>
  <c r="J24" i="5"/>
  <c r="K24" i="5"/>
  <c r="L24" i="5"/>
  <c r="M24" i="5"/>
  <c r="H24" i="5"/>
  <c r="I23" i="5"/>
  <c r="J23" i="5"/>
  <c r="K23" i="5"/>
  <c r="L23" i="5"/>
  <c r="M23" i="5"/>
  <c r="I26" i="5"/>
  <c r="J26" i="5"/>
  <c r="K26" i="5"/>
  <c r="L26" i="5"/>
  <c r="M26" i="5"/>
  <c r="H26" i="5"/>
  <c r="H23" i="5"/>
  <c r="I22" i="5"/>
  <c r="J22" i="5"/>
  <c r="K22" i="5"/>
  <c r="L22" i="5"/>
  <c r="M22" i="5"/>
  <c r="H22" i="5"/>
  <c r="I130" i="5" l="1"/>
  <c r="I118" i="5" s="1"/>
  <c r="G130" i="5"/>
  <c r="G118" i="5" s="1"/>
  <c r="F130" i="5"/>
  <c r="F118" i="5" s="1"/>
  <c r="H130" i="5"/>
  <c r="H118" i="5" s="1"/>
  <c r="F25" i="5"/>
  <c r="E21" i="3"/>
  <c r="G30" i="3" s="1"/>
  <c r="M25" i="5"/>
  <c r="L25" i="5"/>
  <c r="F76" i="5"/>
  <c r="H15" i="7"/>
  <c r="I15" i="7"/>
  <c r="J15" i="7"/>
  <c r="K15" i="7"/>
  <c r="L15" i="7"/>
  <c r="M15" i="7"/>
  <c r="F15" i="7"/>
  <c r="F85" i="3"/>
  <c r="F40" i="3" s="1"/>
  <c r="G85" i="3"/>
  <c r="G40" i="3" s="1"/>
  <c r="H85" i="3"/>
  <c r="H40" i="3" s="1"/>
  <c r="I85" i="3"/>
  <c r="I40" i="3" s="1"/>
  <c r="J85" i="3"/>
  <c r="J40" i="3" s="1"/>
  <c r="K85" i="3"/>
  <c r="K40" i="3" s="1"/>
  <c r="L85" i="3"/>
  <c r="L40" i="3" s="1"/>
  <c r="M85" i="3"/>
  <c r="M40" i="3" s="1"/>
  <c r="G25" i="5" l="1"/>
  <c r="H25" i="5"/>
  <c r="I25" i="5"/>
  <c r="J25" i="5"/>
  <c r="K25" i="5"/>
  <c r="B2" i="13"/>
  <c r="E57" i="3" l="1"/>
  <c r="E59" i="3" s="1"/>
  <c r="E78" i="3" s="1"/>
  <c r="F21" i="3"/>
  <c r="H30" i="3" s="1"/>
  <c r="F29" i="5"/>
  <c r="A3" i="18"/>
  <c r="A2" i="18"/>
  <c r="H77" i="3" l="1"/>
  <c r="G77" i="3"/>
  <c r="H31" i="5"/>
  <c r="G21" i="3"/>
  <c r="G29" i="5"/>
  <c r="H289" i="18"/>
  <c r="H291" i="18" s="1"/>
  <c r="H256" i="18"/>
  <c r="H258" i="18" s="1"/>
  <c r="H230" i="18"/>
  <c r="H232" i="18" s="1"/>
  <c r="H197" i="18"/>
  <c r="H199" i="18" s="1"/>
  <c r="H172" i="18"/>
  <c r="H174" i="18" s="1"/>
  <c r="H139" i="18"/>
  <c r="H141" i="18" s="1"/>
  <c r="H113" i="18"/>
  <c r="H115" i="18" s="1"/>
  <c r="H80" i="18"/>
  <c r="H82" i="18" s="1"/>
  <c r="H272" i="18"/>
  <c r="H273" i="18" s="1"/>
  <c r="H155" i="18"/>
  <c r="H156" i="18" s="1"/>
  <c r="H34" i="18"/>
  <c r="H35" i="18" s="1"/>
  <c r="H56" i="18"/>
  <c r="H58" i="18" s="1"/>
  <c r="H120" i="5"/>
  <c r="I30" i="3" l="1"/>
  <c r="I213" i="18" s="1"/>
  <c r="I214" i="18" s="1"/>
  <c r="H66" i="18"/>
  <c r="H67" i="18" s="1"/>
  <c r="H69" i="18" s="1"/>
  <c r="H39" i="18"/>
  <c r="H40" i="18" s="1"/>
  <c r="H42" i="18" s="1"/>
  <c r="H23" i="18"/>
  <c r="H25" i="18" s="1"/>
  <c r="H9" i="18" s="1"/>
  <c r="H213" i="18"/>
  <c r="H214" i="18" s="1"/>
  <c r="H96" i="18"/>
  <c r="H97" i="18" s="1"/>
  <c r="H91" i="18"/>
  <c r="H92" i="18" s="1"/>
  <c r="H123" i="18"/>
  <c r="H124" i="18" s="1"/>
  <c r="H126" i="18" s="1"/>
  <c r="H150" i="18"/>
  <c r="H151" i="18" s="1"/>
  <c r="H158" i="18" s="1"/>
  <c r="H182" i="18"/>
  <c r="H183" i="18" s="1"/>
  <c r="H185" i="18" s="1"/>
  <c r="H208" i="18"/>
  <c r="H209" i="18" s="1"/>
  <c r="H240" i="18"/>
  <c r="H241" i="18" s="1"/>
  <c r="H243" i="18" s="1"/>
  <c r="H267" i="18"/>
  <c r="H268" i="18" s="1"/>
  <c r="H275" i="18" s="1"/>
  <c r="H299" i="18"/>
  <c r="H300" i="18" s="1"/>
  <c r="H302" i="18" s="1"/>
  <c r="I23" i="18"/>
  <c r="I25" i="18" s="1"/>
  <c r="I197" i="18"/>
  <c r="I199" i="18" s="1"/>
  <c r="I120" i="5"/>
  <c r="I121" i="5" s="1"/>
  <c r="I208" i="18"/>
  <c r="I209" i="18" s="1"/>
  <c r="I96" i="18"/>
  <c r="I97" i="18" s="1"/>
  <c r="I31" i="5"/>
  <c r="H21" i="3"/>
  <c r="J30" i="3" s="1"/>
  <c r="H29" i="5"/>
  <c r="A3" i="11"/>
  <c r="A3" i="6"/>
  <c r="A3" i="7"/>
  <c r="A3" i="2"/>
  <c r="A3" i="5"/>
  <c r="A3" i="4"/>
  <c r="A3" i="3"/>
  <c r="I155" i="18" l="1"/>
  <c r="I156" i="18" s="1"/>
  <c r="I267" i="18"/>
  <c r="I268" i="18" s="1"/>
  <c r="I150" i="18"/>
  <c r="I151" i="18" s="1"/>
  <c r="I80" i="18"/>
  <c r="I82" i="18" s="1"/>
  <c r="I56" i="18"/>
  <c r="I58" i="18" s="1"/>
  <c r="I272" i="18"/>
  <c r="I273" i="18" s="1"/>
  <c r="I275" i="18" s="1"/>
  <c r="I91" i="18"/>
  <c r="I92" i="18" s="1"/>
  <c r="I299" i="18"/>
  <c r="I300" i="18" s="1"/>
  <c r="I240" i="18"/>
  <c r="I241" i="18" s="1"/>
  <c r="I182" i="18"/>
  <c r="I183" i="18" s="1"/>
  <c r="I123" i="18"/>
  <c r="I124" i="18" s="1"/>
  <c r="I39" i="18"/>
  <c r="I40" i="18" s="1"/>
  <c r="I256" i="18"/>
  <c r="I258" i="18" s="1"/>
  <c r="I139" i="18"/>
  <c r="I141" i="18" s="1"/>
  <c r="I77" i="3"/>
  <c r="I289" i="18"/>
  <c r="I291" i="18" s="1"/>
  <c r="I302" i="18" s="1"/>
  <c r="I113" i="18"/>
  <c r="I115" i="18" s="1"/>
  <c r="I230" i="18"/>
  <c r="I232" i="18" s="1"/>
  <c r="I243" i="18" s="1"/>
  <c r="I34" i="18"/>
  <c r="I35" i="18" s="1"/>
  <c r="I172" i="18"/>
  <c r="I174" i="18" s="1"/>
  <c r="I185" i="18" s="1"/>
  <c r="I66" i="18"/>
  <c r="I67" i="18" s="1"/>
  <c r="I216" i="18"/>
  <c r="I69" i="18"/>
  <c r="H99" i="18"/>
  <c r="I126" i="18"/>
  <c r="H216" i="18"/>
  <c r="I74" i="3"/>
  <c r="I11" i="5"/>
  <c r="J31" i="5"/>
  <c r="J77" i="3"/>
  <c r="H11" i="18"/>
  <c r="I99" i="18"/>
  <c r="I158" i="18"/>
  <c r="J299" i="18"/>
  <c r="J300" i="18" s="1"/>
  <c r="I21" i="3"/>
  <c r="I29" i="5"/>
  <c r="J289" i="18"/>
  <c r="J267" i="18"/>
  <c r="J268" i="18" s="1"/>
  <c r="J256" i="18"/>
  <c r="J258" i="18" s="1"/>
  <c r="J240" i="18"/>
  <c r="J241" i="18" s="1"/>
  <c r="J230" i="18"/>
  <c r="J232" i="18" s="1"/>
  <c r="J208" i="18"/>
  <c r="J209" i="18" s="1"/>
  <c r="J197" i="18"/>
  <c r="J199" i="18" s="1"/>
  <c r="J182" i="18"/>
  <c r="J183" i="18" s="1"/>
  <c r="J172" i="18"/>
  <c r="J174" i="18" s="1"/>
  <c r="J150" i="18"/>
  <c r="J151" i="18" s="1"/>
  <c r="J139" i="18"/>
  <c r="J141" i="18" s="1"/>
  <c r="J123" i="18"/>
  <c r="J124" i="18" s="1"/>
  <c r="J113" i="18"/>
  <c r="J115" i="18" s="1"/>
  <c r="J91" i="18"/>
  <c r="J92" i="18" s="1"/>
  <c r="J80" i="18"/>
  <c r="J82" i="18" s="1"/>
  <c r="J272" i="18"/>
  <c r="J273" i="18" s="1"/>
  <c r="J213" i="18"/>
  <c r="J214" i="18" s="1"/>
  <c r="J155" i="18"/>
  <c r="J156" i="18" s="1"/>
  <c r="J96" i="18"/>
  <c r="J97" i="18" s="1"/>
  <c r="J23" i="18"/>
  <c r="J25" i="18" s="1"/>
  <c r="J34" i="18"/>
  <c r="J35" i="18" s="1"/>
  <c r="J39" i="18"/>
  <c r="J40" i="18" s="1"/>
  <c r="J56" i="18"/>
  <c r="J58" i="18" s="1"/>
  <c r="J66" i="18"/>
  <c r="J67" i="18" s="1"/>
  <c r="J120" i="5"/>
  <c r="J121" i="5" s="1"/>
  <c r="J40" i="4"/>
  <c r="J42" i="4"/>
  <c r="I42" i="4"/>
  <c r="H42" i="4"/>
  <c r="G42" i="4"/>
  <c r="M41" i="4"/>
  <c r="L41" i="4"/>
  <c r="K41" i="4"/>
  <c r="J41" i="4"/>
  <c r="I41" i="4"/>
  <c r="H41" i="4"/>
  <c r="G41" i="4"/>
  <c r="F41" i="4"/>
  <c r="G43" i="4" s="1"/>
  <c r="I40" i="4"/>
  <c r="H40" i="4"/>
  <c r="G40" i="4"/>
  <c r="F40" i="4"/>
  <c r="M21" i="4"/>
  <c r="L21" i="4"/>
  <c r="K21" i="4"/>
  <c r="J21" i="4"/>
  <c r="I21" i="4"/>
  <c r="H21" i="4"/>
  <c r="G21" i="4"/>
  <c r="F21" i="4"/>
  <c r="I19" i="4"/>
  <c r="H19" i="4"/>
  <c r="G19" i="4"/>
  <c r="F19" i="4"/>
  <c r="D21" i="3"/>
  <c r="F30" i="3" s="1"/>
  <c r="G18" i="4"/>
  <c r="H18" i="4"/>
  <c r="I18" i="4"/>
  <c r="J18" i="4"/>
  <c r="K18" i="4"/>
  <c r="L18" i="4"/>
  <c r="M18" i="4"/>
  <c r="G20" i="4"/>
  <c r="H20" i="4"/>
  <c r="I20" i="4"/>
  <c r="J20" i="4"/>
  <c r="K20" i="4"/>
  <c r="L20" i="4"/>
  <c r="M20" i="4"/>
  <c r="F20" i="4"/>
  <c r="F18" i="4"/>
  <c r="G22" i="4"/>
  <c r="H22" i="4"/>
  <c r="I22" i="4"/>
  <c r="J22" i="4"/>
  <c r="G13" i="3"/>
  <c r="H13" i="3"/>
  <c r="I13" i="3"/>
  <c r="J13" i="3"/>
  <c r="H11" i="3"/>
  <c r="I11" i="3"/>
  <c r="J11" i="3"/>
  <c r="K11" i="3"/>
  <c r="L11" i="3"/>
  <c r="M11" i="3"/>
  <c r="G10" i="3"/>
  <c r="H10" i="3"/>
  <c r="I10" i="3"/>
  <c r="J10" i="3"/>
  <c r="K10" i="3"/>
  <c r="L10" i="3"/>
  <c r="M10" i="3"/>
  <c r="F10" i="3"/>
  <c r="I9" i="18" l="1"/>
  <c r="I42" i="18"/>
  <c r="H10" i="18"/>
  <c r="H12" i="18" s="1"/>
  <c r="K30" i="3"/>
  <c r="K150" i="18" s="1"/>
  <c r="K151" i="18" s="1"/>
  <c r="I11" i="18"/>
  <c r="I10" i="18"/>
  <c r="F77" i="3"/>
  <c r="I43" i="4"/>
  <c r="J74" i="3"/>
  <c r="J11" i="5"/>
  <c r="H43" i="4"/>
  <c r="H23" i="4"/>
  <c r="H10" i="4" s="1"/>
  <c r="H70" i="3" s="1"/>
  <c r="F31" i="5"/>
  <c r="G31" i="5"/>
  <c r="G272" i="18"/>
  <c r="G273" i="18" s="1"/>
  <c r="G155" i="18"/>
  <c r="G156" i="18" s="1"/>
  <c r="G299" i="18"/>
  <c r="G300" i="18" s="1"/>
  <c r="G267" i="18"/>
  <c r="G268" i="18" s="1"/>
  <c r="G240" i="18"/>
  <c r="G241" i="18" s="1"/>
  <c r="G208" i="18"/>
  <c r="G209" i="18" s="1"/>
  <c r="G182" i="18"/>
  <c r="G183" i="18" s="1"/>
  <c r="G150" i="18"/>
  <c r="G151" i="18" s="1"/>
  <c r="G123" i="18"/>
  <c r="G124" i="18" s="1"/>
  <c r="G91" i="18"/>
  <c r="G92" i="18" s="1"/>
  <c r="G34" i="18"/>
  <c r="G35" i="18" s="1"/>
  <c r="G120" i="5"/>
  <c r="G11" i="5" s="1"/>
  <c r="G213" i="18"/>
  <c r="G214" i="18" s="1"/>
  <c r="G96" i="18"/>
  <c r="G97" i="18" s="1"/>
  <c r="G289" i="18"/>
  <c r="G291" i="18" s="1"/>
  <c r="G256" i="18"/>
  <c r="G258" i="18" s="1"/>
  <c r="G230" i="18"/>
  <c r="G232" i="18" s="1"/>
  <c r="G243" i="18" s="1"/>
  <c r="G197" i="18"/>
  <c r="G199" i="18" s="1"/>
  <c r="G172" i="18"/>
  <c r="G174" i="18" s="1"/>
  <c r="G185" i="18" s="1"/>
  <c r="G139" i="18"/>
  <c r="G141" i="18" s="1"/>
  <c r="G113" i="18"/>
  <c r="G115" i="18" s="1"/>
  <c r="G126" i="18" s="1"/>
  <c r="G80" i="18"/>
  <c r="G82" i="18" s="1"/>
  <c r="G66" i="18"/>
  <c r="G67" i="18" s="1"/>
  <c r="G56" i="18"/>
  <c r="G58" i="18" s="1"/>
  <c r="G23" i="18"/>
  <c r="G25" i="18" s="1"/>
  <c r="G39" i="18"/>
  <c r="G40" i="18" s="1"/>
  <c r="J19" i="4"/>
  <c r="F13" i="3"/>
  <c r="F22" i="4"/>
  <c r="F10" i="4" s="1"/>
  <c r="J291" i="18"/>
  <c r="J302" i="18" s="1"/>
  <c r="J126" i="18"/>
  <c r="J185" i="18"/>
  <c r="J243" i="18"/>
  <c r="J9" i="18"/>
  <c r="J21" i="3"/>
  <c r="L30" i="3" s="1"/>
  <c r="J29" i="5"/>
  <c r="J69" i="18"/>
  <c r="J42" i="18"/>
  <c r="J99" i="18"/>
  <c r="J158" i="18"/>
  <c r="J216" i="18"/>
  <c r="J275" i="18"/>
  <c r="F299" i="18"/>
  <c r="F300" i="18" s="1"/>
  <c r="F267" i="18"/>
  <c r="F268" i="18" s="1"/>
  <c r="F240" i="18"/>
  <c r="F241" i="18" s="1"/>
  <c r="F208" i="18"/>
  <c r="F209" i="18" s="1"/>
  <c r="F182" i="18"/>
  <c r="F183" i="18" s="1"/>
  <c r="F150" i="18"/>
  <c r="F151" i="18" s="1"/>
  <c r="F123" i="18"/>
  <c r="F124" i="18" s="1"/>
  <c r="F91" i="18"/>
  <c r="F92" i="18" s="1"/>
  <c r="F272" i="18"/>
  <c r="F273" i="18" s="1"/>
  <c r="F155" i="18"/>
  <c r="F156" i="18" s="1"/>
  <c r="F23" i="18"/>
  <c r="F25" i="18" s="1"/>
  <c r="F34" i="18"/>
  <c r="F35" i="18" s="1"/>
  <c r="F39" i="18"/>
  <c r="F40" i="18" s="1"/>
  <c r="F66" i="18"/>
  <c r="F67" i="18" s="1"/>
  <c r="F289" i="18"/>
  <c r="F291" i="18" s="1"/>
  <c r="F302" i="18" s="1"/>
  <c r="F256" i="18"/>
  <c r="F258" i="18" s="1"/>
  <c r="F230" i="18"/>
  <c r="F197" i="18"/>
  <c r="F199" i="18" s="1"/>
  <c r="F172" i="18"/>
  <c r="F139" i="18"/>
  <c r="F141" i="18" s="1"/>
  <c r="F113" i="18"/>
  <c r="F80" i="18"/>
  <c r="F82" i="18" s="1"/>
  <c r="F213" i="18"/>
  <c r="F214" i="18" s="1"/>
  <c r="F96" i="18"/>
  <c r="F97" i="18" s="1"/>
  <c r="F120" i="5"/>
  <c r="F56" i="18"/>
  <c r="F58" i="18" s="1"/>
  <c r="F69" i="18" s="1"/>
  <c r="K29" i="5"/>
  <c r="F42" i="4"/>
  <c r="F11" i="4" s="1"/>
  <c r="J43" i="4"/>
  <c r="J11" i="4" s="1"/>
  <c r="J72" i="3" s="1"/>
  <c r="J23" i="4"/>
  <c r="J10" i="4" s="1"/>
  <c r="J70" i="3" s="1"/>
  <c r="I23" i="4"/>
  <c r="I10" i="4" s="1"/>
  <c r="I70" i="3" s="1"/>
  <c r="G10" i="4"/>
  <c r="A2" i="11"/>
  <c r="A2" i="7"/>
  <c r="A2" i="6"/>
  <c r="A2" i="5"/>
  <c r="A2" i="4"/>
  <c r="A2" i="3"/>
  <c r="A2" i="2"/>
  <c r="A2" i="17"/>
  <c r="B3" i="13"/>
  <c r="A3" i="17"/>
  <c r="A3" i="16"/>
  <c r="A2" i="16"/>
  <c r="A3" i="15"/>
  <c r="A2" i="15"/>
  <c r="A3" i="14"/>
  <c r="A2" i="14"/>
  <c r="K23" i="18" l="1"/>
  <c r="K25" i="18" s="1"/>
  <c r="K155" i="18"/>
  <c r="K156" i="18" s="1"/>
  <c r="F42" i="18"/>
  <c r="K240" i="18"/>
  <c r="K241" i="18" s="1"/>
  <c r="K139" i="18"/>
  <c r="K141" i="18" s="1"/>
  <c r="K289" i="18"/>
  <c r="K291" i="18" s="1"/>
  <c r="F12" i="4"/>
  <c r="F10" i="2" s="1"/>
  <c r="F14" i="3"/>
  <c r="F69" i="3" s="1"/>
  <c r="I12" i="18"/>
  <c r="I16" i="18" s="1"/>
  <c r="H16" i="18"/>
  <c r="H148" i="5" s="1"/>
  <c r="H76" i="3"/>
  <c r="K272" i="18"/>
  <c r="K273" i="18" s="1"/>
  <c r="K123" i="18"/>
  <c r="K124" i="18" s="1"/>
  <c r="K256" i="18"/>
  <c r="K258" i="18" s="1"/>
  <c r="K39" i="18"/>
  <c r="K40" i="18" s="1"/>
  <c r="K91" i="18"/>
  <c r="K92" i="18" s="1"/>
  <c r="K120" i="5"/>
  <c r="K121" i="5" s="1"/>
  <c r="K77" i="3"/>
  <c r="K213" i="18"/>
  <c r="K214" i="18" s="1"/>
  <c r="K299" i="18"/>
  <c r="K300" i="18" s="1"/>
  <c r="K302" i="18" s="1"/>
  <c r="K182" i="18"/>
  <c r="K183" i="18" s="1"/>
  <c r="K66" i="18"/>
  <c r="K67" i="18" s="1"/>
  <c r="K96" i="18"/>
  <c r="K97" i="18" s="1"/>
  <c r="K197" i="18"/>
  <c r="K199" i="18" s="1"/>
  <c r="K80" i="18"/>
  <c r="K82" i="18" s="1"/>
  <c r="K13" i="3"/>
  <c r="K208" i="18"/>
  <c r="K209" i="18" s="1"/>
  <c r="K216" i="18" s="1"/>
  <c r="K56" i="18"/>
  <c r="K58" i="18" s="1"/>
  <c r="K69" i="18" s="1"/>
  <c r="K172" i="18"/>
  <c r="K174" i="18" s="1"/>
  <c r="K185" i="18" s="1"/>
  <c r="K31" i="5"/>
  <c r="K113" i="18"/>
  <c r="K115" i="18" s="1"/>
  <c r="K126" i="18" s="1"/>
  <c r="K158" i="18"/>
  <c r="G302" i="18"/>
  <c r="K267" i="18"/>
  <c r="K268" i="18" s="1"/>
  <c r="K230" i="18"/>
  <c r="K232" i="18" s="1"/>
  <c r="K34" i="18"/>
  <c r="K35" i="18" s="1"/>
  <c r="G158" i="18"/>
  <c r="F9" i="18"/>
  <c r="J11" i="18"/>
  <c r="L96" i="18"/>
  <c r="L97" i="18" s="1"/>
  <c r="L77" i="3"/>
  <c r="F275" i="18"/>
  <c r="F11" i="5"/>
  <c r="G9" i="18"/>
  <c r="G42" i="18"/>
  <c r="L267" i="18"/>
  <c r="L268" i="18" s="1"/>
  <c r="K42" i="4"/>
  <c r="K43" i="4" s="1"/>
  <c r="K11" i="4" s="1"/>
  <c r="K72" i="3" s="1"/>
  <c r="K22" i="4"/>
  <c r="K23" i="4" s="1"/>
  <c r="K10" i="4" s="1"/>
  <c r="K70" i="3" s="1"/>
  <c r="L230" i="18"/>
  <c r="L232" i="18" s="1"/>
  <c r="L299" i="18"/>
  <c r="L300" i="18" s="1"/>
  <c r="G69" i="18"/>
  <c r="G99" i="18"/>
  <c r="G216" i="18"/>
  <c r="G275" i="18"/>
  <c r="L113" i="18"/>
  <c r="L115" i="18" s="1"/>
  <c r="L120" i="5"/>
  <c r="L121" i="5" s="1"/>
  <c r="L182" i="18"/>
  <c r="L183" i="18" s="1"/>
  <c r="I11" i="4"/>
  <c r="I72" i="3" s="1"/>
  <c r="J12" i="4"/>
  <c r="J10" i="2" s="1"/>
  <c r="G11" i="4"/>
  <c r="G72" i="3" s="1"/>
  <c r="H11" i="4"/>
  <c r="H72" i="3" s="1"/>
  <c r="L66" i="18"/>
  <c r="L67" i="18" s="1"/>
  <c r="L272" i="18"/>
  <c r="L273" i="18" s="1"/>
  <c r="L172" i="18"/>
  <c r="L174" i="18" s="1"/>
  <c r="L289" i="18"/>
  <c r="L291" i="18" s="1"/>
  <c r="L34" i="18"/>
  <c r="L35" i="18" s="1"/>
  <c r="L123" i="18"/>
  <c r="L124" i="18" s="1"/>
  <c r="L240" i="18"/>
  <c r="L241" i="18" s="1"/>
  <c r="F115" i="18"/>
  <c r="F126" i="18" s="1"/>
  <c r="F174" i="18"/>
  <c r="F185" i="18" s="1"/>
  <c r="F232" i="18"/>
  <c r="F243" i="18" s="1"/>
  <c r="L39" i="18"/>
  <c r="L40" i="18" s="1"/>
  <c r="L155" i="18"/>
  <c r="L156" i="18" s="1"/>
  <c r="L80" i="18"/>
  <c r="L82" i="18" s="1"/>
  <c r="L139" i="18"/>
  <c r="L141" i="18" s="1"/>
  <c r="L197" i="18"/>
  <c r="L199" i="18" s="1"/>
  <c r="L256" i="18"/>
  <c r="L258" i="18" s="1"/>
  <c r="L56" i="18"/>
  <c r="L58" i="18" s="1"/>
  <c r="L23" i="18"/>
  <c r="L25" i="18" s="1"/>
  <c r="L213" i="18"/>
  <c r="L214" i="18" s="1"/>
  <c r="L91" i="18"/>
  <c r="L92" i="18" s="1"/>
  <c r="L150" i="18"/>
  <c r="L151" i="18" s="1"/>
  <c r="L208" i="18"/>
  <c r="L209" i="18" s="1"/>
  <c r="L31" i="5"/>
  <c r="L22" i="4"/>
  <c r="L23" i="4" s="1"/>
  <c r="L10" i="4" s="1"/>
  <c r="L70" i="3" s="1"/>
  <c r="L13" i="3"/>
  <c r="J10" i="18"/>
  <c r="K21" i="3"/>
  <c r="M30" i="3" s="1"/>
  <c r="K40" i="4"/>
  <c r="K19" i="4"/>
  <c r="M29" i="5"/>
  <c r="L29" i="5"/>
  <c r="F99" i="18"/>
  <c r="F158" i="18"/>
  <c r="F216" i="18"/>
  <c r="H28" i="5"/>
  <c r="H13" i="2"/>
  <c r="K243" i="18" l="1"/>
  <c r="F37" i="5"/>
  <c r="K275" i="18"/>
  <c r="K9" i="18"/>
  <c r="K99" i="18"/>
  <c r="H72" i="5"/>
  <c r="F10" i="18"/>
  <c r="I76" i="3"/>
  <c r="G11" i="18"/>
  <c r="K42" i="18"/>
  <c r="J12" i="18"/>
  <c r="J76" i="3" s="1"/>
  <c r="L99" i="18"/>
  <c r="K11" i="18"/>
  <c r="M31" i="5"/>
  <c r="M77" i="3"/>
  <c r="F11" i="18"/>
  <c r="L126" i="18"/>
  <c r="L185" i="18"/>
  <c r="F147" i="5"/>
  <c r="F27" i="5"/>
  <c r="L42" i="4"/>
  <c r="L43" i="4" s="1"/>
  <c r="L11" i="4" s="1"/>
  <c r="L72" i="3" s="1"/>
  <c r="L69" i="18"/>
  <c r="L42" i="18"/>
  <c r="L302" i="18"/>
  <c r="L275" i="18"/>
  <c r="G10" i="18"/>
  <c r="L243" i="18"/>
  <c r="L158" i="18"/>
  <c r="L216" i="18"/>
  <c r="L9" i="18"/>
  <c r="M21" i="3"/>
  <c r="M40" i="4"/>
  <c r="M19" i="4"/>
  <c r="M34" i="18"/>
  <c r="M35" i="18" s="1"/>
  <c r="M23" i="18"/>
  <c r="M25" i="18" s="1"/>
  <c r="M272" i="18"/>
  <c r="M273" i="18" s="1"/>
  <c r="M155" i="18"/>
  <c r="M156" i="18" s="1"/>
  <c r="M91" i="18"/>
  <c r="M92" i="18" s="1"/>
  <c r="M299" i="18"/>
  <c r="M300" i="18" s="1"/>
  <c r="M267" i="18"/>
  <c r="M268" i="18" s="1"/>
  <c r="M240" i="18"/>
  <c r="M241" i="18" s="1"/>
  <c r="M208" i="18"/>
  <c r="M209" i="18" s="1"/>
  <c r="M182" i="18"/>
  <c r="M183" i="18" s="1"/>
  <c r="M150" i="18"/>
  <c r="M151" i="18" s="1"/>
  <c r="M123" i="18"/>
  <c r="M124" i="18" s="1"/>
  <c r="M120" i="5"/>
  <c r="M121" i="5" s="1"/>
  <c r="M39" i="18"/>
  <c r="M40" i="18" s="1"/>
  <c r="M213" i="18"/>
  <c r="M214" i="18" s="1"/>
  <c r="M96" i="18"/>
  <c r="M97" i="18" s="1"/>
  <c r="M80" i="18"/>
  <c r="M82" i="18" s="1"/>
  <c r="M289" i="18"/>
  <c r="M256" i="18"/>
  <c r="M258" i="18" s="1"/>
  <c r="M230" i="18"/>
  <c r="M197" i="18"/>
  <c r="M199" i="18" s="1"/>
  <c r="M172" i="18"/>
  <c r="M139" i="18"/>
  <c r="M141" i="18" s="1"/>
  <c r="M113" i="18"/>
  <c r="M66" i="18"/>
  <c r="M67" i="18" s="1"/>
  <c r="M56" i="18"/>
  <c r="M58" i="18" s="1"/>
  <c r="M22" i="4"/>
  <c r="M23" i="4" s="1"/>
  <c r="M10" i="4" s="1"/>
  <c r="M70" i="3" s="1"/>
  <c r="M13" i="3"/>
  <c r="M42" i="4"/>
  <c r="M43" i="4" s="1"/>
  <c r="L21" i="3"/>
  <c r="L40" i="4"/>
  <c r="L19" i="4"/>
  <c r="F26" i="6"/>
  <c r="F27" i="6" s="1"/>
  <c r="F71" i="5"/>
  <c r="G53" i="11"/>
  <c r="G29" i="11"/>
  <c r="I18" i="10" s="1"/>
  <c r="A2" i="10"/>
  <c r="K10" i="18" l="1"/>
  <c r="K12" i="18" s="1"/>
  <c r="F12" i="18"/>
  <c r="F16" i="18" s="1"/>
  <c r="G12" i="18"/>
  <c r="G76" i="3" s="1"/>
  <c r="I20" i="10"/>
  <c r="K21" i="10" s="1"/>
  <c r="K36" i="10"/>
  <c r="J16" i="18"/>
  <c r="J28" i="5" s="1"/>
  <c r="L11" i="18"/>
  <c r="I72" i="5"/>
  <c r="I28" i="5"/>
  <c r="I13" i="2"/>
  <c r="I148" i="5"/>
  <c r="M11" i="4"/>
  <c r="M72" i="3" s="1"/>
  <c r="L10" i="18"/>
  <c r="M275" i="18"/>
  <c r="M115" i="18"/>
  <c r="M126" i="18" s="1"/>
  <c r="M174" i="18"/>
  <c r="M185" i="18" s="1"/>
  <c r="M232" i="18"/>
  <c r="M243" i="18" s="1"/>
  <c r="M291" i="18"/>
  <c r="M302" i="18" s="1"/>
  <c r="M158" i="18"/>
  <c r="M69" i="18"/>
  <c r="M9" i="18"/>
  <c r="M216" i="18"/>
  <c r="M99" i="18"/>
  <c r="M42" i="18"/>
  <c r="K16" i="18" l="1"/>
  <c r="K76" i="3"/>
  <c r="G16" i="18"/>
  <c r="G148" i="5" s="1"/>
  <c r="E39" i="3"/>
  <c r="G41" i="3" s="1"/>
  <c r="J13" i="2"/>
  <c r="J148" i="5"/>
  <c r="L12" i="18"/>
  <c r="L76" i="3" s="1"/>
  <c r="J72" i="5"/>
  <c r="F76" i="3"/>
  <c r="F78" i="3" s="1"/>
  <c r="F148" i="5"/>
  <c r="H151" i="5" s="1"/>
  <c r="M11" i="18"/>
  <c r="M10" i="18"/>
  <c r="K38" i="10"/>
  <c r="G72" i="5" l="1"/>
  <c r="G13" i="2"/>
  <c r="G28" i="5"/>
  <c r="G12" i="3"/>
  <c r="L16" i="18"/>
  <c r="L72" i="5" s="1"/>
  <c r="H13" i="5"/>
  <c r="F39" i="3"/>
  <c r="H41" i="3" s="1"/>
  <c r="M12" i="18"/>
  <c r="M76" i="3" s="1"/>
  <c r="F72" i="5"/>
  <c r="F13" i="2"/>
  <c r="F28" i="5"/>
  <c r="M16" i="18"/>
  <c r="M148" i="5" s="1"/>
  <c r="K72" i="5"/>
  <c r="K148" i="5"/>
  <c r="K13" i="2"/>
  <c r="K28" i="5"/>
  <c r="L148" i="5"/>
  <c r="F73" i="5" l="1"/>
  <c r="F61" i="5" s="1"/>
  <c r="F83" i="5"/>
  <c r="H32" i="5"/>
  <c r="H75" i="3" s="1"/>
  <c r="L28" i="5"/>
  <c r="L13" i="2"/>
  <c r="M72" i="5"/>
  <c r="M28" i="5"/>
  <c r="M13" i="2"/>
  <c r="H9" i="5" l="1"/>
  <c r="H12" i="3"/>
  <c r="H14" i="3" s="1"/>
  <c r="H69" i="3" s="1"/>
  <c r="F14" i="5"/>
  <c r="F15" i="6"/>
  <c r="F17" i="6" s="1"/>
  <c r="G14" i="5"/>
  <c r="H147" i="5" l="1"/>
  <c r="J151" i="5" s="1"/>
  <c r="J13" i="5" s="1"/>
  <c r="H27" i="5"/>
  <c r="J32" i="5" s="1"/>
  <c r="H71" i="5"/>
  <c r="H73" i="5" s="1"/>
  <c r="H61" i="5" s="1"/>
  <c r="H26" i="6"/>
  <c r="H27" i="6" s="1"/>
  <c r="F9" i="6"/>
  <c r="F12" i="2"/>
  <c r="G11" i="2"/>
  <c r="M12" i="4"/>
  <c r="M10" i="2" s="1"/>
  <c r="L12" i="4"/>
  <c r="L10" i="2" s="1"/>
  <c r="K12" i="4"/>
  <c r="K10" i="2" s="1"/>
  <c r="I12" i="4"/>
  <c r="I10" i="2" s="1"/>
  <c r="H12" i="4"/>
  <c r="H10" i="2" s="1"/>
  <c r="G12" i="4"/>
  <c r="G10" i="2" s="1"/>
  <c r="K74" i="3" l="1"/>
  <c r="K11" i="5"/>
  <c r="J75" i="3"/>
  <c r="J9" i="5"/>
  <c r="H83" i="5"/>
  <c r="H15" i="6"/>
  <c r="H17" i="6" s="1"/>
  <c r="F11" i="2"/>
  <c r="G14" i="2"/>
  <c r="H9" i="2"/>
  <c r="F9" i="2"/>
  <c r="L74" i="3" l="1"/>
  <c r="L11" i="5"/>
  <c r="H62" i="5"/>
  <c r="H9" i="6"/>
  <c r="J64" i="5" l="1"/>
  <c r="J10" i="5" s="1"/>
  <c r="J14" i="5" s="1"/>
  <c r="J11" i="2" s="1"/>
  <c r="M74" i="3"/>
  <c r="M11" i="5"/>
  <c r="F14" i="2" l="1"/>
  <c r="F16" i="2" s="1"/>
  <c r="F11" i="7" l="1"/>
  <c r="H16" i="7" s="1"/>
  <c r="F14" i="7" l="1"/>
  <c r="H18" i="7" s="1"/>
  <c r="F117" i="5" l="1"/>
  <c r="H121" i="5" s="1"/>
  <c r="H74" i="3" l="1"/>
  <c r="H11" i="5"/>
  <c r="H78" i="3" l="1"/>
  <c r="H39" i="3" s="1"/>
  <c r="J41" i="3" l="1"/>
  <c r="J12" i="3" s="1"/>
  <c r="J14" i="3" s="1"/>
  <c r="J9" i="2" s="1"/>
  <c r="J26" i="6" l="1"/>
  <c r="J71" i="5"/>
  <c r="J73" i="5" s="1"/>
  <c r="J61" i="5" s="1"/>
  <c r="J69" i="3"/>
  <c r="J78" i="3" s="1"/>
  <c r="J39" i="3" s="1"/>
  <c r="L41" i="3" s="1"/>
  <c r="J147" i="5"/>
  <c r="J27" i="5"/>
  <c r="H12" i="2"/>
  <c r="G11" i="3"/>
  <c r="G14" i="3" s="1"/>
  <c r="G69" i="3" s="1"/>
  <c r="J83" i="5" l="1"/>
  <c r="J62" i="5" s="1"/>
  <c r="L64" i="5" s="1"/>
  <c r="L10" i="5" s="1"/>
  <c r="G78" i="3"/>
  <c r="G39" i="3" s="1"/>
  <c r="I41" i="3" s="1"/>
  <c r="I12" i="3" s="1"/>
  <c r="I14" i="3" s="1"/>
  <c r="I69" i="3" s="1"/>
  <c r="J27" i="6"/>
  <c r="J15" i="6" s="1"/>
  <c r="J17" i="6" s="1"/>
  <c r="L32" i="5"/>
  <c r="L75" i="3" s="1"/>
  <c r="G147" i="5"/>
  <c r="L12" i="3"/>
  <c r="L14" i="3" s="1"/>
  <c r="G9" i="2"/>
  <c r="G27" i="5"/>
  <c r="I32" i="5" s="1"/>
  <c r="G26" i="6"/>
  <c r="G27" i="6" s="1"/>
  <c r="G71" i="5"/>
  <c r="G83" i="5" s="1"/>
  <c r="J9" i="6" l="1"/>
  <c r="J12" i="2"/>
  <c r="L9" i="5"/>
  <c r="L14" i="5" s="1"/>
  <c r="L11" i="2" s="1"/>
  <c r="I151" i="5"/>
  <c r="I13" i="5" s="1"/>
  <c r="G15" i="6"/>
  <c r="G17" i="6" s="1"/>
  <c r="G9" i="6" s="1"/>
  <c r="I75" i="3"/>
  <c r="I78" i="3" s="1"/>
  <c r="I39" i="3" s="1"/>
  <c r="I9" i="5"/>
  <c r="L69" i="3"/>
  <c r="L78" i="3" s="1"/>
  <c r="L39" i="3" s="1"/>
  <c r="L27" i="5"/>
  <c r="L71" i="5"/>
  <c r="L73" i="5" s="1"/>
  <c r="L61" i="5" s="1"/>
  <c r="L9" i="2"/>
  <c r="L26" i="6"/>
  <c r="L27" i="6" s="1"/>
  <c r="L147" i="5"/>
  <c r="I147" i="5"/>
  <c r="I9" i="2"/>
  <c r="I27" i="5"/>
  <c r="K32" i="5" s="1"/>
  <c r="I26" i="6"/>
  <c r="I27" i="6" s="1"/>
  <c r="I71" i="5"/>
  <c r="I83" i="5" s="1"/>
  <c r="I62" i="5" s="1"/>
  <c r="G62" i="5"/>
  <c r="G73" i="5"/>
  <c r="G61" i="5" s="1"/>
  <c r="K41" i="3" l="1"/>
  <c r="K12" i="3" s="1"/>
  <c r="K14" i="3" s="1"/>
  <c r="I64" i="5"/>
  <c r="I73" i="5"/>
  <c r="I61" i="5" s="1"/>
  <c r="K64" i="5" s="1"/>
  <c r="L83" i="5"/>
  <c r="L62" i="5" s="1"/>
  <c r="G12" i="2"/>
  <c r="G16" i="2" s="1"/>
  <c r="G11" i="7" s="1"/>
  <c r="I16" i="7" s="1"/>
  <c r="I15" i="6"/>
  <c r="I17" i="6" s="1"/>
  <c r="L15" i="6"/>
  <c r="L17" i="6" s="1"/>
  <c r="K75" i="3"/>
  <c r="K9" i="5"/>
  <c r="K69" i="3" l="1"/>
  <c r="K78" i="3" s="1"/>
  <c r="K39" i="3" s="1"/>
  <c r="K71" i="5"/>
  <c r="K83" i="5" s="1"/>
  <c r="K62" i="5" s="1"/>
  <c r="K27" i="5"/>
  <c r="K147" i="5"/>
  <c r="K26" i="6"/>
  <c r="K27" i="6" s="1"/>
  <c r="K15" i="6" s="1"/>
  <c r="K17" i="6" s="1"/>
  <c r="K9" i="2"/>
  <c r="G14" i="7"/>
  <c r="I18" i="7" s="1"/>
  <c r="L12" i="2"/>
  <c r="L9" i="6"/>
  <c r="I12" i="2"/>
  <c r="I9" i="6"/>
  <c r="K10" i="5"/>
  <c r="K14" i="5" s="1"/>
  <c r="K11" i="2" s="1"/>
  <c r="I10" i="5"/>
  <c r="I14" i="5" s="1"/>
  <c r="I11" i="2" s="1"/>
  <c r="K73" i="5" l="1"/>
  <c r="K61" i="5" s="1"/>
  <c r="M64" i="5" s="1"/>
  <c r="M32" i="5"/>
  <c r="M9" i="5" s="1"/>
  <c r="M41" i="3"/>
  <c r="M12" i="3" s="1"/>
  <c r="M14" i="3" s="1"/>
  <c r="K12" i="2"/>
  <c r="K9" i="6"/>
  <c r="M75" i="3" l="1"/>
  <c r="M69" i="3"/>
  <c r="M27" i="5"/>
  <c r="M147" i="5"/>
  <c r="M26" i="6"/>
  <c r="M9" i="2"/>
  <c r="M71" i="5"/>
  <c r="M73" i="5" s="1"/>
  <c r="M61" i="5" s="1"/>
  <c r="M10" i="5"/>
  <c r="M14" i="5" s="1"/>
  <c r="M11" i="2" s="1"/>
  <c r="H14" i="2"/>
  <c r="I14" i="2"/>
  <c r="I16" i="2" s="1"/>
  <c r="I11" i="7" s="1"/>
  <c r="M27" i="6" l="1"/>
  <c r="M15" i="6" s="1"/>
  <c r="M17" i="6" s="1"/>
  <c r="M9" i="6" s="1"/>
  <c r="M78" i="3"/>
  <c r="M39" i="3" s="1"/>
  <c r="M83" i="5"/>
  <c r="M62" i="5" s="1"/>
  <c r="I14" i="7"/>
  <c r="K16" i="7"/>
  <c r="M12" i="2" l="1"/>
  <c r="K18" i="7"/>
  <c r="K14" i="2" l="1"/>
  <c r="K16" i="2" s="1"/>
  <c r="K11" i="7" s="1"/>
  <c r="K14" i="7" l="1"/>
  <c r="M16" i="7"/>
  <c r="M18" i="7" l="1"/>
  <c r="M14" i="2" s="1"/>
  <c r="M16" i="2" s="1"/>
  <c r="M11" i="7" s="1"/>
  <c r="M14" i="7" s="1"/>
  <c r="F62" i="5" l="1"/>
  <c r="H64" i="5" s="1"/>
  <c r="H10" i="5" l="1"/>
  <c r="H14" i="5" l="1"/>
  <c r="H11" i="2" s="1"/>
  <c r="H16" i="2" s="1"/>
  <c r="H11" i="7" s="1"/>
  <c r="H14" i="7" s="1"/>
  <c r="J16" i="7" l="1"/>
  <c r="J18" i="7" s="1"/>
  <c r="J14" i="2" s="1"/>
  <c r="J16" i="2" s="1"/>
  <c r="J11" i="7" s="1"/>
  <c r="L16" i="7" s="1"/>
  <c r="J14" i="7" l="1"/>
  <c r="L18" i="7" s="1"/>
  <c r="L14" i="2" s="1"/>
  <c r="L16" i="2" s="1"/>
  <c r="L11" i="7" s="1"/>
  <c r="L14" i="7" s="1"/>
</calcChain>
</file>

<file path=xl/comments1.xml><?xml version="1.0" encoding="utf-8"?>
<comments xmlns="http://schemas.openxmlformats.org/spreadsheetml/2006/main">
  <authors>
    <author>Amrita Bhatt</author>
    <author>bhatta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Source: TODs</t>
        </r>
      </text>
    </comment>
    <comment ref="A32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Please input the full RPIF adjusted term as per SC 3A.11.</t>
        </r>
      </text>
    </comment>
  </commentList>
</comments>
</file>

<file path=xl/comments2.xml><?xml version="1.0" encoding="utf-8"?>
<comments xmlns="http://schemas.openxmlformats.org/spreadsheetml/2006/main">
  <authors>
    <author>bhatta</author>
    <author>Amrita Bhatt</author>
  </authors>
  <commentList>
    <comment ref="F1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3a.6: has the value zero in Relevant Year 2013/14.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3a.6: has the value zero in Relevant Year 2013/14.</t>
        </r>
      </text>
    </comment>
    <comment ref="F70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for 13/14 and 14/15 [SC 3B.7].
</t>
        </r>
      </text>
    </comment>
    <comment ref="G70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for 13/14 and 14/15 [SC 3B.7].</t>
        </r>
      </text>
    </comment>
    <comment ref="F72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for 13/14 [SC3B.11].
</t>
        </r>
      </text>
    </comment>
    <comment ref="F74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3E.3:  For Relevant Years beginning on 1 April 2013 and 1 April 2014 the value of SFI is 0.
 </t>
        </r>
      </text>
    </comment>
    <comment ref="G74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3E.3:  For Relevant Years beginning on 1 April 2013 and 1 April 2014 the value of SFI is 0.
 </t>
        </r>
      </text>
    </comment>
    <comment ref="G75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SC3C.3: For the Relevant Year beginning on 1 April 2014, this term will have the value zero.</t>
        </r>
      </text>
    </comment>
  </commentList>
</comments>
</file>

<file path=xl/comments3.xml><?xml version="1.0" encoding="utf-8"?>
<comments xmlns="http://schemas.openxmlformats.org/spreadsheetml/2006/main">
  <authors>
    <author>bhatta</author>
  </authors>
  <commentList>
    <comment ref="F23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3B.7: In the Relevant Years 2013/14 and 2014/15 RBt will have the value zero. </t>
        </r>
      </text>
    </comment>
    <comment ref="G23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3B.7: In the Relevant Years 2013/14 and 2014/15 RBt will have the value zero. </t>
        </r>
      </text>
    </comment>
    <comment ref="F43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3B.11: In the Relevant Year 2013/14 TPDt will have the value zero. </t>
        </r>
      </text>
    </comment>
  </commentList>
</comments>
</file>

<file path=xl/comments4.xml><?xml version="1.0" encoding="utf-8"?>
<comments xmlns="http://schemas.openxmlformats.org/spreadsheetml/2006/main">
  <authors>
    <author>daveyb</author>
    <author>bhatta</author>
    <author>Amrita Bhatt</author>
  </authors>
  <commentList>
    <comment ref="G21" authorId="0" shapeId="0">
      <text>
        <r>
          <rPr>
            <b/>
            <sz val="8"/>
            <color indexed="81"/>
            <rFont val="Tahoma"/>
            <family val="2"/>
          </rPr>
          <t>daveyb:</t>
        </r>
        <r>
          <rPr>
            <sz val="8"/>
            <color indexed="81"/>
            <rFont val="Tahoma"/>
            <family val="2"/>
          </rPr>
          <t xml:space="preserve">
Zero per licence
</t>
        </r>
      </text>
    </comment>
    <comment ref="F64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3D.4:  For Relevant Years 2013/14 and 2014/15, SSOt will have the value zero. </t>
        </r>
      </text>
    </comment>
    <comment ref="G64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3D.4:  For Relevant Years 2013/14 and 2014/15, SSOt will have the value zero. </t>
        </r>
      </text>
    </comment>
    <comment ref="F95" authorId="2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As per Decision on 4th Aug 2016 (https://www.ofgem.gov.uk/publications-and-updates/decision-values-within-stakeholder-satisfaction-output-arrangements), Years 1-3 switched off.</t>
        </r>
      </text>
    </comment>
    <comment ref="F107" authorId="2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As per Decision on 4th Aug 2016 (https://www.ofgem.gov.uk/publications-and-updates/decision-values-within-stakeholder-satisfaction-output-arrangements), Years 1-3 switched off.</t>
        </r>
      </text>
    </comment>
    <comment ref="F121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3E.3:  For Relevant Years beginning on 1 April 2013 and 1 April 2014 the value of SFIt is 
equal to zero. </t>
        </r>
      </text>
    </comment>
    <comment ref="G121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3E.3:  For Relevant Years beginning on 1 April 2013 and 1 April 2014 the value of SFIt is 
equal to zero. </t>
        </r>
      </text>
    </comment>
    <comment ref="F137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3F.6  For Relevant Years beginning on 1 April 2013 and 1 April 2014 the value of EDRt will 
equal zero.</t>
        </r>
      </text>
    </comment>
    <comment ref="G137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3F.6  For Relevant Years beginning on 1 April 2013 and 1 April 2014 the value of EDRt will equal zero.</t>
        </r>
      </text>
    </comment>
  </commentList>
</comments>
</file>

<file path=xl/comments5.xml><?xml version="1.0" encoding="utf-8"?>
<comments xmlns="http://schemas.openxmlformats.org/spreadsheetml/2006/main">
  <authors>
    <author>Bob</author>
    <author>bhatta</author>
  </authors>
  <commentList>
    <comment ref="F17" authorId="0" shapeId="0">
      <text>
        <r>
          <rPr>
            <b/>
            <sz val="8"/>
            <color indexed="81"/>
            <rFont val="Tahoma"/>
            <family val="2"/>
          </rPr>
          <t>Bob:</t>
        </r>
        <r>
          <rPr>
            <sz val="8"/>
            <color indexed="81"/>
            <rFont val="Tahoma"/>
            <family val="2"/>
          </rPr>
          <t xml:space="preserve">
PRO for 2013-14</t>
        </r>
      </text>
    </comment>
    <comment ref="G18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3A.16  In Relevant Year 2014/15 Kt will have the value zero.</t>
        </r>
      </text>
    </comment>
  </commentList>
</comments>
</file>

<file path=xl/sharedStrings.xml><?xml version="1.0" encoding="utf-8"?>
<sst xmlns="http://schemas.openxmlformats.org/spreadsheetml/2006/main" count="1789" uniqueCount="601">
  <si>
    <t>Units</t>
  </si>
  <si>
    <t>£m</t>
  </si>
  <si>
    <t>Totex data</t>
  </si>
  <si>
    <t>Capex data</t>
  </si>
  <si>
    <t>Network data</t>
  </si>
  <si>
    <t>Outputs data</t>
  </si>
  <si>
    <t>Opex data</t>
  </si>
  <si>
    <t>Finance data</t>
  </si>
  <si>
    <t>Year</t>
  </si>
  <si>
    <t>TIRG t</t>
  </si>
  <si>
    <t>Pass Through Items</t>
  </si>
  <si>
    <t>Correction Factor</t>
  </si>
  <si>
    <t>Allowed Transmission Owner Revenue</t>
  </si>
  <si>
    <t>TO</t>
  </si>
  <si>
    <t>Transmission Base Revenue</t>
  </si>
  <si>
    <t>Output Incentive Payments</t>
  </si>
  <si>
    <t>Transmission Investment</t>
  </si>
  <si>
    <t>PCFM Variable Values</t>
  </si>
  <si>
    <t>Base Revenue Allowance</t>
  </si>
  <si>
    <t>Pass Through Items Revenue</t>
  </si>
  <si>
    <t>Business Rates Adjustment</t>
  </si>
  <si>
    <t>License Fee Adjustment</t>
  </si>
  <si>
    <t>Temp Physical Disconnection Term</t>
  </si>
  <si>
    <t>OIPt Output Incentive Calculation and Components</t>
  </si>
  <si>
    <t>PTt Pass Through Calculation and Components</t>
  </si>
  <si>
    <t>SFIt</t>
  </si>
  <si>
    <t>Network Reliability Incentive</t>
  </si>
  <si>
    <t>Stakeholder Satisfaction Output</t>
  </si>
  <si>
    <t>SF6 Emissions</t>
  </si>
  <si>
    <t>Environmental Discretionary Reward</t>
  </si>
  <si>
    <t>It</t>
  </si>
  <si>
    <t>Kt Calculation and Components</t>
  </si>
  <si>
    <t>Transmission Network Revenue</t>
  </si>
  <si>
    <t>Max Allowed Revenue T-1</t>
  </si>
  <si>
    <t>Interest Rate Adjustment in Yr T</t>
  </si>
  <si>
    <t>Network Innovation Competition</t>
  </si>
  <si>
    <t>Network Innovation Allowance</t>
  </si>
  <si>
    <t>Under/Over Recovery</t>
  </si>
  <si>
    <t>TRUt Calculation</t>
  </si>
  <si>
    <t>Special Condition Rev Adjust</t>
  </si>
  <si>
    <t>Present Value</t>
  </si>
  <si>
    <t>Stakeholder Engagement Reward</t>
  </si>
  <si>
    <t>Stakeholder Survey Satisfaction</t>
  </si>
  <si>
    <t>SFIt Calculation</t>
  </si>
  <si>
    <t>CF</t>
  </si>
  <si>
    <t>Calculated Target Emissions</t>
  </si>
  <si>
    <t>Actual Licensee Emissions</t>
  </si>
  <si>
    <t>Conversion Factor</t>
  </si>
  <si>
    <t>Non Traded Price of Carbon</t>
  </si>
  <si>
    <t>BASE</t>
  </si>
  <si>
    <t>Network Innovation Allowance Calculation</t>
  </si>
  <si>
    <t xml:space="preserve">Allowable NIA </t>
  </si>
  <si>
    <t>Recovered NIA</t>
  </si>
  <si>
    <t>Allowable Network Innovation Allowance Calculation</t>
  </si>
  <si>
    <t>PTRA</t>
  </si>
  <si>
    <t>BPC</t>
  </si>
  <si>
    <t>NIAV</t>
  </si>
  <si>
    <t>Pass Through Factor</t>
  </si>
  <si>
    <t>Eligible NIA Expenditure</t>
  </si>
  <si>
    <t>Licensee's NIA Percentage</t>
  </si>
  <si>
    <t>Base Revenue</t>
  </si>
  <si>
    <t>RPI Forecast</t>
  </si>
  <si>
    <t>Value of Lost Load</t>
  </si>
  <si>
    <t>Max Downside Adjustment</t>
  </si>
  <si>
    <t>Loss of Supply Volume Target</t>
  </si>
  <si>
    <t>Total Incentivised Energy not supplied</t>
  </si>
  <si>
    <t>Reliability Incentive Legacy</t>
  </si>
  <si>
    <t>Business Rates Allowance</t>
  </si>
  <si>
    <t>Business Rates Actual</t>
  </si>
  <si>
    <t>Business Rates Adjustment Calculation</t>
  </si>
  <si>
    <t>True Up</t>
  </si>
  <si>
    <t>Average Interest in Yr T</t>
  </si>
  <si>
    <t>Income Adjusting Event</t>
  </si>
  <si>
    <t>Commentary</t>
  </si>
  <si>
    <t>(please list)</t>
  </si>
  <si>
    <t>Other Adjustments</t>
  </si>
  <si>
    <t>De-Minimis Turnover</t>
  </si>
  <si>
    <t>(Less Connections Contributions)</t>
  </si>
  <si>
    <t>Excluded Services (inc. Connections Contributions)</t>
  </si>
  <si>
    <t>Other Turnover Items</t>
  </si>
  <si>
    <t>Transmission Operator</t>
  </si>
  <si>
    <t>Actual Turnover</t>
  </si>
  <si>
    <t>Please provide a list of excluded services for all items greater than or equal to £500k</t>
  </si>
  <si>
    <t>Activity Description</t>
  </si>
  <si>
    <t>Total</t>
  </si>
  <si>
    <t>De Minimis Activities</t>
  </si>
  <si>
    <t>Please provide a list of De Minimis Activities for all items greater than or equal to £500k</t>
  </si>
  <si>
    <r>
      <t>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 = (PU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MOD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TRU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  x RPIF</t>
    </r>
    <r>
      <rPr>
        <vertAlign val="subscript"/>
        <sz val="12"/>
        <color theme="1"/>
        <rFont val="Times New Roman"/>
        <family val="1"/>
      </rPr>
      <t>t</t>
    </r>
  </si>
  <si>
    <r>
      <t>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RPIA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x (1+GRPIF</t>
    </r>
    <r>
      <rPr>
        <vertAlign val="subscript"/>
        <sz val="12"/>
        <color theme="1"/>
        <rFont val="Times New Roman"/>
        <family val="1"/>
      </rPr>
      <t>t-1</t>
    </r>
    <r>
      <rPr>
        <sz val="12"/>
        <color theme="1"/>
        <rFont val="Times New Roman"/>
        <family val="1"/>
      </rPr>
      <t>) x (1+GRPIF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</t>
    </r>
  </si>
  <si>
    <t>R1 Cover</t>
  </si>
  <si>
    <t>Description</t>
  </si>
  <si>
    <r>
      <t xml:space="preserve">Screenshots of the worksheets in this workbook are given in the </t>
    </r>
    <r>
      <rPr>
        <i/>
        <sz val="10"/>
        <rFont val="Verdana"/>
        <family val="2"/>
      </rPr>
      <t>Instructions for completing revenue reporting</t>
    </r>
    <r>
      <rPr>
        <sz val="10"/>
        <rFont val="Verdana"/>
        <family val="2"/>
      </rPr>
      <t xml:space="preserve"> section of the Cost and Revenue Reporting RIGs
Note:  In the event of any inconsistency, the licence conditions and then the RIGs take precedence.  Any inconsistencies with the licence conditions should be reported to Ofgem straight away.</t>
    </r>
  </si>
  <si>
    <t>cells  containing formula</t>
  </si>
  <si>
    <t>input cells</t>
  </si>
  <si>
    <t>fixed value or check cells</t>
  </si>
  <si>
    <t>cells linked to other worksheet</t>
  </si>
  <si>
    <t>R2 Schematic</t>
  </si>
  <si>
    <t>R3 Version Log</t>
  </si>
  <si>
    <t>Date</t>
  </si>
  <si>
    <t>Version</t>
  </si>
  <si>
    <t>Amendment</t>
  </si>
  <si>
    <t>R4 Licence Condition Values</t>
  </si>
  <si>
    <t>Reg Yr ending 31 March:</t>
  </si>
  <si>
    <t xml:space="preserve">General </t>
  </si>
  <si>
    <t>Range Name</t>
  </si>
  <si>
    <t>%</t>
  </si>
  <si>
    <t>Base Demand Revenue</t>
  </si>
  <si>
    <t>PU</t>
  </si>
  <si>
    <t>Pass through items</t>
  </si>
  <si>
    <t>R5 Input Page</t>
  </si>
  <si>
    <t>Basic Information</t>
  </si>
  <si>
    <t>COMPNAME</t>
  </si>
  <si>
    <t>Regulatory Year</t>
  </si>
  <si>
    <t>R6 Base Revenue</t>
  </si>
  <si>
    <t>R7 Pass through items</t>
  </si>
  <si>
    <t>R8 Output incentives</t>
  </si>
  <si>
    <t>R12 Maximum allowed revenue summary</t>
  </si>
  <si>
    <t>RPIF</t>
  </si>
  <si>
    <t>Factor</t>
  </si>
  <si>
    <t>Modification to Revenue from Annual Iteration Process - TO</t>
  </si>
  <si>
    <t>Present value factors</t>
  </si>
  <si>
    <t>Weighted average cost of capital</t>
  </si>
  <si>
    <t>RBE</t>
  </si>
  <si>
    <t>RBA</t>
  </si>
  <si>
    <t>RPIA</t>
  </si>
  <si>
    <t>RPI Actual</t>
  </si>
  <si>
    <t>Actual RPI</t>
  </si>
  <si>
    <t>RPI indices</t>
  </si>
  <si>
    <t>PVF</t>
  </si>
  <si>
    <t xml:space="preserve">Present value factor </t>
  </si>
  <si>
    <t>Temporary physical disconnection</t>
  </si>
  <si>
    <t>TPD</t>
  </si>
  <si>
    <t>TPA</t>
  </si>
  <si>
    <t>Physical disconnection costs</t>
  </si>
  <si>
    <t xml:space="preserve">Incentive Payments </t>
  </si>
  <si>
    <t>R9 Innovation incentive</t>
  </si>
  <si>
    <t>R10 Correction term</t>
  </si>
  <si>
    <t>RegYr</t>
  </si>
  <si>
    <t>TIRG</t>
  </si>
  <si>
    <t>FTIRGC</t>
  </si>
  <si>
    <t>FTIRGCDepn</t>
  </si>
  <si>
    <t>ETIRGORAV</t>
  </si>
  <si>
    <t>Dep</t>
  </si>
  <si>
    <t>CCTIRG</t>
  </si>
  <si>
    <t>PreCon</t>
  </si>
  <si>
    <t>ETIRGC</t>
  </si>
  <si>
    <t>IPTIRG</t>
  </si>
  <si>
    <t>TIRGIncAdj</t>
  </si>
  <si>
    <t>FTIRG</t>
  </si>
  <si>
    <t>ETIRG</t>
  </si>
  <si>
    <t>ATIRG</t>
  </si>
  <si>
    <t>CFTIRG</t>
  </si>
  <si>
    <t>AFFTIRG</t>
  </si>
  <si>
    <t>FTIRGDepn</t>
  </si>
  <si>
    <t>AFFTIRGDepn</t>
  </si>
  <si>
    <t>SAFTIRG</t>
  </si>
  <si>
    <t>Authority Adjustment</t>
  </si>
  <si>
    <t>SAFRTIRG</t>
  </si>
  <si>
    <t>Inflation</t>
  </si>
  <si>
    <t>Cost of capital (TIRG)</t>
  </si>
  <si>
    <t>Authority determined value</t>
  </si>
  <si>
    <t>Adjustment to Average Value of Transmission Project</t>
  </si>
  <si>
    <t>Adjustment to Depreciation</t>
  </si>
  <si>
    <t>Opening Asset Value for Transmission Project</t>
  </si>
  <si>
    <t>Actual Annual Revenue</t>
  </si>
  <si>
    <t>CCTIRG*(FTIRG+AFFTIRG)*RPIF</t>
  </si>
  <si>
    <t>(FTIRGDepn+AFFTIRGDepn)*RPIF</t>
  </si>
  <si>
    <t>Pre-construction funding</t>
  </si>
  <si>
    <t>used for 2014</t>
  </si>
  <si>
    <t>used for 2015</t>
  </si>
  <si>
    <t>used for 2016</t>
  </si>
  <si>
    <t>used for 2017</t>
  </si>
  <si>
    <t>used for 2018</t>
  </si>
  <si>
    <t>used for 2019</t>
  </si>
  <si>
    <t>used for 2020</t>
  </si>
  <si>
    <t>used for 2021</t>
  </si>
  <si>
    <t>GRPIF c</t>
  </si>
  <si>
    <t>Calendar Year</t>
  </si>
  <si>
    <t>Retail Prices Index Forecast Growth Rate</t>
  </si>
  <si>
    <t>from November 2011</t>
  </si>
  <si>
    <t>from November 2012</t>
  </si>
  <si>
    <t>from November 2013</t>
  </si>
  <si>
    <t>from November 2014</t>
  </si>
  <si>
    <t>from November 2015</t>
  </si>
  <si>
    <t>from November 2016</t>
  </si>
  <si>
    <t>from November 2017</t>
  </si>
  <si>
    <t>from November 2018</t>
  </si>
  <si>
    <t>from November 2019</t>
  </si>
  <si>
    <t>OIP</t>
  </si>
  <si>
    <t>Dep*SAFRTIRG*RPIF</t>
  </si>
  <si>
    <t>Present value factor</t>
  </si>
  <si>
    <t xml:space="preserve">For 2013/14: </t>
  </si>
  <si>
    <t>Average Specified Rate</t>
  </si>
  <si>
    <t>Reliability incentive legacy term</t>
  </si>
  <si>
    <t>RILEG</t>
  </si>
  <si>
    <t>Incentives</t>
  </si>
  <si>
    <t>Reliability</t>
  </si>
  <si>
    <t>VOLL</t>
  </si>
  <si>
    <t>MWh</t>
  </si>
  <si>
    <t>ENST</t>
  </si>
  <si>
    <t>RIDPA</t>
  </si>
  <si>
    <t>ENSA</t>
  </si>
  <si>
    <t>Base revenue</t>
  </si>
  <si>
    <t>TIRG revenue</t>
  </si>
  <si>
    <t>Revenue adjustment factor</t>
  </si>
  <si>
    <t>Product</t>
  </si>
  <si>
    <t>Average specified rate</t>
  </si>
  <si>
    <t>Incentive in respect of Sulphur Hexafluoride</t>
  </si>
  <si>
    <t>PTIS</t>
  </si>
  <si>
    <t>RPI factor</t>
  </si>
  <si>
    <t>PTIS calculation</t>
  </si>
  <si>
    <t>TIS</t>
  </si>
  <si>
    <t>Totex Incentive Strength</t>
  </si>
  <si>
    <t>TR</t>
  </si>
  <si>
    <t>Corporation tax rate</t>
  </si>
  <si>
    <t>Post tax incentive strength</t>
  </si>
  <si>
    <t>Sulphur Hexafluoride Incentive</t>
  </si>
  <si>
    <t>Base leakage</t>
  </si>
  <si>
    <t>Additional SF6 leakage</t>
  </si>
  <si>
    <t>ADD</t>
  </si>
  <si>
    <t>DSP</t>
  </si>
  <si>
    <t>Reduction from decommissioned assets</t>
  </si>
  <si>
    <t>ALE</t>
  </si>
  <si>
    <t>NTPC</t>
  </si>
  <si>
    <t>Non traded price of carbon</t>
  </si>
  <si>
    <t>SFI</t>
  </si>
  <si>
    <r>
      <t>EDR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= EDRO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(1 + I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/ 100) x (1 + I</t>
    </r>
    <r>
      <rPr>
        <vertAlign val="subscript"/>
        <sz val="12"/>
        <rFont val="Times New Roman"/>
        <family val="1"/>
      </rPr>
      <t>t-1</t>
    </r>
    <r>
      <rPr>
        <sz val="12"/>
        <rFont val="Times New Roman"/>
        <family val="1"/>
      </rPr>
      <t xml:space="preserve"> / 100)</t>
    </r>
  </si>
  <si>
    <t>EDRO</t>
  </si>
  <si>
    <t>EDR scheme adjustment</t>
  </si>
  <si>
    <r>
      <t>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PTRA x min((ENIA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BPC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), (NIAV x 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))</t>
    </r>
  </si>
  <si>
    <r>
      <t>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= 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- NIAR</t>
    </r>
    <r>
      <rPr>
        <vertAlign val="subscript"/>
        <sz val="12"/>
        <color theme="1"/>
        <rFont val="Times New Roman"/>
        <family val="1"/>
      </rPr>
      <t>t</t>
    </r>
  </si>
  <si>
    <t>NIC Eligible Bid Preparation Costs</t>
  </si>
  <si>
    <t>ENIA</t>
  </si>
  <si>
    <t>NIA</t>
  </si>
  <si>
    <t>NICF</t>
  </si>
  <si>
    <t>NIAR</t>
  </si>
  <si>
    <t xml:space="preserve">Pre tax TIRG cost of capital </t>
  </si>
  <si>
    <t>Adjustment to Av asset value</t>
  </si>
  <si>
    <t>(CCTIRG*(ETIRG*SAFTRTIRG)*RPIF)</t>
  </si>
  <si>
    <t>R11 TIRG</t>
  </si>
  <si>
    <t>Adjustment to Av asset depreciation</t>
  </si>
  <si>
    <t>Preconstruction</t>
  </si>
  <si>
    <t>Authority directed adjustments</t>
  </si>
  <si>
    <t>Opening asset value</t>
  </si>
  <si>
    <t xml:space="preserve"> Period:</t>
  </si>
  <si>
    <t>Reconciliation to Regulatory / Statutory Accounts</t>
  </si>
  <si>
    <t>Building phase - average asset value</t>
  </si>
  <si>
    <t>Building phase - depreciation value</t>
  </si>
  <si>
    <t xml:space="preserve">Incentive phase opening RAV </t>
  </si>
  <si>
    <t xml:space="preserve">Incentive phase depreciation allowed </t>
  </si>
  <si>
    <t>Incentive phase average asset value</t>
  </si>
  <si>
    <t>Incentive period</t>
  </si>
  <si>
    <t>Construction period</t>
  </si>
  <si>
    <t>Income adjusting event</t>
  </si>
  <si>
    <t>Weighted average cost of capital (from PCFM)</t>
  </si>
  <si>
    <t>WACC</t>
  </si>
  <si>
    <t>Company name</t>
  </si>
  <si>
    <t xml:space="preserve">Relevant TO Special Condition revenue adjustments </t>
  </si>
  <si>
    <t>Revenue total for 2013</t>
  </si>
  <si>
    <t>RI</t>
  </si>
  <si>
    <t>Reliability incentive</t>
  </si>
  <si>
    <t>From 2015/16:</t>
  </si>
  <si>
    <t>TNR</t>
  </si>
  <si>
    <t xml:space="preserve">Max Allowed Revenue </t>
  </si>
  <si>
    <t>R13 Excluded/ De Minimis revenue</t>
  </si>
  <si>
    <t>Sub total</t>
  </si>
  <si>
    <t>SubTIRG</t>
  </si>
  <si>
    <t xml:space="preserve">Subtotal of TIRG </t>
  </si>
  <si>
    <t>TIRG - Project 2</t>
  </si>
  <si>
    <t>TIRG - Project 3</t>
  </si>
  <si>
    <t>TIRG - Project 4</t>
  </si>
  <si>
    <t>SAFTIRG2</t>
  </si>
  <si>
    <t>SAFTIRG3</t>
  </si>
  <si>
    <t>SAFTIRG4</t>
  </si>
  <si>
    <t>Determination of IPTIRG 1</t>
  </si>
  <si>
    <t>Determination of FTIRG 1</t>
  </si>
  <si>
    <t>Determination of ETIRG 1</t>
  </si>
  <si>
    <t xml:space="preserve">Determination of TIRG Project 1 - </t>
  </si>
  <si>
    <t xml:space="preserve">Determination of TIRG Project 2 - </t>
  </si>
  <si>
    <t>Determination of IPTIRG 2</t>
  </si>
  <si>
    <t>Determination of FTIRG 2</t>
  </si>
  <si>
    <t>Determination of ETIRG 2</t>
  </si>
  <si>
    <t xml:space="preserve">Determination of TIRG Project 3 - </t>
  </si>
  <si>
    <t>Determination of IPTIRG 3</t>
  </si>
  <si>
    <t>Determination of FTIRG 3</t>
  </si>
  <si>
    <t>Determination of ETIRG 3</t>
  </si>
  <si>
    <t xml:space="preserve">Determination of TIRG Project 4 - </t>
  </si>
  <si>
    <t>Determination of IPTIRG 4</t>
  </si>
  <si>
    <t>Determination of FTIRG 4</t>
  </si>
  <si>
    <t>Determination of ETIRG 4</t>
  </si>
  <si>
    <t xml:space="preserve">Determination of TIRG Project 5 - </t>
  </si>
  <si>
    <t>Determination of IPTIRG 5</t>
  </si>
  <si>
    <t>Determination of FTIRG 5</t>
  </si>
  <si>
    <t>Determination of ETIRG 5</t>
  </si>
  <si>
    <t>MOD</t>
  </si>
  <si>
    <t>FOR INFORMATION ONLY</t>
  </si>
  <si>
    <t>Allowable Network Innovation Expenditure</t>
  </si>
  <si>
    <t>Z</t>
  </si>
  <si>
    <t xml:space="preserve">Eligible NIA Internal Expenditure </t>
  </si>
  <si>
    <t>NIAIE</t>
  </si>
  <si>
    <t>Revenue for rollover year - per definition in Special Condition 3A 11</t>
  </si>
  <si>
    <t>CONADJ</t>
  </si>
  <si>
    <t xml:space="preserve">Performance re offers of timely connection </t>
  </si>
  <si>
    <t>CONADJ calculation</t>
  </si>
  <si>
    <t>Untimely offers</t>
  </si>
  <si>
    <t>Total offers</t>
  </si>
  <si>
    <t>Base Transmission Revenue</t>
  </si>
  <si>
    <t>BR</t>
  </si>
  <si>
    <t>Interest</t>
  </si>
  <si>
    <t>UNTO</t>
  </si>
  <si>
    <t>TOTO</t>
  </si>
  <si>
    <t>SSI</t>
  </si>
  <si>
    <t>SSI Calculation</t>
  </si>
  <si>
    <t>SS</t>
  </si>
  <si>
    <t>SKPI</t>
  </si>
  <si>
    <t>SEA</t>
  </si>
  <si>
    <t>CTE</t>
  </si>
  <si>
    <r>
      <t>OIP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 =RI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SSO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SFI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+ EDR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-</t>
    </r>
    <r>
      <rPr>
        <vertAlign val="subscript"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CONADJ</t>
    </r>
    <r>
      <rPr>
        <vertAlign val="subscript"/>
        <sz val="12"/>
        <color theme="1"/>
        <rFont val="Times New Roman"/>
        <family val="1"/>
      </rPr>
      <t>t</t>
    </r>
  </si>
  <si>
    <t>Network Reliability Incentive Calculation</t>
  </si>
  <si>
    <t xml:space="preserve">Post Tax Totex Incentive Strength </t>
  </si>
  <si>
    <t>Actual RPI factor</t>
  </si>
  <si>
    <t>Forecast RPI factor</t>
  </si>
  <si>
    <t>SSO</t>
  </si>
  <si>
    <t>EDR</t>
  </si>
  <si>
    <t>SSO Calculation</t>
  </si>
  <si>
    <t>SSC</t>
  </si>
  <si>
    <t>SER</t>
  </si>
  <si>
    <t>I</t>
  </si>
  <si>
    <t xml:space="preserve">BR </t>
  </si>
  <si>
    <t xml:space="preserve">PT </t>
  </si>
  <si>
    <t xml:space="preserve">OIP </t>
  </si>
  <si>
    <t xml:space="preserve">TIRG </t>
  </si>
  <si>
    <t xml:space="preserve">K </t>
  </si>
  <si>
    <t>PR</t>
  </si>
  <si>
    <t>K</t>
  </si>
  <si>
    <t>ANIA</t>
  </si>
  <si>
    <t>RB</t>
  </si>
  <si>
    <t>PT</t>
  </si>
  <si>
    <t>TRU</t>
  </si>
  <si>
    <t xml:space="preserve">RPIA </t>
  </si>
  <si>
    <t xml:space="preserve">GRPIF </t>
  </si>
  <si>
    <t xml:space="preserve">RPIF </t>
  </si>
  <si>
    <t>REV</t>
  </si>
  <si>
    <t>LICENCE INCORRECT - TO BE AMENDED AS SHOWN</t>
  </si>
  <si>
    <t>AFFTIRG2</t>
  </si>
  <si>
    <t>AFFTIRGDepn2</t>
  </si>
  <si>
    <t>TIRGIncAdj2</t>
  </si>
  <si>
    <t>ATIRG2</t>
  </si>
  <si>
    <t>AFFTIRG3</t>
  </si>
  <si>
    <t>AFFTIRGDepn3</t>
  </si>
  <si>
    <t>TIRGIncAdj3</t>
  </si>
  <si>
    <t>ATIRG3</t>
  </si>
  <si>
    <t>AFFTIRG4</t>
  </si>
  <si>
    <t>AFFTIRGDepn4</t>
  </si>
  <si>
    <t>TIRGIncAdj4</t>
  </si>
  <si>
    <t>ATIRG4</t>
  </si>
  <si>
    <t>Beauly-Denny</t>
  </si>
  <si>
    <t>B5 Boundary</t>
  </si>
  <si>
    <t>SW Scotland reinforcement</t>
  </si>
  <si>
    <t xml:space="preserve">England-Scotland interconnection </t>
  </si>
  <si>
    <t>Sloy</t>
  </si>
  <si>
    <t>TIRG - Project 5</t>
  </si>
  <si>
    <t>AFFTIRG5</t>
  </si>
  <si>
    <t>AFFTIRGDepn5</t>
  </si>
  <si>
    <t>SAFTIRG5</t>
  </si>
  <si>
    <t>TIRGIncAdj5</t>
  </si>
  <si>
    <t>ATIRG5</t>
  </si>
  <si>
    <t>South West Scotland reinforcement</t>
  </si>
  <si>
    <t>Project 1</t>
  </si>
  <si>
    <t>Project 2</t>
  </si>
  <si>
    <t>Project 3</t>
  </si>
  <si>
    <t>Project 4</t>
  </si>
  <si>
    <t>Project 5</t>
  </si>
  <si>
    <t>Dep2</t>
  </si>
  <si>
    <t>ETIRGC2</t>
  </si>
  <si>
    <t>ETIRGC4</t>
  </si>
  <si>
    <t>ETIRGC5</t>
  </si>
  <si>
    <t>FTIRGDepn2</t>
  </si>
  <si>
    <t>FTIRGC2</t>
  </si>
  <si>
    <t>FTIRGCDepn2</t>
  </si>
  <si>
    <t>ETIRGORAV2</t>
  </si>
  <si>
    <t>SAFRTIRG2</t>
  </si>
  <si>
    <t>ETIRG2</t>
  </si>
  <si>
    <t>FTIRGC3</t>
  </si>
  <si>
    <t>FTIRGDepn3</t>
  </si>
  <si>
    <t>ETIRGC3</t>
  </si>
  <si>
    <t>ETIRGORAV3</t>
  </si>
  <si>
    <t>SAFRTIRG3</t>
  </si>
  <si>
    <t>ETIRG3</t>
  </si>
  <si>
    <t>FTIRGCDepn3</t>
  </si>
  <si>
    <t>Dep_3</t>
  </si>
  <si>
    <t>Dep_4</t>
  </si>
  <si>
    <t>Dep_5</t>
  </si>
  <si>
    <t>FTIRGC4</t>
  </si>
  <si>
    <t>FTIRGCDepn4</t>
  </si>
  <si>
    <t>ETIRGORAV4</t>
  </si>
  <si>
    <t>ETIRGORAV5</t>
  </si>
  <si>
    <t>SAFRTIRG5</t>
  </si>
  <si>
    <t>Stakeholder Engagement Reward Limit (3D.5)</t>
  </si>
  <si>
    <t>Stakeholder Satisfaction Incentive</t>
  </si>
  <si>
    <t xml:space="preserve">Network Innovation Allowance </t>
  </si>
  <si>
    <t>£/tonne</t>
  </si>
  <si>
    <t xml:space="preserve">CTE calculation </t>
  </si>
  <si>
    <t>For relevant year beginning on 1 April 2015:</t>
  </si>
  <si>
    <t>Eligible Internal NIA Expenditure</t>
  </si>
  <si>
    <t>Excluded Services and De minimis Activities</t>
  </si>
  <si>
    <t>Turnover as per Profit and Loss (Regulatory Accounts)</t>
  </si>
  <si>
    <t xml:space="preserve">Forecast pre-construction and contingency costs </t>
  </si>
  <si>
    <t xml:space="preserve">This workbook incoporates the detailed and forecast returns referred to in Standard Condition 15 of the Electricity Transmission Licence.  
</t>
  </si>
  <si>
    <t>CFTIRG3</t>
  </si>
  <si>
    <t>Dep4</t>
  </si>
  <si>
    <t>SAFRTIRG4</t>
  </si>
  <si>
    <t>ETIRG4</t>
  </si>
  <si>
    <r>
      <t>PT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RB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</t>
    </r>
    <r>
      <rPr>
        <sz val="12"/>
        <color theme="1"/>
        <rFont val="Times New Roman"/>
        <family val="1"/>
      </rPr>
      <t xml:space="preserve"> TPD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/>
    </r>
  </si>
  <si>
    <t xml:space="preserve">Base leakage </t>
  </si>
  <si>
    <t>Calculation for 2013/14 (taken from 2012/13 revenue model)</t>
  </si>
  <si>
    <t xml:space="preserve">PR </t>
  </si>
  <si>
    <t>Base revenue in year t-1</t>
  </si>
  <si>
    <t>PR t-1</t>
  </si>
  <si>
    <t>Revenue Adjustment</t>
  </si>
  <si>
    <t>RIUPA</t>
  </si>
  <si>
    <t>RIUT</t>
  </si>
  <si>
    <t>RICOL</t>
  </si>
  <si>
    <t>RIP</t>
  </si>
  <si>
    <t>RILT</t>
  </si>
  <si>
    <t>Revenue Adjustment Factor in incentive period y</t>
  </si>
  <si>
    <t>RAF</t>
  </si>
  <si>
    <t>Transmission Network Reliability Incentive</t>
  </si>
  <si>
    <t>Transmission Network Reliability Incentive (from 12/13 revenue model)</t>
  </si>
  <si>
    <t>Incentivised Loss Supply - Lower Limit</t>
  </si>
  <si>
    <t>MW</t>
  </si>
  <si>
    <t>Incentivised Loss Supply - Upper Limit</t>
  </si>
  <si>
    <t>Percentage Adjust - Lower Limit</t>
  </si>
  <si>
    <t>Percentage Adjust - UpperLimit</t>
  </si>
  <si>
    <t>Supply Collar</t>
  </si>
  <si>
    <t xml:space="preserve">Number of Incentivised loss of supply events </t>
  </si>
  <si>
    <t>Unsupplied Energy Volumes - events</t>
  </si>
  <si>
    <t xml:space="preserve">Maximum Upside % </t>
  </si>
  <si>
    <t>Maximum Downside %</t>
  </si>
  <si>
    <t>Incentivised Upper Target</t>
  </si>
  <si>
    <t>Incentivised loss of supply collar</t>
  </si>
  <si>
    <t xml:space="preserve">Lower Limit target </t>
  </si>
  <si>
    <t>Events</t>
  </si>
  <si>
    <r>
      <t>SFI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= (CTE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– ALE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) x CF x NTPC</t>
    </r>
    <r>
      <rPr>
        <vertAlign val="subscript"/>
        <sz val="12"/>
        <rFont val="Times New Roman"/>
        <family val="1"/>
      </rPr>
      <t xml:space="preserve">t-2 </t>
    </r>
    <r>
      <rPr>
        <sz val="12"/>
        <rFont val="Times New Roman"/>
        <family val="1"/>
      </rPr>
      <t>x PTIS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PVF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PVF</t>
    </r>
    <r>
      <rPr>
        <vertAlign val="subscript"/>
        <sz val="12"/>
        <rFont val="Times New Roman"/>
        <family val="1"/>
      </rPr>
      <t>t-1</t>
    </r>
    <r>
      <rPr>
        <sz val="12"/>
        <rFont val="Times New Roman"/>
        <family val="1"/>
      </rPr>
      <t xml:space="preserve"> x RPIF</t>
    </r>
    <r>
      <rPr>
        <vertAlign val="subscript"/>
        <sz val="12"/>
        <rFont val="Times New Roman"/>
        <family val="1"/>
      </rPr>
      <t>t</t>
    </r>
  </si>
  <si>
    <r>
      <t>EDR</t>
    </r>
    <r>
      <rPr>
        <b/>
        <vertAlign val="subscript"/>
        <sz val="10"/>
        <rFont val="Verdana"/>
        <family val="2"/>
      </rPr>
      <t>t</t>
    </r>
    <r>
      <rPr>
        <b/>
        <sz val="10"/>
        <rFont val="Verdana"/>
        <family val="2"/>
      </rPr>
      <t xml:space="preserve"> calculation</t>
    </r>
  </si>
  <si>
    <r>
      <t>CTE</t>
    </r>
    <r>
      <rPr>
        <sz val="6"/>
        <rFont val="Verdana"/>
        <family val="2"/>
      </rPr>
      <t>t-2</t>
    </r>
    <r>
      <rPr>
        <sz val="10"/>
        <rFont val="Verdana"/>
        <family val="2"/>
      </rPr>
      <t xml:space="preserve"> = BASE + ADD</t>
    </r>
    <r>
      <rPr>
        <sz val="6"/>
        <rFont val="Verdana"/>
        <family val="2"/>
      </rPr>
      <t xml:space="preserve">t-2 </t>
    </r>
    <r>
      <rPr>
        <sz val="10"/>
        <rFont val="Verdana"/>
        <family val="2"/>
      </rPr>
      <t>- DSP</t>
    </r>
    <r>
      <rPr>
        <sz val="6"/>
        <rFont val="Verdana"/>
        <family val="2"/>
      </rPr>
      <t>t-2</t>
    </r>
  </si>
  <si>
    <t>v1</t>
  </si>
  <si>
    <t>SC 3A.7</t>
  </si>
  <si>
    <t>SC 3A.8</t>
  </si>
  <si>
    <t>SC 3A.10</t>
  </si>
  <si>
    <t>In 2014/15:</t>
  </si>
  <si>
    <t>Base Transmission Revenue 12/13</t>
  </si>
  <si>
    <r>
      <t xml:space="preserve">PR </t>
    </r>
    <r>
      <rPr>
        <sz val="8"/>
        <rFont val="Verdana"/>
        <family val="2"/>
      </rPr>
      <t>t-2</t>
    </r>
  </si>
  <si>
    <t>Transmission Investment Incentives Projects adjustment 12/13</t>
  </si>
  <si>
    <r>
      <t xml:space="preserve">TOInc </t>
    </r>
    <r>
      <rPr>
        <sz val="8"/>
        <rFont val="Verdana"/>
        <family val="2"/>
      </rPr>
      <t>t-2</t>
    </r>
  </si>
  <si>
    <t>Subtotal TIRG 12/13</t>
  </si>
  <si>
    <r>
      <t xml:space="preserve">TIRG </t>
    </r>
    <r>
      <rPr>
        <sz val="8"/>
        <rFont val="Verdana"/>
        <family val="2"/>
      </rPr>
      <t>t-2</t>
    </r>
  </si>
  <si>
    <t>Capital expenditure inventive revenue adjustment 12/13</t>
  </si>
  <si>
    <r>
      <t xml:space="preserve">CXIncRA </t>
    </r>
    <r>
      <rPr>
        <sz val="8"/>
        <rFont val="Verdana"/>
        <family val="2"/>
      </rPr>
      <t>t-2</t>
    </r>
  </si>
  <si>
    <t>RPI Forecast 12/13</t>
  </si>
  <si>
    <r>
      <t xml:space="preserve">RPIF </t>
    </r>
    <r>
      <rPr>
        <sz val="8"/>
        <rFont val="Verdana"/>
        <family val="2"/>
      </rPr>
      <t>t-2</t>
    </r>
  </si>
  <si>
    <t>Network rates allowance 12/13</t>
  </si>
  <si>
    <r>
      <t xml:space="preserve">RV </t>
    </r>
    <r>
      <rPr>
        <sz val="8"/>
        <rFont val="Verdana"/>
        <family val="2"/>
      </rPr>
      <t>t-2</t>
    </r>
  </si>
  <si>
    <t>BR t</t>
  </si>
  <si>
    <t>RBt</t>
  </si>
  <si>
    <t>TPDt</t>
  </si>
  <si>
    <t>RIt</t>
  </si>
  <si>
    <t>TIRGt</t>
  </si>
  <si>
    <r>
      <t>RPIF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 xml:space="preserve"> </t>
    </r>
  </si>
  <si>
    <t>REVt</t>
  </si>
  <si>
    <t>In 13/14 and from 15/16 onwards:</t>
  </si>
  <si>
    <t>SC3B.3</t>
  </si>
  <si>
    <t>SC3B.5</t>
  </si>
  <si>
    <t>For relevant year beginning on 1 April 2016 onwards:</t>
  </si>
  <si>
    <t>SC 3H.4</t>
  </si>
  <si>
    <t>SC 3H.6</t>
  </si>
  <si>
    <t>PRO</t>
  </si>
  <si>
    <t xml:space="preserve">Determination of TIRG TOTAL - </t>
  </si>
  <si>
    <t>score/10</t>
  </si>
  <si>
    <t>score/100</t>
  </si>
  <si>
    <t>KG</t>
  </si>
  <si>
    <t>£tonne</t>
  </si>
  <si>
    <t>Ofgem £m</t>
  </si>
  <si>
    <t>SC 3A.11</t>
  </si>
  <si>
    <t>SC 3B.9</t>
  </si>
  <si>
    <t>SC 3H.7</t>
  </si>
  <si>
    <t>SC 3A.14</t>
  </si>
  <si>
    <t>SC 3A.15</t>
  </si>
  <si>
    <t>TOt = BRt + PTt + OIPt + NIAt + TIRGt - Kt</t>
  </si>
  <si>
    <t>SC 3A.3</t>
  </si>
  <si>
    <t>£/MWh</t>
  </si>
  <si>
    <t>SC 3C.3; SC 3C.4</t>
  </si>
  <si>
    <r>
      <t>RI</t>
    </r>
    <r>
      <rPr>
        <vertAlign val="subscript"/>
        <sz val="11"/>
        <rFont val="Verdana"/>
        <family val="2"/>
      </rPr>
      <t>t</t>
    </r>
    <r>
      <rPr>
        <sz val="11"/>
        <rFont val="Verdana"/>
        <family val="2"/>
      </rPr>
      <t xml:space="preserve"> = RILEG</t>
    </r>
    <r>
      <rPr>
        <vertAlign val="subscript"/>
        <sz val="11"/>
        <rFont val="Verdana"/>
        <family val="2"/>
      </rPr>
      <t>t              ;</t>
    </r>
  </si>
  <si>
    <t>SC 3D.3</t>
  </si>
  <si>
    <t>SC 3D.11</t>
  </si>
  <si>
    <t>SC 3E.3</t>
  </si>
  <si>
    <t>SC 3E.6</t>
  </si>
  <si>
    <t>SC 3A.12</t>
  </si>
  <si>
    <t>SC 3F.7</t>
  </si>
  <si>
    <t>SC 3G.12</t>
  </si>
  <si>
    <t>SC 3E.4</t>
  </si>
  <si>
    <t>SC 3J.2</t>
  </si>
  <si>
    <t>SC 3J.3</t>
  </si>
  <si>
    <t>SC 3J.5</t>
  </si>
  <si>
    <t>SC 3J.7</t>
  </si>
  <si>
    <t>#</t>
  </si>
  <si>
    <t>Volume</t>
  </si>
  <si>
    <t>Present value factor (SC 3A.9)</t>
  </si>
  <si>
    <t>Network Reliability Incentive (SC 3C)</t>
  </si>
  <si>
    <t>Stakeholder Incentive (SC 3D)</t>
  </si>
  <si>
    <t>Sulphur Hexafluoride Incentive (SC 3E)</t>
  </si>
  <si>
    <t>Output Incentives CONADJ calculation (SC 3G)</t>
  </si>
  <si>
    <r>
      <t xml:space="preserve">Innovation Incentive </t>
    </r>
    <r>
      <rPr>
        <b/>
        <sz val="9"/>
        <color theme="1"/>
        <rFont val="Verdana"/>
        <family val="2"/>
      </rPr>
      <t>(SC 3H)</t>
    </r>
  </si>
  <si>
    <r>
      <t xml:space="preserve">TIRG </t>
    </r>
    <r>
      <rPr>
        <b/>
        <sz val="9"/>
        <color theme="1"/>
        <rFont val="Verdana"/>
        <family val="2"/>
      </rPr>
      <t>(SC 3J - Schedule C)</t>
    </r>
  </si>
  <si>
    <t>SC 3A.5</t>
  </si>
  <si>
    <t>Index</t>
  </si>
  <si>
    <t>Check</t>
  </si>
  <si>
    <t>Scottish Power Transmission plc</t>
  </si>
  <si>
    <t xml:space="preserve">Stakeholder satisfaction score </t>
  </si>
  <si>
    <t xml:space="preserve">Stakeholder Engagement Reward </t>
  </si>
  <si>
    <t>Actual emissions</t>
  </si>
  <si>
    <t>Environmental discretionary reward scheme - 3F</t>
  </si>
  <si>
    <t xml:space="preserve">Total offers </t>
  </si>
  <si>
    <t>Business rates payments (SC 3B.6)</t>
  </si>
  <si>
    <t>Opening Base Revenue Allowance - TO (SC 3A Appendix 1)</t>
  </si>
  <si>
    <t>Business Rates Allowance (SC 3B Appendix 1)</t>
  </si>
  <si>
    <t>Value of lost load per MWh (SC 3C.4)</t>
  </si>
  <si>
    <t>Loss of Supply Volume Target (SC 3C.4)</t>
  </si>
  <si>
    <t>Max Downside Adjustment (SC 3C.4)</t>
  </si>
  <si>
    <t>Totex Incentive Strength (SC 6C Appendix 1)</t>
  </si>
  <si>
    <t>Licensee's NIA Percentage (SC 3H Appendix 1)</t>
  </si>
  <si>
    <t>Conversion Factor (SC 3E.3)</t>
  </si>
  <si>
    <t>Non traded price of carbon (SC 3E.3)</t>
  </si>
  <si>
    <t>Pass Through Factor (SC 3H.6)</t>
  </si>
  <si>
    <t>Temporary physical disconnection (SC 3B.10)</t>
  </si>
  <si>
    <t xml:space="preserve">TIRG - Project 1 (SC 3J) </t>
  </si>
  <si>
    <t>Innovation Incentive Calculation and Components</t>
  </si>
  <si>
    <t>Excluded Services (SC 8B)</t>
  </si>
  <si>
    <t>£m 09/10 prices</t>
  </si>
  <si>
    <t xml:space="preserve">Subtotal TIRG 12/13 </t>
  </si>
  <si>
    <t>Source TOD - AIP 2015</t>
  </si>
  <si>
    <t>Full year effect of previous year additions</t>
  </si>
  <si>
    <t>FYADD</t>
  </si>
  <si>
    <t>Full year effect of previous year disposals</t>
  </si>
  <si>
    <t>FYDSP</t>
  </si>
  <si>
    <t>Previous year base leakage</t>
  </si>
  <si>
    <t>Full year impact of previous year additions</t>
  </si>
  <si>
    <t>Full year impact of previous year disposals</t>
  </si>
  <si>
    <t>CTE/FYCTE</t>
  </si>
  <si>
    <t>SSPRO</t>
  </si>
  <si>
    <t>Proportion</t>
  </si>
  <si>
    <t>SKPIPRO</t>
  </si>
  <si>
    <t>SEAPRO</t>
  </si>
  <si>
    <r>
      <t>If SSC</t>
    </r>
    <r>
      <rPr>
        <sz val="9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&gt; SST:</t>
    </r>
  </si>
  <si>
    <r>
      <t>SSI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= (SSPRO</t>
    </r>
    <r>
      <rPr>
        <sz val="9"/>
        <rFont val="Times New Roman"/>
        <family val="1"/>
      </rPr>
      <t>t-2</t>
    </r>
    <r>
      <rPr>
        <sz val="12"/>
        <rFont val="Times New Roman"/>
        <family val="1"/>
      </rPr>
      <t xml:space="preserve"> * SS</t>
    </r>
    <r>
      <rPr>
        <vertAlign val="subscript"/>
        <sz val="12"/>
        <rFont val="Times New Roman"/>
        <family val="1"/>
      </rPr>
      <t xml:space="preserve">t-2) </t>
    </r>
    <r>
      <rPr>
        <sz val="12"/>
        <rFont val="Times New Roman"/>
        <family val="1"/>
      </rPr>
      <t>+ (SKPIPRO</t>
    </r>
    <r>
      <rPr>
        <sz val="9"/>
        <rFont val="Times New Roman"/>
        <family val="1"/>
      </rPr>
      <t>t-2</t>
    </r>
    <r>
      <rPr>
        <sz val="12"/>
        <rFont val="Times New Roman"/>
        <family val="1"/>
      </rPr>
      <t xml:space="preserve"> * SKPI</t>
    </r>
    <r>
      <rPr>
        <vertAlign val="subscript"/>
        <sz val="12"/>
        <rFont val="Times New Roman"/>
        <family val="1"/>
      </rPr>
      <t>t-2)</t>
    </r>
    <r>
      <rPr>
        <sz val="12"/>
        <rFont val="Times New Roman"/>
        <family val="1"/>
      </rPr>
      <t xml:space="preserve"> + (SEAPRO</t>
    </r>
    <r>
      <rPr>
        <sz val="9"/>
        <rFont val="Times New Roman"/>
        <family val="1"/>
      </rPr>
      <t>t-2</t>
    </r>
    <r>
      <rPr>
        <sz val="12"/>
        <rFont val="Times New Roman"/>
        <family val="1"/>
      </rPr>
      <t xml:space="preserve"> * SEA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)) x (BR</t>
    </r>
    <r>
      <rPr>
        <vertAlign val="subscript"/>
        <sz val="12"/>
        <rFont val="Times New Roman"/>
        <family val="1"/>
      </rPr>
      <t xml:space="preserve">t-2 </t>
    </r>
    <r>
      <rPr>
        <sz val="12"/>
        <rFont val="Times New Roman"/>
        <family val="1"/>
      </rPr>
      <t>+ TIRG</t>
    </r>
    <r>
      <rPr>
        <vertAlign val="subscript"/>
        <sz val="11"/>
        <rFont val="Times New Roman"/>
        <family val="1"/>
      </rPr>
      <t>t-2</t>
    </r>
    <r>
      <rPr>
        <sz val="12"/>
        <rFont val="Times New Roman"/>
        <family val="1"/>
      </rPr>
      <t>) * 0.01</t>
    </r>
  </si>
  <si>
    <r>
      <t>SS</t>
    </r>
    <r>
      <rPr>
        <sz val="9"/>
        <rFont val="Times New Roman"/>
        <family val="1"/>
      </rPr>
      <t>t-2</t>
    </r>
    <r>
      <rPr>
        <sz val="12"/>
        <rFont val="Times New Roman"/>
        <family val="1"/>
      </rPr>
      <t xml:space="preserve"> = min (SSUPA, SSUPA × [SSC</t>
    </r>
    <r>
      <rPr>
        <sz val="9"/>
        <rFont val="Times New Roman"/>
        <family val="1"/>
      </rPr>
      <t xml:space="preserve">t−2 </t>
    </r>
    <r>
      <rPr>
        <sz val="12"/>
        <rFont val="Times New Roman"/>
        <family val="1"/>
      </rPr>
      <t>− SST / SSCAP − SST])</t>
    </r>
  </si>
  <si>
    <r>
      <t>If SSC</t>
    </r>
    <r>
      <rPr>
        <sz val="9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&lt; SST:</t>
    </r>
  </si>
  <si>
    <r>
      <t>SS</t>
    </r>
    <r>
      <rPr>
        <sz val="9"/>
        <rFont val="Times New Roman"/>
        <family val="1"/>
      </rPr>
      <t>t-2</t>
    </r>
    <r>
      <rPr>
        <sz val="12"/>
        <rFont val="Times New Roman"/>
        <family val="1"/>
      </rPr>
      <t xml:space="preserve"> = max (SSDPA, SSDPA × [SST - SSCt−2  / SST - SSCOL])</t>
    </r>
  </si>
  <si>
    <t>(SC 3D.11)</t>
  </si>
  <si>
    <r>
      <t>SS</t>
    </r>
    <r>
      <rPr>
        <b/>
        <vertAlign val="subscript"/>
        <sz val="10"/>
        <rFont val="Verdana"/>
        <family val="2"/>
      </rPr>
      <t>t-2</t>
    </r>
    <r>
      <rPr>
        <b/>
        <sz val="10"/>
        <rFont val="Verdana"/>
        <family val="2"/>
      </rPr>
      <t xml:space="preserve"> calculation</t>
    </r>
  </si>
  <si>
    <t>Stakeholder Satisfaction Target</t>
  </si>
  <si>
    <t>Score</t>
  </si>
  <si>
    <t>Stakeholder Satisfaction Survey cap</t>
  </si>
  <si>
    <t>Stakeholder Satisfaction Survey upside adj</t>
  </si>
  <si>
    <t>Stakeholder Satisfaction Survey collar</t>
  </si>
  <si>
    <t xml:space="preserve">Stakeholder Satisfaction Survey downside </t>
  </si>
  <si>
    <t>Stakeholder Satisfaction Survey score</t>
  </si>
  <si>
    <t>SST</t>
  </si>
  <si>
    <t>SSCAP</t>
  </si>
  <si>
    <t>SSUPA</t>
  </si>
  <si>
    <t>SSCOL</t>
  </si>
  <si>
    <t>SSDPA</t>
  </si>
  <si>
    <t>Stakeholder Satisfaction Survey Proportion</t>
  </si>
  <si>
    <t>SERLIMIT</t>
  </si>
  <si>
    <t>-</t>
  </si>
  <si>
    <r>
      <t>SKPI</t>
    </r>
    <r>
      <rPr>
        <b/>
        <vertAlign val="subscript"/>
        <sz val="10"/>
        <rFont val="Verdana"/>
        <family val="2"/>
      </rPr>
      <t>t-2</t>
    </r>
    <r>
      <rPr>
        <b/>
        <sz val="10"/>
        <rFont val="Verdana"/>
        <family val="2"/>
      </rPr>
      <t xml:space="preserve"> calculation</t>
    </r>
  </si>
  <si>
    <r>
      <t>If SKPIC</t>
    </r>
    <r>
      <rPr>
        <sz val="9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&gt; SKPIT:</t>
    </r>
  </si>
  <si>
    <r>
      <t>SKPI</t>
    </r>
    <r>
      <rPr>
        <sz val="9"/>
        <rFont val="Times New Roman"/>
        <family val="1"/>
      </rPr>
      <t>t-2</t>
    </r>
    <r>
      <rPr>
        <sz val="12"/>
        <rFont val="Times New Roman"/>
        <family val="1"/>
      </rPr>
      <t xml:space="preserve"> = min (SKPIUPA, SSKPIUPA × [SKPIC</t>
    </r>
    <r>
      <rPr>
        <sz val="9"/>
        <rFont val="Times New Roman"/>
        <family val="1"/>
      </rPr>
      <t xml:space="preserve">t−2 </t>
    </r>
    <r>
      <rPr>
        <sz val="12"/>
        <rFont val="Times New Roman"/>
        <family val="1"/>
      </rPr>
      <t>− SKPIT / SKPICAP − SKPIT])</t>
    </r>
  </si>
  <si>
    <r>
      <t>If SKPIC</t>
    </r>
    <r>
      <rPr>
        <sz val="9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&lt; SKPIT:</t>
    </r>
  </si>
  <si>
    <r>
      <t>SKPI</t>
    </r>
    <r>
      <rPr>
        <sz val="9"/>
        <rFont val="Times New Roman"/>
        <family val="1"/>
      </rPr>
      <t>t-2</t>
    </r>
    <r>
      <rPr>
        <sz val="12"/>
        <rFont val="Times New Roman"/>
        <family val="1"/>
      </rPr>
      <t xml:space="preserve"> = max (SKPIDPA, SKPIDPA × [SKPIT - SKPICt−2  / SKPIT - SKPICOL])</t>
    </r>
  </si>
  <si>
    <t>SKPIT</t>
  </si>
  <si>
    <t>Key Performance Indicator Target</t>
  </si>
  <si>
    <t>SKPICAP</t>
  </si>
  <si>
    <t>SKPIUPA</t>
  </si>
  <si>
    <t>SKPICOL</t>
  </si>
  <si>
    <t>SKPIDPA</t>
  </si>
  <si>
    <t>SKPIC</t>
  </si>
  <si>
    <t>Key Performance Indicator cap</t>
  </si>
  <si>
    <t>Key Performance Indicator upside adj</t>
  </si>
  <si>
    <t>Key Performance Indicator collar</t>
  </si>
  <si>
    <t xml:space="preserve">Key Performance Indicator downside </t>
  </si>
  <si>
    <t>Key Performance Indicator score</t>
  </si>
  <si>
    <t>Key Performance Indicator Proportion</t>
  </si>
  <si>
    <t>Revenue adjustment factor - External Assurance of Stakeholder Engagement</t>
  </si>
  <si>
    <t>External Assurance of Stakeholder Engagement Proportion</t>
  </si>
  <si>
    <t>Adjusment</t>
  </si>
  <si>
    <t>Adjustment</t>
  </si>
  <si>
    <t>- Template set up for 2016/17 RIGs Consultation
- Added MOD value from AIP 2016.
- 2012/13 RPIF input unrounded so that the correct TRU and SOTRU terms are calculated for inclusion in the 2013/14 revenue calculation</t>
  </si>
  <si>
    <t>Regulatory Year ending 31 March 2017</t>
  </si>
  <si>
    <t>4.0.1</t>
  </si>
  <si>
    <t>Added the following for 16/17 in R5 input page:
- RPI Indices: 264.992
- GRPIFc 2016 row
- Average specified rate: 0.34%
- Corporation Tax Rate: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</si>
</sst>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_(* #,##0.00_);_(* \(#,##0.00\);_(* &quot;-&quot;??_);_(@_)"/>
    <numFmt numFmtId="165" formatCode="_-* #,##0.000_-;\-* #,##0.000_-;_-* &quot;-&quot;??_-;_-@_-"/>
    <numFmt numFmtId="166" formatCode="_-* #,##0.00\ _D_M_-;\-* #,##0.00\ _D_M_-;_-* &quot;-&quot;??\ _D_M_-;_-@_-"/>
    <numFmt numFmtId="167" formatCode="_-* #,##0_-;\-* #,##0_-;_-* &quot;-&quot;??_-;_-@_-"/>
    <numFmt numFmtId="168" formatCode="#,##0.000"/>
    <numFmt numFmtId="169" formatCode="0.000"/>
    <numFmt numFmtId="170" formatCode="#,##0.00;[Red]\-#,##0.00;0.00"/>
    <numFmt numFmtId="171" formatCode="#,##0.00;[Red]\-#,##0.00;\-"/>
    <numFmt numFmtId="172" formatCode="#,##0.000;[Red]\-#,##0.000;\-"/>
    <numFmt numFmtId="173" formatCode="0.0%"/>
    <numFmt numFmtId="174" formatCode="#,##0;[Red]\-#,##0;\-"/>
    <numFmt numFmtId="175" formatCode="_-* #,##0.0_-;\-* #,##0.0_-;_-* &quot;-&quot;??_-;_-@_-"/>
    <numFmt numFmtId="176" formatCode="#,##0.0;[Red]\-#,##0.0;0.0"/>
    <numFmt numFmtId="177" formatCode="0.000_ ;[Red]\-0.000\ "/>
    <numFmt numFmtId="178" formatCode="_-* #,##0.000_-;\-* #,##0.000_-;_-* &quot;-&quot;???_-;_-@_-"/>
    <numFmt numFmtId="179" formatCode="#,##0_ ;[Red]\-#,##0\ "/>
    <numFmt numFmtId="180" formatCode="#,##0.00_ ;[Red]\-#,##0.00\ "/>
    <numFmt numFmtId="181" formatCode="_-* #,##0.000000_-;\-* #,##0.000000_-;_-* &quot;-&quot;??_-;_-@_-"/>
    <numFmt numFmtId="182" formatCode="#,##0.000_ ;[Red]\-#,##0.000\ "/>
    <numFmt numFmtId="183" formatCode="_-* #,##0.00_-;\-* #,##0.00_-;_-* &quot;-&quot;???_-;_-@_-"/>
    <numFmt numFmtId="184" formatCode="#,##0.000_ ;\-#,##0.000\ "/>
    <numFmt numFmtId="185" formatCode="0.0"/>
    <numFmt numFmtId="186" formatCode="0.0000"/>
  </numFmts>
  <fonts count="8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sz val="11"/>
      <name val="CG Omega"/>
      <family val="2"/>
    </font>
    <font>
      <sz val="11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1"/>
      <color rgb="FF92D05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22"/>
      <color rgb="FF00B050"/>
      <name val="Verdana"/>
      <family val="2"/>
    </font>
    <font>
      <b/>
      <sz val="10"/>
      <color rgb="FFFF0000"/>
      <name val="Verdana"/>
      <family val="2"/>
    </font>
    <font>
      <b/>
      <sz val="10"/>
      <name val="Verdana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Helv"/>
    </font>
    <font>
      <sz val="10"/>
      <name val="CG Omega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b/>
      <sz val="12"/>
      <color indexed="8"/>
      <name val="Verdana"/>
      <family val="2"/>
    </font>
    <font>
      <b/>
      <sz val="14"/>
      <name val="Verdana"/>
      <family val="2"/>
    </font>
    <font>
      <b/>
      <sz val="10"/>
      <color indexed="8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b/>
      <u/>
      <sz val="10"/>
      <name val="Verdana"/>
      <family val="2"/>
    </font>
    <font>
      <b/>
      <sz val="12"/>
      <name val="Verdana"/>
      <family val="2"/>
    </font>
    <font>
      <sz val="18"/>
      <color rgb="FFFF0000"/>
      <name val="Verdana"/>
      <family val="2"/>
    </font>
    <font>
      <b/>
      <sz val="14"/>
      <color theme="1"/>
      <name val="Verdana"/>
      <family val="2"/>
    </font>
    <font>
      <b/>
      <sz val="11"/>
      <name val="Arial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sz val="10"/>
      <color theme="5" tint="0.39997558519241921"/>
      <name val="Verdana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u/>
      <sz val="11"/>
      <name val="Verdana"/>
      <family val="2"/>
    </font>
    <font>
      <sz val="10"/>
      <color theme="0"/>
      <name val="Verdana"/>
      <family val="2"/>
    </font>
    <font>
      <sz val="10"/>
      <color rgb="FF00B0F0"/>
      <name val="Verdana"/>
      <family val="2"/>
    </font>
    <font>
      <sz val="10"/>
      <color rgb="FF00B0F0"/>
      <name val="Arial"/>
      <family val="2"/>
    </font>
    <font>
      <sz val="11"/>
      <color rgb="FF00B0F0"/>
      <name val="Arial"/>
      <family val="2"/>
    </font>
    <font>
      <i/>
      <sz val="9"/>
      <color indexed="1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sz val="16"/>
      <name val="Verdana"/>
      <family val="2"/>
    </font>
    <font>
      <b/>
      <sz val="11"/>
      <name val="Calibri"/>
      <family val="2"/>
      <scheme val="minor"/>
    </font>
    <font>
      <vertAlign val="subscript"/>
      <sz val="11"/>
      <name val="Verdana"/>
      <family val="2"/>
    </font>
    <font>
      <u/>
      <sz val="10"/>
      <name val="Arial"/>
      <family val="2"/>
    </font>
    <font>
      <b/>
      <vertAlign val="subscript"/>
      <sz val="10"/>
      <name val="Verdana"/>
      <family val="2"/>
    </font>
    <font>
      <sz val="6"/>
      <name val="Verdana"/>
      <family val="2"/>
    </font>
    <font>
      <sz val="8"/>
      <name val="Verdana"/>
      <family val="2"/>
    </font>
    <font>
      <sz val="10"/>
      <color rgb="FFFF33CC"/>
      <name val="Verdana"/>
      <family val="2"/>
    </font>
    <font>
      <vertAlign val="subscript"/>
      <sz val="10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b/>
      <sz val="12"/>
      <color theme="1"/>
      <name val="Times New Roman"/>
      <family val="1"/>
    </font>
    <font>
      <b/>
      <sz val="11"/>
      <color theme="1"/>
      <name val="Verdana"/>
      <family val="2"/>
    </font>
    <font>
      <u/>
      <sz val="11"/>
      <color indexed="12"/>
      <name val="CG Omega"/>
      <family val="2"/>
    </font>
    <font>
      <sz val="10"/>
      <color rgb="FFFF3399"/>
      <name val="Verdana"/>
      <family val="2"/>
    </font>
    <font>
      <sz val="9"/>
      <name val="Times New Roman"/>
      <family val="1"/>
    </font>
    <font>
      <sz val="9"/>
      <color theme="1"/>
      <name val="Times New Roman"/>
      <family val="1"/>
    </font>
    <font>
      <vertAlign val="subscript"/>
      <sz val="11"/>
      <name val="Times New Roman"/>
      <family val="1"/>
    </font>
  </fonts>
  <fills count="4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8">
    <xf numFmtId="0" fontId="0" fillId="0" borderId="0"/>
    <xf numFmtId="0" fontId="2" fillId="0" borderId="0"/>
    <xf numFmtId="0" fontId="3" fillId="0" borderId="0"/>
    <xf numFmtId="0" fontId="2" fillId="0" borderId="0"/>
    <xf numFmtId="16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/>
    <xf numFmtId="0" fontId="25" fillId="0" borderId="0"/>
    <xf numFmtId="9" fontId="26" fillId="0" borderId="0" applyFont="0" applyFill="0" applyBorder="0" applyAlignment="0" applyProtection="0"/>
    <xf numFmtId="4" fontId="27" fillId="17" borderId="7" applyNumberFormat="0" applyProtection="0">
      <alignment vertical="center"/>
    </xf>
    <xf numFmtId="4" fontId="28" fillId="17" borderId="7" applyNumberFormat="0" applyProtection="0">
      <alignment vertical="center"/>
    </xf>
    <xf numFmtId="4" fontId="27" fillId="17" borderId="7" applyNumberFormat="0" applyProtection="0">
      <alignment horizontal="left" vertical="center" indent="1"/>
    </xf>
    <xf numFmtId="0" fontId="27" fillId="17" borderId="7" applyNumberFormat="0" applyProtection="0">
      <alignment horizontal="left" vertical="top" indent="1"/>
    </xf>
    <xf numFmtId="4" fontId="27" fillId="18" borderId="0" applyNumberFormat="0" applyProtection="0">
      <alignment horizontal="left" vertical="center" indent="1"/>
    </xf>
    <xf numFmtId="4" fontId="29" fillId="19" borderId="7" applyNumberFormat="0" applyProtection="0">
      <alignment horizontal="right" vertical="center"/>
    </xf>
    <xf numFmtId="4" fontId="29" fillId="20" borderId="7" applyNumberFormat="0" applyProtection="0">
      <alignment horizontal="right" vertical="center"/>
    </xf>
    <xf numFmtId="4" fontId="29" fillId="21" borderId="7" applyNumberFormat="0" applyProtection="0">
      <alignment horizontal="right" vertical="center"/>
    </xf>
    <xf numFmtId="4" fontId="29" fillId="22" borderId="7" applyNumberFormat="0" applyProtection="0">
      <alignment horizontal="right" vertical="center"/>
    </xf>
    <xf numFmtId="4" fontId="29" fillId="23" borderId="7" applyNumberFormat="0" applyProtection="0">
      <alignment horizontal="right" vertical="center"/>
    </xf>
    <xf numFmtId="4" fontId="29" fillId="24" borderId="7" applyNumberFormat="0" applyProtection="0">
      <alignment horizontal="right" vertical="center"/>
    </xf>
    <xf numFmtId="4" fontId="29" fillId="25" borderId="7" applyNumberFormat="0" applyProtection="0">
      <alignment horizontal="right" vertical="center"/>
    </xf>
    <xf numFmtId="4" fontId="29" fillId="26" borderId="7" applyNumberFormat="0" applyProtection="0">
      <alignment horizontal="right" vertical="center"/>
    </xf>
    <xf numFmtId="4" fontId="29" fillId="27" borderId="7" applyNumberFormat="0" applyProtection="0">
      <alignment horizontal="right" vertical="center"/>
    </xf>
    <xf numFmtId="4" fontId="27" fillId="28" borderId="8" applyNumberFormat="0" applyProtection="0">
      <alignment horizontal="left" vertical="center" indent="1"/>
    </xf>
    <xf numFmtId="4" fontId="29" fillId="29" borderId="0" applyNumberFormat="0" applyProtection="0">
      <alignment horizontal="left" vertical="center" indent="1"/>
    </xf>
    <xf numFmtId="4" fontId="30" fillId="30" borderId="0" applyNumberFormat="0" applyProtection="0">
      <alignment horizontal="left" vertical="center" indent="1"/>
    </xf>
    <xf numFmtId="4" fontId="29" fillId="18" borderId="7" applyNumberFormat="0" applyProtection="0">
      <alignment horizontal="right" vertical="center"/>
    </xf>
    <xf numFmtId="4" fontId="29" fillId="29" borderId="0" applyNumberFormat="0" applyProtection="0">
      <alignment horizontal="left" vertical="center" indent="1"/>
    </xf>
    <xf numFmtId="4" fontId="29" fillId="18" borderId="0" applyNumberFormat="0" applyProtection="0">
      <alignment horizontal="left" vertical="center" indent="1"/>
    </xf>
    <xf numFmtId="0" fontId="2" fillId="30" borderId="7" applyNumberFormat="0" applyProtection="0">
      <alignment horizontal="left" vertical="center" indent="1"/>
    </xf>
    <xf numFmtId="0" fontId="2" fillId="30" borderId="7" applyNumberFormat="0" applyProtection="0">
      <alignment horizontal="left" vertical="top" indent="1"/>
    </xf>
    <xf numFmtId="0" fontId="2" fillId="18" borderId="7" applyNumberFormat="0" applyProtection="0">
      <alignment horizontal="left" vertical="center" indent="1"/>
    </xf>
    <xf numFmtId="0" fontId="2" fillId="18" borderId="7" applyNumberFormat="0" applyProtection="0">
      <alignment horizontal="left" vertical="top" indent="1"/>
    </xf>
    <xf numFmtId="0" fontId="2" fillId="31" borderId="7" applyNumberFormat="0" applyProtection="0">
      <alignment horizontal="left" vertical="center" indent="1"/>
    </xf>
    <xf numFmtId="0" fontId="2" fillId="31" borderId="7" applyNumberFormat="0" applyProtection="0">
      <alignment horizontal="left" vertical="top" indent="1"/>
    </xf>
    <xf numFmtId="0" fontId="2" fillId="29" borderId="7" applyNumberFormat="0" applyProtection="0">
      <alignment horizontal="left" vertical="center" indent="1"/>
    </xf>
    <xf numFmtId="0" fontId="2" fillId="29" borderId="7" applyNumberFormat="0" applyProtection="0">
      <alignment horizontal="left" vertical="top" indent="1"/>
    </xf>
    <xf numFmtId="0" fontId="2" fillId="32" borderId="1" applyNumberFormat="0">
      <protection locked="0"/>
    </xf>
    <xf numFmtId="4" fontId="29" fillId="33" borderId="7" applyNumberFormat="0" applyProtection="0">
      <alignment vertical="center"/>
    </xf>
    <xf numFmtId="4" fontId="31" fillId="33" borderId="7" applyNumberFormat="0" applyProtection="0">
      <alignment vertical="center"/>
    </xf>
    <xf numFmtId="4" fontId="29" fillId="33" borderId="7" applyNumberFormat="0" applyProtection="0">
      <alignment horizontal="left" vertical="center" indent="1"/>
    </xf>
    <xf numFmtId="0" fontId="29" fillId="33" borderId="7" applyNumberFormat="0" applyProtection="0">
      <alignment horizontal="left" vertical="top" indent="1"/>
    </xf>
    <xf numFmtId="4" fontId="29" fillId="29" borderId="7" applyNumberFormat="0" applyProtection="0">
      <alignment horizontal="right" vertical="center"/>
    </xf>
    <xf numFmtId="4" fontId="31" fillId="29" borderId="7" applyNumberFormat="0" applyProtection="0">
      <alignment horizontal="right" vertical="center"/>
    </xf>
    <xf numFmtId="4" fontId="29" fillId="18" borderId="7" applyNumberFormat="0" applyProtection="0">
      <alignment horizontal="left" vertical="center" indent="1"/>
    </xf>
    <xf numFmtId="0" fontId="29" fillId="18" borderId="7" applyNumberFormat="0" applyProtection="0">
      <alignment horizontal="left" vertical="top" indent="1"/>
    </xf>
    <xf numFmtId="4" fontId="32" fillId="34" borderId="0" applyNumberFormat="0" applyProtection="0">
      <alignment horizontal="left" vertical="center" indent="1"/>
    </xf>
    <xf numFmtId="4" fontId="33" fillId="29" borderId="7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2" fillId="0" borderId="0"/>
    <xf numFmtId="0" fontId="2" fillId="0" borderId="0"/>
    <xf numFmtId="9" fontId="44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406">
    <xf numFmtId="0" fontId="0" fillId="0" borderId="0" xfId="0"/>
    <xf numFmtId="0" fontId="11" fillId="0" borderId="0" xfId="0" applyFont="1"/>
    <xf numFmtId="0" fontId="7" fillId="0" borderId="0" xfId="0" applyFont="1"/>
    <xf numFmtId="0" fontId="17" fillId="0" borderId="0" xfId="0" applyFont="1"/>
    <xf numFmtId="169" fontId="8" fillId="0" borderId="9" xfId="31" applyNumberFormat="1" applyFont="1" applyFill="1" applyBorder="1" applyAlignment="1" applyProtection="1">
      <alignment horizontal="right"/>
    </xf>
    <xf numFmtId="169" fontId="9" fillId="0" borderId="10" xfId="4" applyNumberFormat="1" applyFont="1" applyFill="1" applyBorder="1" applyAlignment="1" applyProtection="1">
      <alignment horizontal="right"/>
    </xf>
    <xf numFmtId="0" fontId="9" fillId="0" borderId="0" xfId="31" applyFont="1" applyBorder="1" applyProtection="1">
      <protection locked="0"/>
    </xf>
    <xf numFmtId="0" fontId="38" fillId="36" borderId="0" xfId="0" applyFont="1" applyFill="1" applyProtection="1"/>
    <xf numFmtId="0" fontId="26" fillId="36" borderId="0" xfId="0" applyFont="1" applyFill="1" applyProtection="1"/>
    <xf numFmtId="0" fontId="39" fillId="36" borderId="0" xfId="0" applyFont="1" applyFill="1" applyProtection="1"/>
    <xf numFmtId="0" fontId="26" fillId="36" borderId="0" xfId="0" applyFont="1" applyFill="1" applyAlignment="1" applyProtection="1">
      <alignment horizontal="center"/>
    </xf>
    <xf numFmtId="0" fontId="40" fillId="36" borderId="0" xfId="0" applyFont="1" applyFill="1" applyProtection="1"/>
    <xf numFmtId="0" fontId="26" fillId="0" borderId="0" xfId="0" applyFont="1" applyProtection="1"/>
    <xf numFmtId="0" fontId="26" fillId="36" borderId="0" xfId="0" applyFont="1" applyFill="1" applyBorder="1" applyProtection="1"/>
    <xf numFmtId="0" fontId="41" fillId="36" borderId="0" xfId="0" applyFont="1" applyFill="1" applyBorder="1" applyProtection="1"/>
    <xf numFmtId="0" fontId="41" fillId="36" borderId="0" xfId="0" applyFont="1" applyFill="1" applyBorder="1" applyAlignment="1" applyProtection="1">
      <alignment horizontal="center"/>
    </xf>
    <xf numFmtId="17" fontId="41" fillId="36" borderId="0" xfId="0" quotePrefix="1" applyNumberFormat="1" applyFont="1" applyFill="1" applyBorder="1" applyProtection="1"/>
    <xf numFmtId="0" fontId="26" fillId="36" borderId="0" xfId="0" applyFont="1" applyFill="1" applyBorder="1" applyAlignment="1" applyProtection="1">
      <alignment vertical="center" wrapText="1"/>
    </xf>
    <xf numFmtId="0" fontId="26" fillId="36" borderId="0" xfId="0" applyFont="1" applyFill="1" applyBorder="1" applyAlignment="1" applyProtection="1">
      <alignment horizontal="center"/>
    </xf>
    <xf numFmtId="0" fontId="26" fillId="36" borderId="0" xfId="0" applyFont="1" applyFill="1" applyAlignment="1" applyProtection="1">
      <alignment wrapText="1"/>
    </xf>
    <xf numFmtId="170" fontId="26" fillId="35" borderId="1" xfId="73" applyNumberFormat="1" applyFont="1" applyFill="1" applyBorder="1" applyAlignment="1" applyProtection="1">
      <alignment horizontal="center" vertical="center"/>
    </xf>
    <xf numFmtId="170" fontId="26" fillId="37" borderId="1" xfId="74" applyNumberFormat="1" applyFont="1" applyFill="1" applyBorder="1" applyAlignment="1" applyProtection="1">
      <alignment horizontal="center" vertical="center"/>
    </xf>
    <xf numFmtId="170" fontId="26" fillId="38" borderId="1" xfId="0" applyNumberFormat="1" applyFont="1" applyFill="1" applyBorder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38" fillId="36" borderId="0" xfId="0" applyFont="1" applyFill="1"/>
    <xf numFmtId="0" fontId="26" fillId="36" borderId="0" xfId="0" applyFont="1" applyFill="1"/>
    <xf numFmtId="0" fontId="39" fillId="36" borderId="0" xfId="0" applyFont="1" applyFill="1"/>
    <xf numFmtId="0" fontId="26" fillId="36" borderId="0" xfId="0" applyFont="1" applyFill="1" applyAlignment="1">
      <alignment horizontal="center"/>
    </xf>
    <xf numFmtId="0" fontId="0" fillId="36" borderId="0" xfId="0" applyFont="1" applyFill="1"/>
    <xf numFmtId="0" fontId="0" fillId="36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38" fillId="36" borderId="0" xfId="0" applyFont="1" applyFill="1" applyAlignment="1">
      <alignment horizontal="center"/>
    </xf>
    <xf numFmtId="170" fontId="26" fillId="36" borderId="0" xfId="0" applyNumberFormat="1" applyFont="1" applyFill="1" applyBorder="1" applyAlignment="1" applyProtection="1">
      <alignment horizontal="center"/>
    </xf>
    <xf numFmtId="170" fontId="26" fillId="38" borderId="1" xfId="0" applyNumberFormat="1" applyFont="1" applyFill="1" applyBorder="1" applyAlignment="1" applyProtection="1">
      <alignment horizontal="left"/>
    </xf>
    <xf numFmtId="0" fontId="26" fillId="36" borderId="0" xfId="0" applyFont="1" applyFill="1" applyAlignment="1" applyProtection="1">
      <alignment vertical="top"/>
    </xf>
    <xf numFmtId="0" fontId="26" fillId="36" borderId="0" xfId="0" applyFont="1" applyFill="1" applyAlignment="1" applyProtection="1">
      <alignment horizontal="center" vertical="top"/>
    </xf>
    <xf numFmtId="0" fontId="40" fillId="36" borderId="0" xfId="0" applyFont="1" applyFill="1" applyAlignment="1" applyProtection="1">
      <alignment vertical="top"/>
    </xf>
    <xf numFmtId="0" fontId="17" fillId="36" borderId="0" xfId="0" applyFont="1" applyFill="1" applyAlignment="1" applyProtection="1">
      <alignment horizontal="center" vertical="top"/>
    </xf>
    <xf numFmtId="0" fontId="43" fillId="36" borderId="0" xfId="0" applyFont="1" applyFill="1" applyAlignment="1" applyProtection="1">
      <alignment vertical="top"/>
    </xf>
    <xf numFmtId="0" fontId="0" fillId="36" borderId="0" xfId="0" applyFont="1" applyFill="1" applyAlignment="1" applyProtection="1">
      <alignment vertical="top"/>
    </xf>
    <xf numFmtId="0" fontId="26" fillId="36" borderId="0" xfId="0" applyFont="1" applyFill="1" applyAlignment="1" applyProtection="1">
      <alignment vertical="top" wrapText="1"/>
    </xf>
    <xf numFmtId="0" fontId="26" fillId="40" borderId="0" xfId="0" applyFont="1" applyFill="1" applyAlignment="1" applyProtection="1">
      <alignment vertical="top" wrapText="1"/>
    </xf>
    <xf numFmtId="0" fontId="26" fillId="0" borderId="0" xfId="0" applyFont="1" applyAlignment="1" applyProtection="1">
      <alignment vertical="top" wrapText="1"/>
    </xf>
    <xf numFmtId="0" fontId="4" fillId="36" borderId="0" xfId="0" applyFont="1" applyFill="1" applyAlignment="1" applyProtection="1">
      <alignment vertical="top"/>
    </xf>
    <xf numFmtId="0" fontId="4" fillId="36" borderId="0" xfId="0" applyFont="1" applyFill="1" applyAlignment="1" applyProtection="1">
      <alignment horizontal="center" vertical="top"/>
    </xf>
    <xf numFmtId="171" fontId="26" fillId="39" borderId="1" xfId="0" applyNumberFormat="1" applyFont="1" applyFill="1" applyBorder="1" applyAlignment="1" applyProtection="1">
      <alignment horizontal="center" vertical="top"/>
    </xf>
    <xf numFmtId="0" fontId="0" fillId="36" borderId="0" xfId="0" applyFont="1" applyFill="1" applyAlignment="1" applyProtection="1">
      <alignment horizontal="center" vertical="top"/>
    </xf>
    <xf numFmtId="0" fontId="26" fillId="36" borderId="0" xfId="0" applyFont="1" applyFill="1" applyBorder="1" applyAlignment="1" applyProtection="1">
      <alignment horizontal="center" vertical="top"/>
    </xf>
    <xf numFmtId="0" fontId="45" fillId="36" borderId="0" xfId="0" applyFont="1" applyFill="1" applyAlignment="1" applyProtection="1">
      <alignment vertical="top"/>
    </xf>
    <xf numFmtId="0" fontId="26" fillId="36" borderId="0" xfId="0" applyFont="1" applyFill="1" applyAlignment="1" applyProtection="1">
      <alignment vertical="center" wrapText="1"/>
    </xf>
    <xf numFmtId="0" fontId="17" fillId="36" borderId="0" xfId="0" applyFont="1" applyFill="1" applyBorder="1" applyAlignment="1" applyProtection="1">
      <alignment horizontal="center" vertical="center" wrapText="1"/>
    </xf>
    <xf numFmtId="171" fontId="26" fillId="37" borderId="1" xfId="74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center" vertical="center" wrapText="1"/>
    </xf>
    <xf numFmtId="0" fontId="47" fillId="36" borderId="0" xfId="0" applyFont="1" applyFill="1"/>
    <xf numFmtId="0" fontId="26" fillId="0" borderId="0" xfId="0" applyFont="1"/>
    <xf numFmtId="0" fontId="2" fillId="0" borderId="0" xfId="0" applyFont="1"/>
    <xf numFmtId="0" fontId="7" fillId="36" borderId="0" xfId="0" applyFont="1" applyFill="1" applyAlignment="1" applyProtection="1">
      <alignment vertical="top"/>
    </xf>
    <xf numFmtId="0" fontId="0" fillId="36" borderId="0" xfId="0" applyFill="1" applyAlignment="1" applyProtection="1">
      <alignment vertical="top"/>
    </xf>
    <xf numFmtId="170" fontId="52" fillId="41" borderId="1" xfId="0" applyNumberFormat="1" applyFont="1" applyFill="1" applyBorder="1" applyAlignment="1" applyProtection="1">
      <alignment horizontal="center"/>
    </xf>
    <xf numFmtId="0" fontId="7" fillId="36" borderId="0" xfId="0" applyFont="1" applyFill="1" applyAlignment="1" applyProtection="1">
      <alignment vertical="center" wrapText="1"/>
    </xf>
    <xf numFmtId="0" fontId="41" fillId="0" borderId="0" xfId="0" applyFont="1"/>
    <xf numFmtId="171" fontId="26" fillId="0" borderId="0" xfId="74" applyNumberFormat="1" applyFont="1" applyFill="1" applyBorder="1" applyAlignment="1" applyProtection="1">
      <alignment horizontal="center" vertical="center"/>
      <protection locked="0"/>
    </xf>
    <xf numFmtId="170" fontId="26" fillId="35" borderId="1" xfId="73" applyNumberFormat="1" applyFont="1" applyFill="1" applyBorder="1" applyAlignment="1" applyProtection="1">
      <alignment horizontal="right" vertical="center"/>
    </xf>
    <xf numFmtId="169" fontId="9" fillId="2" borderId="1" xfId="31" applyNumberFormat="1" applyFont="1" applyFill="1" applyBorder="1" applyAlignment="1" applyProtection="1">
      <alignment horizontal="right" wrapText="1"/>
      <protection locked="0"/>
    </xf>
    <xf numFmtId="176" fontId="17" fillId="35" borderId="1" xfId="73" applyNumberFormat="1" applyFont="1" applyFill="1" applyBorder="1" applyAlignment="1" applyProtection="1">
      <alignment horizontal="center" vertical="center"/>
    </xf>
    <xf numFmtId="0" fontId="57" fillId="0" borderId="0" xfId="0" applyFont="1"/>
    <xf numFmtId="0" fontId="0" fillId="43" borderId="0" xfId="0" applyFont="1" applyFill="1" applyAlignment="1" applyProtection="1">
      <alignment horizontal="center" vertical="top"/>
    </xf>
    <xf numFmtId="169" fontId="56" fillId="43" borderId="0" xfId="76" applyNumberFormat="1" applyFont="1" applyFill="1" applyBorder="1" applyAlignment="1" applyProtection="1">
      <alignment horizontal="center" vertical="top"/>
    </xf>
    <xf numFmtId="171" fontId="26" fillId="43" borderId="0" xfId="74" applyNumberFormat="1" applyFont="1" applyFill="1" applyBorder="1" applyAlignment="1" applyProtection="1">
      <alignment horizontal="center" vertical="center"/>
      <protection locked="0"/>
    </xf>
    <xf numFmtId="173" fontId="26" fillId="43" borderId="0" xfId="76" applyNumberFormat="1" applyFont="1" applyFill="1" applyBorder="1" applyAlignment="1" applyProtection="1">
      <alignment horizontal="center" vertical="top"/>
    </xf>
    <xf numFmtId="171" fontId="57" fillId="37" borderId="1" xfId="74" applyNumberFormat="1" applyFont="1" applyFill="1" applyBorder="1" applyAlignment="1" applyProtection="1">
      <alignment horizontal="center" vertical="center"/>
      <protection locked="0"/>
    </xf>
    <xf numFmtId="0" fontId="57" fillId="36" borderId="0" xfId="0" applyFont="1" applyFill="1" applyAlignment="1" applyProtection="1">
      <alignment vertical="center" wrapText="1"/>
    </xf>
    <xf numFmtId="177" fontId="26" fillId="45" borderId="1" xfId="0" applyNumberFormat="1" applyFont="1" applyFill="1" applyBorder="1" applyAlignment="1" applyProtection="1">
      <alignment horizontal="center" vertical="top"/>
    </xf>
    <xf numFmtId="172" fontId="26" fillId="45" borderId="1" xfId="0" applyNumberFormat="1" applyFont="1" applyFill="1" applyBorder="1" applyAlignment="1" applyProtection="1">
      <alignment horizontal="center" vertical="top"/>
    </xf>
    <xf numFmtId="174" fontId="26" fillId="45" borderId="1" xfId="0" applyNumberFormat="1" applyFont="1" applyFill="1" applyBorder="1" applyAlignment="1" applyProtection="1">
      <alignment horizontal="center" vertical="top"/>
    </xf>
    <xf numFmtId="173" fontId="26" fillId="45" borderId="1" xfId="76" applyNumberFormat="1" applyFont="1" applyFill="1" applyBorder="1" applyAlignment="1" applyProtection="1">
      <alignment horizontal="center" vertical="top"/>
    </xf>
    <xf numFmtId="171" fontId="26" fillId="46" borderId="1" xfId="74" applyNumberFormat="1" applyFont="1" applyFill="1" applyBorder="1" applyAlignment="1" applyProtection="1">
      <alignment horizontal="center" vertical="center"/>
      <protection locked="0"/>
    </xf>
    <xf numFmtId="170" fontId="26" fillId="46" borderId="1" xfId="0" applyNumberFormat="1" applyFont="1" applyFill="1" applyBorder="1" applyAlignment="1" applyProtection="1">
      <alignment horizontal="center"/>
    </xf>
    <xf numFmtId="10" fontId="26" fillId="46" borderId="1" xfId="76" applyNumberFormat="1" applyFont="1" applyFill="1" applyBorder="1" applyAlignment="1" applyProtection="1">
      <alignment horizontal="center" vertical="center"/>
      <protection locked="0"/>
    </xf>
    <xf numFmtId="180" fontId="26" fillId="46" borderId="1" xfId="74" applyNumberFormat="1" applyFont="1" applyFill="1" applyBorder="1" applyAlignment="1" applyProtection="1">
      <alignment horizontal="center" vertical="center"/>
      <protection locked="0"/>
    </xf>
    <xf numFmtId="0" fontId="26" fillId="36" borderId="0" xfId="0" applyFont="1" applyFill="1" applyAlignment="1" applyProtection="1">
      <alignment vertical="center" wrapText="1"/>
    </xf>
    <xf numFmtId="0" fontId="58" fillId="0" borderId="0" xfId="0" applyFont="1"/>
    <xf numFmtId="0" fontId="59" fillId="0" borderId="0" xfId="0" applyFont="1"/>
    <xf numFmtId="0" fontId="5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46" fillId="36" borderId="0" xfId="0" applyFont="1" applyFill="1" applyAlignment="1">
      <alignment vertical="top"/>
    </xf>
    <xf numFmtId="0" fontId="17" fillId="36" borderId="0" xfId="0" applyFont="1" applyFill="1" applyAlignment="1" applyProtection="1">
      <alignment vertical="top"/>
    </xf>
    <xf numFmtId="0" fontId="46" fillId="36" borderId="0" xfId="0" applyFont="1" applyFill="1" applyAlignment="1" applyProtection="1">
      <alignment vertical="top"/>
    </xf>
    <xf numFmtId="0" fontId="61" fillId="0" borderId="0" xfId="0" applyFont="1"/>
    <xf numFmtId="0" fontId="2" fillId="0" borderId="0" xfId="0" applyFont="1" applyAlignment="1">
      <alignment horizontal="left"/>
    </xf>
    <xf numFmtId="0" fontId="62" fillId="0" borderId="0" xfId="0" applyFont="1"/>
    <xf numFmtId="0" fontId="2" fillId="0" borderId="0" xfId="0" applyFont="1" applyAlignment="1">
      <alignment horizontal="center"/>
    </xf>
    <xf numFmtId="0" fontId="2" fillId="45" borderId="1" xfId="0" applyFont="1" applyFill="1" applyBorder="1"/>
    <xf numFmtId="169" fontId="26" fillId="45" borderId="1" xfId="76" applyNumberFormat="1" applyFont="1" applyFill="1" applyBorder="1" applyAlignment="1" applyProtection="1">
      <alignment horizontal="center" vertical="top"/>
    </xf>
    <xf numFmtId="171" fontId="26" fillId="45" borderId="1" xfId="74" applyNumberFormat="1" applyFont="1" applyFill="1" applyBorder="1" applyAlignment="1" applyProtection="1">
      <alignment horizontal="center" vertical="center"/>
      <protection locked="0"/>
    </xf>
    <xf numFmtId="169" fontId="26" fillId="43" borderId="0" xfId="76" applyNumberFormat="1" applyFont="1" applyFill="1" applyBorder="1" applyAlignment="1" applyProtection="1">
      <alignment horizontal="center" vertical="top"/>
    </xf>
    <xf numFmtId="164" fontId="26" fillId="45" borderId="1" xfId="0" applyNumberFormat="1" applyFont="1" applyFill="1" applyBorder="1"/>
    <xf numFmtId="182" fontId="26" fillId="46" borderId="1" xfId="74" applyNumberFormat="1" applyFont="1" applyFill="1" applyBorder="1" applyAlignment="1" applyProtection="1">
      <alignment horizontal="center" vertical="center"/>
      <protection locked="0"/>
    </xf>
    <xf numFmtId="10" fontId="2" fillId="45" borderId="1" xfId="32" applyNumberFormat="1" applyFont="1" applyFill="1" applyBorder="1"/>
    <xf numFmtId="0" fontId="38" fillId="43" borderId="0" xfId="0" applyFont="1" applyFill="1" applyAlignment="1" applyProtection="1">
      <alignment vertical="center"/>
      <protection locked="0"/>
    </xf>
    <xf numFmtId="0" fontId="46" fillId="36" borderId="0" xfId="0" applyFont="1" applyFill="1" applyBorder="1" applyAlignment="1" applyProtection="1">
      <alignment horizontal="left" vertical="center"/>
      <protection locked="0"/>
    </xf>
    <xf numFmtId="0" fontId="26" fillId="36" borderId="0" xfId="0" applyFont="1" applyFill="1" applyAlignment="1" applyProtection="1">
      <alignment horizontal="center" vertical="center" wrapText="1"/>
      <protection locked="0"/>
    </xf>
    <xf numFmtId="0" fontId="26" fillId="36" borderId="0" xfId="0" applyFont="1" applyFill="1" applyAlignment="1" applyProtection="1">
      <alignment vertical="center" wrapText="1"/>
      <protection locked="0"/>
    </xf>
    <xf numFmtId="0" fontId="17" fillId="43" borderId="0" xfId="0" applyFont="1" applyFill="1" applyAlignment="1" applyProtection="1">
      <alignment vertical="center" wrapText="1"/>
      <protection locked="0"/>
    </xf>
    <xf numFmtId="0" fontId="40" fillId="43" borderId="0" xfId="0" applyFont="1" applyFill="1" applyProtection="1">
      <protection locked="0"/>
    </xf>
    <xf numFmtId="0" fontId="4" fillId="36" borderId="0" xfId="0" applyFont="1" applyFill="1" applyAlignment="1" applyProtection="1">
      <alignment vertical="center" wrapText="1"/>
      <protection locked="0"/>
    </xf>
    <xf numFmtId="0" fontId="4" fillId="36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41" fillId="36" borderId="0" xfId="0" applyFont="1" applyFill="1" applyAlignment="1" applyProtection="1">
      <alignment vertical="center" wrapText="1"/>
      <protection locked="0"/>
    </xf>
    <xf numFmtId="0" fontId="26" fillId="43" borderId="0" xfId="0" applyFont="1" applyFill="1" applyAlignment="1" applyProtection="1">
      <alignment vertical="center" wrapText="1"/>
      <protection locked="0"/>
    </xf>
    <xf numFmtId="0" fontId="26" fillId="36" borderId="0" xfId="0" applyFont="1" applyFill="1" applyBorder="1" applyAlignment="1" applyProtection="1">
      <alignment vertical="center" wrapText="1"/>
      <protection locked="0"/>
    </xf>
    <xf numFmtId="0" fontId="17" fillId="36" borderId="0" xfId="0" applyFont="1" applyFill="1" applyAlignment="1" applyProtection="1">
      <alignment horizontal="center" vertical="center" wrapText="1"/>
      <protection locked="0"/>
    </xf>
    <xf numFmtId="0" fontId="17" fillId="36" borderId="0" xfId="0" applyFont="1" applyFill="1" applyBorder="1" applyAlignment="1" applyProtection="1">
      <alignment horizontal="center" vertical="center" wrapText="1"/>
      <protection locked="0"/>
    </xf>
    <xf numFmtId="0" fontId="43" fillId="36" borderId="0" xfId="0" applyFont="1" applyFill="1" applyAlignment="1" applyProtection="1">
      <alignment vertical="center" wrapText="1"/>
      <protection locked="0"/>
    </xf>
    <xf numFmtId="0" fontId="4" fillId="36" borderId="0" xfId="0" applyFont="1" applyFill="1" applyBorder="1" applyAlignment="1" applyProtection="1">
      <alignment vertical="center" wrapText="1"/>
      <protection locked="0"/>
    </xf>
    <xf numFmtId="0" fontId="41" fillId="36" borderId="0" xfId="0" applyFont="1" applyFill="1" applyAlignment="1" applyProtection="1">
      <alignment horizontal="center" vertical="center" wrapText="1"/>
      <protection locked="0"/>
    </xf>
    <xf numFmtId="0" fontId="41" fillId="36" borderId="0" xfId="0" applyFont="1" applyFill="1" applyBorder="1" applyAlignment="1" applyProtection="1">
      <alignment horizontal="center" vertical="center" wrapText="1"/>
      <protection locked="0"/>
    </xf>
    <xf numFmtId="0" fontId="38" fillId="36" borderId="0" xfId="0" applyFont="1" applyFill="1" applyBorder="1" applyAlignment="1" applyProtection="1">
      <alignment horizontal="center" vertical="center"/>
      <protection locked="0"/>
    </xf>
    <xf numFmtId="0" fontId="1" fillId="43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43" borderId="0" xfId="0" applyFill="1" applyProtection="1"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7" fillId="36" borderId="0" xfId="0" applyFont="1" applyFill="1" applyAlignment="1" applyProtection="1">
      <alignment vertical="center" wrapText="1"/>
      <protection locked="0"/>
    </xf>
    <xf numFmtId="0" fontId="7" fillId="36" borderId="0" xfId="0" applyFont="1" applyFill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0" fillId="43" borderId="0" xfId="0" applyFill="1" applyAlignment="1" applyProtection="1">
      <alignment vertical="top"/>
      <protection locked="0"/>
    </xf>
    <xf numFmtId="0" fontId="7" fillId="0" borderId="0" xfId="0" applyFont="1" applyProtection="1">
      <protection locked="0"/>
    </xf>
    <xf numFmtId="0" fontId="50" fillId="43" borderId="0" xfId="0" applyFont="1" applyFill="1" applyAlignment="1" applyProtection="1">
      <alignment vertical="top"/>
      <protection locked="0"/>
    </xf>
    <xf numFmtId="0" fontId="57" fillId="36" borderId="0" xfId="0" applyFont="1" applyFill="1" applyAlignment="1" applyProtection="1">
      <alignment vertical="center" wrapText="1"/>
      <protection locked="0"/>
    </xf>
    <xf numFmtId="0" fontId="57" fillId="0" borderId="0" xfId="0" applyFont="1" applyAlignment="1" applyProtection="1">
      <alignment vertical="center" wrapText="1"/>
      <protection locked="0"/>
    </xf>
    <xf numFmtId="0" fontId="0" fillId="43" borderId="0" xfId="0" applyFont="1" applyFill="1" applyAlignment="1" applyProtection="1">
      <alignment vertical="top"/>
      <protection locked="0"/>
    </xf>
    <xf numFmtId="0" fontId="1" fillId="43" borderId="0" xfId="0" applyFont="1" applyFill="1" applyAlignment="1" applyProtection="1">
      <alignment vertical="top"/>
      <protection locked="0"/>
    </xf>
    <xf numFmtId="10" fontId="26" fillId="42" borderId="1" xfId="76" applyNumberFormat="1" applyFont="1" applyFill="1" applyBorder="1" applyAlignment="1" applyProtection="1">
      <alignment horizontal="center" vertical="center"/>
    </xf>
    <xf numFmtId="0" fontId="38" fillId="36" borderId="0" xfId="0" applyFont="1" applyFill="1" applyAlignment="1" applyProtection="1">
      <alignment vertical="top"/>
      <protection locked="0"/>
    </xf>
    <xf numFmtId="0" fontId="26" fillId="36" borderId="0" xfId="0" applyFont="1" applyFill="1" applyAlignment="1" applyProtection="1">
      <alignment vertical="top"/>
      <protection locked="0"/>
    </xf>
    <xf numFmtId="0" fontId="26" fillId="36" borderId="0" xfId="0" applyFont="1" applyFill="1" applyAlignment="1" applyProtection="1">
      <alignment horizontal="center" vertical="top"/>
      <protection locked="0"/>
    </xf>
    <xf numFmtId="0" fontId="40" fillId="36" borderId="0" xfId="0" applyFont="1" applyFill="1" applyAlignment="1" applyProtection="1">
      <alignment vertical="top"/>
      <protection locked="0"/>
    </xf>
    <xf numFmtId="0" fontId="18" fillId="0" borderId="0" xfId="0" applyFont="1" applyAlignment="1" applyProtection="1">
      <alignment horizontal="left" indent="4"/>
      <protection locked="0"/>
    </xf>
    <xf numFmtId="0" fontId="11" fillId="0" borderId="0" xfId="0" applyFont="1" applyFill="1" applyProtection="1">
      <protection locked="0"/>
    </xf>
    <xf numFmtId="0" fontId="26" fillId="0" borderId="0" xfId="0" applyFont="1" applyProtection="1">
      <protection locked="0"/>
    </xf>
    <xf numFmtId="175" fontId="0" fillId="41" borderId="1" xfId="0" applyNumberFormat="1" applyFill="1" applyBorder="1" applyProtection="1">
      <protection locked="0"/>
    </xf>
    <xf numFmtId="164" fontId="0" fillId="41" borderId="1" xfId="0" applyNumberFormat="1" applyFill="1" applyBorder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10" fontId="26" fillId="41" borderId="1" xfId="75" applyNumberFormat="1" applyFont="1" applyFill="1" applyBorder="1" applyAlignment="1" applyProtection="1">
      <alignment horizontal="center"/>
      <protection locked="0"/>
    </xf>
    <xf numFmtId="175" fontId="1" fillId="42" borderId="1" xfId="0" applyNumberFormat="1" applyFont="1" applyFill="1" applyBorder="1" applyProtection="1"/>
    <xf numFmtId="164" fontId="1" fillId="42" borderId="1" xfId="0" applyNumberFormat="1" applyFont="1" applyFill="1" applyBorder="1" applyProtection="1"/>
    <xf numFmtId="165" fontId="0" fillId="42" borderId="1" xfId="0" applyNumberFormat="1" applyFont="1" applyFill="1" applyBorder="1" applyProtection="1"/>
    <xf numFmtId="0" fontId="0" fillId="0" borderId="0" xfId="0" applyBorder="1" applyProtection="1">
      <protection locked="0"/>
    </xf>
    <xf numFmtId="0" fontId="48" fillId="0" borderId="0" xfId="0" applyFont="1" applyProtection="1">
      <protection locked="0"/>
    </xf>
    <xf numFmtId="0" fontId="49" fillId="0" borderId="0" xfId="0" applyFont="1" applyProtection="1">
      <protection locked="0"/>
    </xf>
    <xf numFmtId="164" fontId="26" fillId="41" borderId="1" xfId="0" applyNumberFormat="1" applyFont="1" applyFill="1" applyBorder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2" fillId="0" borderId="0" xfId="0" applyFont="1" applyProtection="1">
      <protection locked="0"/>
    </xf>
    <xf numFmtId="0" fontId="46" fillId="36" borderId="0" xfId="0" applyFont="1" applyFill="1" applyAlignment="1" applyProtection="1">
      <alignment vertical="top"/>
      <protection locked="0"/>
    </xf>
    <xf numFmtId="0" fontId="17" fillId="36" borderId="0" xfId="0" applyFont="1" applyFill="1" applyAlignment="1" applyProtection="1">
      <alignment vertical="top"/>
      <protection locked="0"/>
    </xf>
    <xf numFmtId="0" fontId="26" fillId="0" borderId="0" xfId="0" applyFont="1" applyBorder="1" applyProtection="1">
      <protection locked="0"/>
    </xf>
    <xf numFmtId="0" fontId="17" fillId="0" borderId="0" xfId="0" applyFont="1" applyProtection="1">
      <protection locked="0"/>
    </xf>
    <xf numFmtId="0" fontId="63" fillId="0" borderId="0" xfId="0" applyFont="1" applyProtection="1">
      <protection locked="0"/>
    </xf>
    <xf numFmtId="0" fontId="64" fillId="0" borderId="1" xfId="0" applyFont="1" applyBorder="1" applyAlignment="1" applyProtection="1">
      <alignment horizontal="center"/>
      <protection locked="0"/>
    </xf>
    <xf numFmtId="0" fontId="41" fillId="0" borderId="0" xfId="0" applyFont="1" applyProtection="1">
      <protection locked="0"/>
    </xf>
    <xf numFmtId="178" fontId="26" fillId="41" borderId="1" xfId="0" applyNumberFormat="1" applyFont="1" applyFill="1" applyBorder="1" applyProtection="1">
      <protection locked="0"/>
    </xf>
    <xf numFmtId="178" fontId="0" fillId="41" borderId="1" xfId="0" applyNumberFormat="1" applyFill="1" applyBorder="1" applyProtection="1">
      <protection locked="0"/>
    </xf>
    <xf numFmtId="167" fontId="26" fillId="41" borderId="1" xfId="0" applyNumberFormat="1" applyFont="1" applyFill="1" applyBorder="1" applyProtection="1">
      <protection locked="0"/>
    </xf>
    <xf numFmtId="167" fontId="0" fillId="41" borderId="1" xfId="0" applyNumberFormat="1" applyFill="1" applyBorder="1" applyProtection="1">
      <protection locked="0"/>
    </xf>
    <xf numFmtId="9" fontId="0" fillId="41" borderId="1" xfId="0" applyNumberFormat="1" applyFill="1" applyBorder="1" applyProtection="1">
      <protection locked="0"/>
    </xf>
    <xf numFmtId="175" fontId="26" fillId="41" borderId="1" xfId="0" applyNumberFormat="1" applyFont="1" applyFill="1" applyBorder="1" applyProtection="1">
      <protection locked="0"/>
    </xf>
    <xf numFmtId="167" fontId="2" fillId="41" borderId="1" xfId="4" applyNumberFormat="1" applyFont="1" applyFill="1" applyBorder="1" applyProtection="1">
      <protection locked="0"/>
    </xf>
    <xf numFmtId="0" fontId="66" fillId="0" borderId="0" xfId="0" applyFont="1" applyProtection="1">
      <protection locked="0"/>
    </xf>
    <xf numFmtId="10" fontId="2" fillId="41" borderId="1" xfId="0" applyNumberFormat="1" applyFont="1" applyFill="1" applyBorder="1" applyProtection="1">
      <protection locked="0"/>
    </xf>
    <xf numFmtId="0" fontId="2" fillId="41" borderId="1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53" fillId="0" borderId="0" xfId="0" applyFont="1" applyAlignment="1" applyProtection="1">
      <alignment horizontal="left"/>
      <protection locked="0"/>
    </xf>
    <xf numFmtId="0" fontId="53" fillId="0" borderId="0" xfId="0" applyFont="1" applyProtection="1">
      <protection locked="0"/>
    </xf>
    <xf numFmtId="0" fontId="53" fillId="0" borderId="0" xfId="0" applyFont="1" applyAlignment="1" applyProtection="1">
      <alignment horizontal="left" indent="4"/>
      <protection locked="0"/>
    </xf>
    <xf numFmtId="0" fontId="26" fillId="0" borderId="0" xfId="0" applyFont="1" applyAlignment="1" applyProtection="1">
      <alignment horizontal="left" indent="4"/>
      <protection locked="0"/>
    </xf>
    <xf numFmtId="173" fontId="26" fillId="41" borderId="1" xfId="76" applyNumberFormat="1" applyFont="1" applyFill="1" applyBorder="1" applyProtection="1">
      <protection locked="0"/>
    </xf>
    <xf numFmtId="173" fontId="0" fillId="41" borderId="1" xfId="76" applyNumberFormat="1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26" fillId="46" borderId="1" xfId="0" applyFont="1" applyFill="1" applyBorder="1" applyProtection="1">
      <protection locked="0"/>
    </xf>
    <xf numFmtId="0" fontId="0" fillId="46" borderId="1" xfId="0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57" fillId="0" borderId="0" xfId="0" applyFont="1" applyProtection="1">
      <protection locked="0"/>
    </xf>
    <xf numFmtId="164" fontId="17" fillId="42" borderId="1" xfId="0" applyNumberFormat="1" applyFont="1" applyFill="1" applyBorder="1" applyProtection="1"/>
    <xf numFmtId="181" fontId="62" fillId="44" borderId="1" xfId="4" applyNumberFormat="1" applyFont="1" applyFill="1" applyBorder="1" applyProtection="1"/>
    <xf numFmtId="166" fontId="62" fillId="44" borderId="1" xfId="4" applyFont="1" applyFill="1" applyBorder="1" applyProtection="1"/>
    <xf numFmtId="175" fontId="17" fillId="42" borderId="1" xfId="0" applyNumberFormat="1" applyFont="1" applyFill="1" applyBorder="1" applyProtection="1"/>
    <xf numFmtId="0" fontId="50" fillId="0" borderId="0" xfId="0" applyFont="1" applyProtection="1">
      <protection locked="0"/>
    </xf>
    <xf numFmtId="164" fontId="17" fillId="41" borderId="1" xfId="0" applyNumberFormat="1" applyFont="1" applyFill="1" applyBorder="1" applyProtection="1">
      <protection locked="0"/>
    </xf>
    <xf numFmtId="0" fontId="26" fillId="43" borderId="0" xfId="0" applyFont="1" applyFill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15" fillId="0" borderId="0" xfId="0" applyFont="1" applyProtection="1">
      <protection locked="0"/>
    </xf>
    <xf numFmtId="169" fontId="0" fillId="41" borderId="1" xfId="0" applyNumberFormat="1" applyFill="1" applyBorder="1" applyProtection="1">
      <protection locked="0"/>
    </xf>
    <xf numFmtId="170" fontId="0" fillId="0" borderId="0" xfId="0" applyNumberFormat="1" applyProtection="1">
      <protection locked="0"/>
    </xf>
    <xf numFmtId="0" fontId="0" fillId="41" borderId="1" xfId="0" applyFill="1" applyBorder="1" applyProtection="1">
      <protection locked="0"/>
    </xf>
    <xf numFmtId="0" fontId="26" fillId="43" borderId="0" xfId="0" applyFont="1" applyFill="1" applyProtection="1">
      <protection locked="0"/>
    </xf>
    <xf numFmtId="170" fontId="26" fillId="43" borderId="0" xfId="73" applyNumberFormat="1" applyFont="1" applyFill="1" applyBorder="1" applyAlignment="1" applyProtection="1">
      <alignment horizontal="right" vertical="center"/>
      <protection locked="0"/>
    </xf>
    <xf numFmtId="0" fontId="7" fillId="43" borderId="0" xfId="0" applyFont="1" applyFill="1" applyProtection="1">
      <protection locked="0"/>
    </xf>
    <xf numFmtId="0" fontId="0" fillId="0" borderId="0" xfId="0" applyProtection="1"/>
    <xf numFmtId="0" fontId="46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/>
      <protection locked="0"/>
    </xf>
    <xf numFmtId="175" fontId="11" fillId="0" borderId="0" xfId="0" applyNumberFormat="1" applyFont="1" applyProtection="1">
      <protection locked="0"/>
    </xf>
    <xf numFmtId="0" fontId="9" fillId="0" borderId="0" xfId="3" applyFont="1" applyProtection="1">
      <protection locked="0"/>
    </xf>
    <xf numFmtId="0" fontId="55" fillId="0" borderId="0" xfId="3" applyFont="1" applyProtection="1">
      <protection locked="0"/>
    </xf>
    <xf numFmtId="0" fontId="36" fillId="0" borderId="0" xfId="3" applyFont="1" applyProtection="1">
      <protection locked="0"/>
    </xf>
    <xf numFmtId="0" fontId="43" fillId="0" borderId="0" xfId="3" applyFont="1" applyProtection="1">
      <protection locked="0"/>
    </xf>
    <xf numFmtId="0" fontId="20" fillId="0" borderId="0" xfId="3" applyFont="1" applyProtection="1">
      <protection locked="0"/>
    </xf>
    <xf numFmtId="0" fontId="26" fillId="0" borderId="0" xfId="3" applyFont="1" applyAlignment="1" applyProtection="1">
      <alignment horizontal="center"/>
      <protection locked="0"/>
    </xf>
    <xf numFmtId="0" fontId="37" fillId="0" borderId="0" xfId="3" quotePrefix="1" applyFont="1" applyAlignment="1" applyProtection="1">
      <alignment horizontal="right"/>
      <protection locked="0"/>
    </xf>
    <xf numFmtId="0" fontId="8" fillId="0" borderId="0" xfId="3" applyFont="1" applyProtection="1">
      <protection locked="0"/>
    </xf>
    <xf numFmtId="0" fontId="17" fillId="0" borderId="0" xfId="3" applyFont="1" applyAlignment="1" applyProtection="1">
      <alignment horizontal="center"/>
      <protection locked="0"/>
    </xf>
    <xf numFmtId="169" fontId="26" fillId="2" borderId="1" xfId="3" applyNumberFormat="1" applyFont="1" applyFill="1" applyBorder="1" applyProtection="1">
      <protection locked="0"/>
    </xf>
    <xf numFmtId="169" fontId="37" fillId="0" borderId="0" xfId="3" applyNumberFormat="1" applyFont="1" applyProtection="1">
      <protection locked="0"/>
    </xf>
    <xf numFmtId="0" fontId="9" fillId="0" borderId="0" xfId="3" applyFont="1" applyAlignment="1" applyProtection="1">
      <alignment horizontal="center"/>
      <protection locked="0"/>
    </xf>
    <xf numFmtId="0" fontId="9" fillId="0" borderId="0" xfId="3" applyFont="1" applyFill="1" applyBorder="1" applyAlignment="1" applyProtection="1">
      <alignment horizontal="center"/>
      <protection locked="0"/>
    </xf>
    <xf numFmtId="0" fontId="9" fillId="0" borderId="0" xfId="3" applyFont="1" applyFill="1" applyBorder="1" applyProtection="1">
      <protection locked="0"/>
    </xf>
    <xf numFmtId="169" fontId="9" fillId="35" borderId="1" xfId="3" applyNumberFormat="1" applyFont="1" applyFill="1" applyBorder="1" applyProtection="1">
      <protection locked="0"/>
    </xf>
    <xf numFmtId="169" fontId="9" fillId="0" borderId="12" xfId="3" applyNumberFormat="1" applyFont="1" applyBorder="1" applyProtection="1"/>
    <xf numFmtId="0" fontId="9" fillId="0" borderId="0" xfId="31" applyFont="1" applyFill="1" applyBorder="1" applyProtection="1">
      <protection locked="0"/>
    </xf>
    <xf numFmtId="0" fontId="9" fillId="0" borderId="0" xfId="31" applyFont="1" applyFill="1" applyBorder="1" applyAlignment="1" applyProtection="1">
      <alignment horizontal="center"/>
      <protection locked="0"/>
    </xf>
    <xf numFmtId="0" fontId="9" fillId="0" borderId="0" xfId="31" applyFont="1" applyBorder="1" applyAlignment="1" applyProtection="1">
      <alignment horizontal="center"/>
      <protection locked="0"/>
    </xf>
    <xf numFmtId="0" fontId="8" fillId="0" borderId="0" xfId="31" applyFont="1" applyBorder="1" applyAlignment="1" applyProtection="1">
      <alignment horizontal="center"/>
      <protection locked="0"/>
    </xf>
    <xf numFmtId="0" fontId="8" fillId="0" borderId="0" xfId="31" applyFont="1" applyBorder="1" applyProtection="1">
      <protection locked="0"/>
    </xf>
    <xf numFmtId="170" fontId="26" fillId="37" borderId="1" xfId="74" applyNumberFormat="1" applyFont="1" applyFill="1" applyBorder="1" applyAlignment="1" applyProtection="1">
      <alignment horizontal="center" vertical="center"/>
      <protection locked="0"/>
    </xf>
    <xf numFmtId="169" fontId="9" fillId="0" borderId="0" xfId="31" applyNumberFormat="1" applyFont="1" applyBorder="1" applyAlignment="1" applyProtection="1">
      <alignment horizontal="right"/>
      <protection locked="0"/>
    </xf>
    <xf numFmtId="168" fontId="9" fillId="0" borderId="0" xfId="3" applyNumberFormat="1" applyFont="1" applyProtection="1">
      <protection locked="0"/>
    </xf>
    <xf numFmtId="169" fontId="9" fillId="0" borderId="0" xfId="31" applyNumberFormat="1" applyFont="1" applyFill="1" applyBorder="1" applyAlignment="1" applyProtection="1">
      <alignment horizontal="right"/>
      <protection locked="0"/>
    </xf>
    <xf numFmtId="169" fontId="9" fillId="0" borderId="0" xfId="3" applyNumberFormat="1" applyFont="1" applyAlignment="1" applyProtection="1">
      <alignment horizontal="right"/>
      <protection locked="0"/>
    </xf>
    <xf numFmtId="0" fontId="9" fillId="0" borderId="0" xfId="3" applyFont="1" applyBorder="1" applyProtection="1">
      <protection locked="0"/>
    </xf>
    <xf numFmtId="0" fontId="10" fillId="0" borderId="0" xfId="31" applyFont="1" applyBorder="1" applyProtection="1">
      <protection locked="0"/>
    </xf>
    <xf numFmtId="169" fontId="9" fillId="2" borderId="1" xfId="3" applyNumberFormat="1" applyFont="1" applyFill="1" applyBorder="1" applyProtection="1">
      <protection locked="0"/>
    </xf>
    <xf numFmtId="0" fontId="20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168" fontId="9" fillId="0" borderId="0" xfId="31" applyNumberFormat="1" applyFont="1" applyBorder="1" applyAlignment="1" applyProtection="1">
      <alignment horizontal="right"/>
      <protection locked="0"/>
    </xf>
    <xf numFmtId="168" fontId="9" fillId="0" borderId="0" xfId="31" applyNumberFormat="1" applyFont="1" applyBorder="1" applyProtection="1">
      <protection locked="0"/>
    </xf>
    <xf numFmtId="0" fontId="35" fillId="0" borderId="0" xfId="31" applyFont="1" applyBorder="1" applyProtection="1">
      <protection locked="0"/>
    </xf>
    <xf numFmtId="10" fontId="0" fillId="0" borderId="0" xfId="0" applyNumberFormat="1" applyProtection="1">
      <protection locked="0"/>
    </xf>
    <xf numFmtId="169" fontId="1" fillId="42" borderId="1" xfId="0" applyNumberFormat="1" applyFont="1" applyFill="1" applyBorder="1" applyProtection="1"/>
    <xf numFmtId="178" fontId="0" fillId="0" borderId="0" xfId="0" applyNumberFormat="1" applyProtection="1">
      <protection locked="0"/>
    </xf>
    <xf numFmtId="178" fontId="1" fillId="42" borderId="1" xfId="0" applyNumberFormat="1" applyFont="1" applyFill="1" applyBorder="1" applyProtection="1"/>
    <xf numFmtId="178" fontId="26" fillId="41" borderId="1" xfId="0" applyNumberFormat="1" applyFont="1" applyFill="1" applyBorder="1" applyAlignment="1" applyProtection="1">
      <alignment horizontal="center"/>
      <protection locked="0"/>
    </xf>
    <xf numFmtId="178" fontId="1" fillId="42" borderId="1" xfId="0" applyNumberFormat="1" applyFont="1" applyFill="1" applyBorder="1" applyAlignment="1" applyProtection="1">
      <alignment horizontal="center" vertical="center"/>
    </xf>
    <xf numFmtId="0" fontId="7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169" fontId="1" fillId="47" borderId="1" xfId="0" applyNumberFormat="1" applyFont="1" applyFill="1" applyBorder="1" applyProtection="1">
      <protection locked="0"/>
    </xf>
    <xf numFmtId="2" fontId="1" fillId="43" borderId="0" xfId="0" applyNumberFormat="1" applyFont="1" applyFill="1" applyBorder="1" applyProtection="1"/>
    <xf numFmtId="169" fontId="0" fillId="0" borderId="0" xfId="0" applyNumberFormat="1" applyProtection="1">
      <protection locked="0"/>
    </xf>
    <xf numFmtId="169" fontId="26" fillId="0" borderId="0" xfId="0" applyNumberFormat="1" applyFont="1" applyProtection="1">
      <protection locked="0"/>
    </xf>
    <xf numFmtId="169" fontId="1" fillId="44" borderId="1" xfId="0" applyNumberFormat="1" applyFont="1" applyFill="1" applyBorder="1" applyProtection="1"/>
    <xf numFmtId="2" fontId="7" fillId="43" borderId="0" xfId="0" applyNumberFormat="1" applyFont="1" applyFill="1" applyBorder="1" applyProtection="1"/>
    <xf numFmtId="0" fontId="72" fillId="0" borderId="0" xfId="0" applyFont="1" applyAlignment="1" applyProtection="1">
      <protection locked="0"/>
    </xf>
    <xf numFmtId="169" fontId="26" fillId="41" borderId="1" xfId="0" applyNumberFormat="1" applyFont="1" applyFill="1" applyBorder="1" applyProtection="1">
      <protection locked="0"/>
    </xf>
    <xf numFmtId="169" fontId="17" fillId="42" borderId="1" xfId="0" applyNumberFormat="1" applyFont="1" applyFill="1" applyBorder="1" applyProtection="1"/>
    <xf numFmtId="169" fontId="0" fillId="46" borderId="1" xfId="0" applyNumberFormat="1" applyFill="1" applyBorder="1" applyProtection="1">
      <protection locked="0"/>
    </xf>
    <xf numFmtId="169" fontId="1" fillId="43" borderId="0" xfId="0" applyNumberFormat="1" applyFont="1" applyFill="1" applyBorder="1" applyProtection="1"/>
    <xf numFmtId="0" fontId="26" fillId="36" borderId="0" xfId="0" applyFont="1" applyFill="1" applyAlignment="1" applyProtection="1">
      <alignment vertical="center" wrapText="1"/>
      <protection locked="0"/>
    </xf>
    <xf numFmtId="178" fontId="1" fillId="44" borderId="1" xfId="0" applyNumberFormat="1" applyFont="1" applyFill="1" applyBorder="1" applyProtection="1"/>
    <xf numFmtId="170" fontId="26" fillId="43" borderId="0" xfId="73" applyNumberFormat="1" applyFont="1" applyFill="1" applyBorder="1" applyAlignment="1" applyProtection="1">
      <alignment horizontal="right" vertical="center"/>
    </xf>
    <xf numFmtId="0" fontId="4" fillId="0" borderId="0" xfId="0" applyFont="1"/>
    <xf numFmtId="0" fontId="26" fillId="0" borderId="0" xfId="0" applyFont="1" applyAlignment="1">
      <alignment horizontal="center"/>
    </xf>
    <xf numFmtId="0" fontId="57" fillId="36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0" fillId="43" borderId="0" xfId="0" applyFill="1" applyAlignment="1" applyProtection="1">
      <alignment horizontal="center"/>
      <protection locked="0"/>
    </xf>
    <xf numFmtId="0" fontId="73" fillId="0" borderId="0" xfId="0" applyFont="1" applyProtection="1">
      <protection locked="0"/>
    </xf>
    <xf numFmtId="0" fontId="74" fillId="0" borderId="0" xfId="0" applyFont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36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36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6" fillId="36" borderId="0" xfId="0" applyFont="1" applyFill="1" applyAlignment="1" applyProtection="1">
      <alignment horizontal="center" vertical="center" wrapText="1"/>
      <protection locked="0"/>
    </xf>
    <xf numFmtId="0" fontId="75" fillId="36" borderId="0" xfId="0" applyFont="1" applyFill="1" applyAlignment="1" applyProtection="1">
      <alignment vertical="top"/>
      <protection locked="0"/>
    </xf>
    <xf numFmtId="0" fontId="1" fillId="0" borderId="0" xfId="0" applyFont="1" applyProtection="1">
      <protection locked="0"/>
    </xf>
    <xf numFmtId="0" fontId="50" fillId="36" borderId="0" xfId="0" applyFont="1" applyFill="1" applyAlignment="1" applyProtection="1">
      <alignment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26" fillId="36" borderId="0" xfId="0" applyFont="1" applyFill="1" applyAlignment="1" applyProtection="1">
      <alignment vertical="center" wrapText="1"/>
      <protection locked="0"/>
    </xf>
    <xf numFmtId="169" fontId="0" fillId="43" borderId="0" xfId="0" applyNumberFormat="1" applyFill="1" applyProtection="1">
      <protection locked="0"/>
    </xf>
    <xf numFmtId="169" fontId="26" fillId="43" borderId="0" xfId="0" applyNumberFormat="1" applyFont="1" applyFill="1" applyProtection="1">
      <protection locked="0"/>
    </xf>
    <xf numFmtId="170" fontId="26" fillId="46" borderId="1" xfId="74" applyNumberFormat="1" applyFont="1" applyFill="1" applyBorder="1" applyAlignment="1" applyProtection="1">
      <alignment horizontal="right" vertical="center"/>
      <protection locked="0"/>
    </xf>
    <xf numFmtId="10" fontId="26" fillId="46" borderId="1" xfId="76" applyNumberFormat="1" applyFont="1" applyFill="1" applyBorder="1" applyAlignment="1" applyProtection="1">
      <alignment horizontal="center" vertical="center"/>
      <protection locked="0"/>
    </xf>
    <xf numFmtId="172" fontId="26" fillId="46" borderId="1" xfId="74" applyNumberFormat="1" applyFont="1" applyFill="1" applyBorder="1" applyAlignment="1" applyProtection="1">
      <alignment horizontal="center" vertical="center"/>
      <protection locked="0"/>
    </xf>
    <xf numFmtId="14" fontId="26" fillId="38" borderId="1" xfId="0" applyNumberFormat="1" applyFont="1" applyFill="1" applyBorder="1" applyAlignment="1" applyProtection="1">
      <alignment horizontal="center"/>
    </xf>
    <xf numFmtId="0" fontId="43" fillId="36" borderId="0" xfId="0" applyFont="1" applyFill="1" applyAlignment="1" applyProtection="1">
      <alignment vertical="center"/>
      <protection locked="0"/>
    </xf>
    <xf numFmtId="172" fontId="26" fillId="42" borderId="1" xfId="74" applyNumberFormat="1" applyFont="1" applyFill="1" applyBorder="1" applyAlignment="1" applyProtection="1">
      <alignment horizontal="center" vertical="center"/>
    </xf>
    <xf numFmtId="171" fontId="26" fillId="2" borderId="1" xfId="74" applyNumberFormat="1" applyFont="1" applyFill="1" applyBorder="1" applyAlignment="1" applyProtection="1">
      <alignment horizontal="center" vertical="center"/>
      <protection locked="0"/>
    </xf>
    <xf numFmtId="174" fontId="26" fillId="2" borderId="1" xfId="74" applyNumberFormat="1" applyFont="1" applyFill="1" applyBorder="1" applyAlignment="1" applyProtection="1">
      <alignment horizontal="center" vertical="center"/>
      <protection locked="0"/>
    </xf>
    <xf numFmtId="170" fontId="17" fillId="35" borderId="1" xfId="73" applyNumberFormat="1" applyFont="1" applyFill="1" applyBorder="1" applyAlignment="1" applyProtection="1">
      <alignment horizontal="center" vertical="center"/>
    </xf>
    <xf numFmtId="183" fontId="1" fillId="42" borderId="1" xfId="0" applyNumberFormat="1" applyFont="1" applyFill="1" applyBorder="1" applyProtection="1"/>
    <xf numFmtId="10" fontId="0" fillId="42" borderId="1" xfId="0" applyNumberFormat="1" applyFont="1" applyFill="1" applyBorder="1" applyProtection="1"/>
    <xf numFmtId="10" fontId="0" fillId="0" borderId="0" xfId="0" applyNumberFormat="1" applyFont="1" applyProtection="1">
      <protection locked="0"/>
    </xf>
    <xf numFmtId="9" fontId="26" fillId="46" borderId="1" xfId="74" applyNumberFormat="1" applyFont="1" applyFill="1" applyBorder="1" applyAlignment="1" applyProtection="1">
      <alignment horizontal="center" vertical="center"/>
      <protection locked="0"/>
    </xf>
    <xf numFmtId="0" fontId="75" fillId="43" borderId="0" xfId="0" applyFont="1" applyFill="1" applyAlignment="1" applyProtection="1">
      <alignment vertical="top"/>
      <protection locked="0"/>
    </xf>
    <xf numFmtId="0" fontId="26" fillId="36" borderId="0" xfId="0" applyFont="1" applyFill="1" applyBorder="1" applyAlignment="1" applyProtection="1">
      <alignment horizontal="left" vertical="top"/>
    </xf>
    <xf numFmtId="0" fontId="50" fillId="43" borderId="0" xfId="0" applyFont="1" applyFill="1" applyAlignment="1" applyProtection="1">
      <alignment vertical="top"/>
    </xf>
    <xf numFmtId="172" fontId="26" fillId="45" borderId="1" xfId="0" applyNumberFormat="1" applyFont="1" applyFill="1" applyBorder="1" applyAlignment="1" applyProtection="1">
      <alignment horizontal="center" vertical="top"/>
    </xf>
    <xf numFmtId="179" fontId="26" fillId="45" borderId="1" xfId="0" applyNumberFormat="1" applyFont="1" applyFill="1" applyBorder="1" applyAlignment="1" applyProtection="1">
      <alignment horizontal="center" vertical="top"/>
    </xf>
    <xf numFmtId="179" fontId="26" fillId="45" borderId="1" xfId="0" applyNumberFormat="1" applyFont="1" applyFill="1" applyBorder="1" applyAlignment="1" applyProtection="1">
      <alignment horizontal="center" vertical="top"/>
    </xf>
    <xf numFmtId="179" fontId="26" fillId="45" borderId="1" xfId="0" applyNumberFormat="1" applyFont="1" applyFill="1" applyBorder="1" applyAlignment="1" applyProtection="1">
      <alignment horizontal="center" vertical="top"/>
    </xf>
    <xf numFmtId="169" fontId="26" fillId="45" borderId="1" xfId="0" applyNumberFormat="1" applyFont="1" applyFill="1" applyBorder="1" applyAlignment="1" applyProtection="1">
      <alignment horizontal="center" vertical="top"/>
    </xf>
    <xf numFmtId="182" fontId="26" fillId="45" borderId="1" xfId="0" applyNumberFormat="1" applyFont="1" applyFill="1" applyBorder="1" applyAlignment="1" applyProtection="1">
      <alignment horizontal="center" vertical="top"/>
    </xf>
    <xf numFmtId="172" fontId="26" fillId="45" borderId="1" xfId="0" applyNumberFormat="1" applyFont="1" applyFill="1" applyBorder="1" applyAlignment="1" applyProtection="1">
      <alignment horizontal="center" vertical="top"/>
    </xf>
    <xf numFmtId="179" fontId="26" fillId="45" borderId="1" xfId="0" applyNumberFormat="1" applyFont="1" applyFill="1" applyBorder="1" applyAlignment="1" applyProtection="1">
      <alignment horizontal="center" vertical="top"/>
    </xf>
    <xf numFmtId="179" fontId="26" fillId="45" borderId="1" xfId="0" applyNumberFormat="1" applyFont="1" applyFill="1" applyBorder="1" applyAlignment="1" applyProtection="1">
      <alignment horizontal="center" vertical="top"/>
    </xf>
    <xf numFmtId="171" fontId="26" fillId="37" borderId="1" xfId="74" applyNumberFormat="1" applyFont="1" applyFill="1" applyBorder="1" applyAlignment="1" applyProtection="1">
      <alignment horizontal="center" vertical="center"/>
      <protection locked="0"/>
    </xf>
    <xf numFmtId="0" fontId="26" fillId="36" borderId="0" xfId="0" applyFont="1" applyFill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6" fillId="36" borderId="0" xfId="0" applyFont="1" applyFill="1" applyBorder="1" applyAlignment="1" applyProtection="1">
      <alignment vertical="center" wrapText="1"/>
      <protection locked="0"/>
    </xf>
    <xf numFmtId="0" fontId="43" fillId="36" borderId="0" xfId="0" applyFont="1" applyFill="1" applyAlignment="1" applyProtection="1">
      <alignment vertical="center" wrapText="1"/>
      <protection locked="0"/>
    </xf>
    <xf numFmtId="0" fontId="26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184" fontId="1" fillId="42" borderId="1" xfId="0" applyNumberFormat="1" applyFont="1" applyFill="1" applyBorder="1" applyAlignment="1" applyProtection="1">
      <alignment horizontal="center" vertical="center"/>
    </xf>
    <xf numFmtId="172" fontId="26" fillId="45" borderId="1" xfId="0" applyNumberFormat="1" applyFont="1" applyFill="1" applyBorder="1" applyAlignment="1" applyProtection="1">
      <alignment horizontal="right" vertical="top"/>
    </xf>
    <xf numFmtId="0" fontId="26" fillId="36" borderId="0" xfId="0" applyFont="1" applyFill="1" applyAlignment="1" applyProtection="1">
      <alignment vertical="center" wrapText="1"/>
      <protection locked="0"/>
    </xf>
    <xf numFmtId="170" fontId="26" fillId="38" borderId="1" xfId="0" quotePrefix="1" applyNumberFormat="1" applyFont="1" applyFill="1" applyBorder="1" applyAlignment="1" applyProtection="1">
      <alignment horizontal="left" wrapText="1"/>
    </xf>
    <xf numFmtId="0" fontId="0" fillId="36" borderId="0" xfId="0" applyFill="1" applyAlignment="1" applyProtection="1">
      <alignment vertical="top"/>
      <protection locked="0"/>
    </xf>
    <xf numFmtId="0" fontId="6" fillId="43" borderId="0" xfId="0" applyFont="1" applyFill="1" applyBorder="1" applyAlignment="1" applyProtection="1">
      <alignment horizontal="center"/>
      <protection locked="0"/>
    </xf>
    <xf numFmtId="164" fontId="0" fillId="44" borderId="1" xfId="0" applyNumberFormat="1" applyFont="1" applyFill="1" applyBorder="1" applyProtection="1"/>
    <xf numFmtId="164" fontId="26" fillId="41" borderId="1" xfId="0" applyNumberFormat="1" applyFont="1" applyFill="1" applyBorder="1" applyProtection="1">
      <protection locked="0"/>
    </xf>
    <xf numFmtId="164" fontId="26" fillId="41" borderId="4" xfId="0" applyNumberFormat="1" applyFont="1" applyFill="1" applyBorder="1" applyProtection="1">
      <protection locked="0"/>
    </xf>
    <xf numFmtId="172" fontId="26" fillId="37" borderId="1" xfId="74" applyNumberFormat="1" applyFont="1" applyFill="1" applyBorder="1" applyAlignment="1" applyProtection="1">
      <alignment horizontal="center" vertical="center"/>
      <protection locked="0"/>
    </xf>
    <xf numFmtId="172" fontId="26" fillId="2" borderId="1" xfId="74" applyNumberFormat="1" applyFont="1" applyFill="1" applyBorder="1" applyAlignment="1" applyProtection="1">
      <alignment horizontal="center" vertical="center"/>
      <protection locked="0"/>
    </xf>
    <xf numFmtId="0" fontId="26" fillId="36" borderId="0" xfId="0" applyFont="1" applyFill="1" applyAlignment="1" applyProtection="1">
      <alignment vertical="center" wrapText="1"/>
      <protection locked="0"/>
    </xf>
    <xf numFmtId="165" fontId="1" fillId="42" borderId="1" xfId="0" applyNumberFormat="1" applyFont="1" applyFill="1" applyBorder="1" applyProtection="1"/>
    <xf numFmtId="165" fontId="26" fillId="2" borderId="1" xfId="3" applyNumberFormat="1" applyFont="1" applyFill="1" applyBorder="1" applyProtection="1">
      <protection locked="0"/>
    </xf>
    <xf numFmtId="0" fontId="26" fillId="36" borderId="0" xfId="0" applyFont="1" applyFill="1" applyAlignment="1" applyProtection="1">
      <alignment vertical="center" wrapText="1"/>
      <protection locked="0"/>
    </xf>
    <xf numFmtId="0" fontId="18" fillId="0" borderId="0" xfId="0" applyFont="1" applyAlignment="1" applyProtection="1">
      <protection locked="0"/>
    </xf>
    <xf numFmtId="0" fontId="77" fillId="0" borderId="0" xfId="0" applyFont="1" applyProtection="1">
      <protection locked="0"/>
    </xf>
    <xf numFmtId="168" fontId="17" fillId="44" borderId="1" xfId="0" applyNumberFormat="1" applyFont="1" applyFill="1" applyBorder="1" applyProtection="1"/>
    <xf numFmtId="0" fontId="7" fillId="36" borderId="0" xfId="0" applyFont="1" applyFill="1" applyAlignment="1" applyProtection="1">
      <alignment vertical="top"/>
      <protection locked="0"/>
    </xf>
    <xf numFmtId="0" fontId="26" fillId="36" borderId="0" xfId="0" quotePrefix="1" applyFont="1" applyFill="1" applyAlignment="1" applyProtection="1">
      <alignment vertical="top"/>
    </xf>
    <xf numFmtId="170" fontId="26" fillId="38" borderId="1" xfId="0" applyNumberFormat="1" applyFont="1" applyFill="1" applyBorder="1" applyAlignment="1" applyProtection="1">
      <alignment horizontal="center" wrapText="1"/>
    </xf>
    <xf numFmtId="0" fontId="17" fillId="42" borderId="1" xfId="0" applyNumberFormat="1" applyFont="1" applyFill="1" applyBorder="1" applyProtection="1"/>
    <xf numFmtId="185" fontId="26" fillId="45" borderId="1" xfId="76" applyNumberFormat="1" applyFont="1" applyFill="1" applyBorder="1" applyAlignment="1" applyProtection="1">
      <alignment horizontal="center" vertical="top"/>
    </xf>
    <xf numFmtId="2" fontId="26" fillId="41" borderId="1" xfId="76" applyNumberFormat="1" applyFont="1" applyFill="1" applyBorder="1" applyProtection="1">
      <protection locked="0"/>
    </xf>
    <xf numFmtId="2" fontId="26" fillId="41" borderId="1" xfId="0" applyNumberFormat="1" applyFont="1" applyFill="1" applyBorder="1" applyProtection="1">
      <protection locked="0"/>
    </xf>
    <xf numFmtId="170" fontId="26" fillId="38" borderId="1" xfId="0" applyNumberFormat="1" applyFont="1" applyFill="1" applyBorder="1" applyAlignment="1" applyProtection="1">
      <alignment horizontal="left" wrapText="1"/>
    </xf>
    <xf numFmtId="0" fontId="26" fillId="0" borderId="0" xfId="0" applyFont="1" applyFill="1" applyProtection="1">
      <protection locked="0"/>
    </xf>
    <xf numFmtId="0" fontId="17" fillId="0" borderId="0" xfId="0" applyFont="1" applyFill="1" applyProtection="1">
      <protection locked="0"/>
    </xf>
    <xf numFmtId="0" fontId="26" fillId="0" borderId="0" xfId="0" applyFont="1" applyFill="1"/>
    <xf numFmtId="0" fontId="17" fillId="0" borderId="0" xfId="0" applyFont="1" applyFill="1"/>
    <xf numFmtId="0" fontId="0" fillId="0" borderId="0" xfId="0" applyFont="1" applyFill="1" applyAlignment="1" applyProtection="1">
      <alignment vertical="top"/>
    </xf>
    <xf numFmtId="0" fontId="41" fillId="0" borderId="0" xfId="0" applyFont="1" applyFill="1" applyProtection="1"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Protection="1">
      <protection locked="0"/>
    </xf>
    <xf numFmtId="186" fontId="26" fillId="41" borderId="1" xfId="0" applyNumberFormat="1" applyFont="1" applyFill="1" applyBorder="1" applyAlignment="1" applyProtection="1">
      <alignment horizontal="center"/>
      <protection locked="0"/>
    </xf>
    <xf numFmtId="0" fontId="26" fillId="36" borderId="0" xfId="0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26" fillId="36" borderId="0" xfId="0" applyFont="1" applyFill="1" applyAlignment="1" applyProtection="1">
      <alignment vertical="center" wrapText="1"/>
      <protection locked="0"/>
    </xf>
    <xf numFmtId="0" fontId="26" fillId="37" borderId="2" xfId="75" applyNumberFormat="1" applyFont="1" applyFill="1" applyBorder="1" applyAlignment="1" applyProtection="1">
      <alignment horizontal="center" vertical="center"/>
      <protection locked="0"/>
    </xf>
    <xf numFmtId="0" fontId="26" fillId="37" borderId="6" xfId="75" applyNumberFormat="1" applyFont="1" applyFill="1" applyBorder="1" applyAlignment="1" applyProtection="1">
      <alignment horizontal="center" vertical="center"/>
      <protection locked="0"/>
    </xf>
    <xf numFmtId="0" fontId="26" fillId="37" borderId="3" xfId="75" applyNumberFormat="1" applyFont="1" applyFill="1" applyBorder="1" applyAlignment="1" applyProtection="1">
      <alignment horizontal="center" vertical="center"/>
      <protection locked="0"/>
    </xf>
    <xf numFmtId="0" fontId="38" fillId="36" borderId="4" xfId="0" applyFont="1" applyFill="1" applyBorder="1" applyAlignment="1" applyProtection="1">
      <alignment horizontal="center" vertical="center"/>
      <protection locked="0"/>
    </xf>
    <xf numFmtId="0" fontId="38" fillId="36" borderId="11" xfId="0" applyFont="1" applyFill="1" applyBorder="1" applyAlignment="1" applyProtection="1">
      <alignment horizontal="center" vertical="center"/>
      <protection locked="0"/>
    </xf>
    <xf numFmtId="0" fontId="38" fillId="36" borderId="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/>
      <protection locked="0"/>
    </xf>
    <xf numFmtId="0" fontId="57" fillId="0" borderId="13" xfId="0" applyFont="1" applyBorder="1" applyAlignment="1" applyProtection="1">
      <alignment horizontal="center"/>
      <protection locked="0"/>
    </xf>
    <xf numFmtId="0" fontId="9" fillId="2" borderId="4" xfId="31" applyFont="1" applyFill="1" applyBorder="1" applyAlignment="1" applyProtection="1">
      <alignment wrapText="1"/>
      <protection locked="0"/>
    </xf>
    <xf numFmtId="0" fontId="26" fillId="2" borderId="11" xfId="3" applyFont="1" applyFill="1" applyBorder="1" applyAlignment="1" applyProtection="1">
      <alignment wrapText="1"/>
      <protection locked="0"/>
    </xf>
    <xf numFmtId="0" fontId="9" fillId="2" borderId="11" xfId="31" applyFont="1" applyFill="1" applyBorder="1" applyAlignment="1" applyProtection="1">
      <alignment wrapText="1"/>
      <protection locked="0"/>
    </xf>
    <xf numFmtId="0" fontId="9" fillId="2" borderId="5" xfId="31" applyFont="1" applyFill="1" applyBorder="1" applyAlignment="1" applyProtection="1">
      <alignment wrapText="1"/>
      <protection locked="0"/>
    </xf>
    <xf numFmtId="0" fontId="9" fillId="2" borderId="1" xfId="31" applyFont="1" applyFill="1" applyBorder="1" applyAlignment="1" applyProtection="1">
      <alignment wrapText="1"/>
      <protection locked="0"/>
    </xf>
    <xf numFmtId="0" fontId="2" fillId="2" borderId="1" xfId="3" applyFill="1" applyBorder="1" applyAlignment="1" applyProtection="1">
      <alignment wrapText="1"/>
      <protection locked="0"/>
    </xf>
    <xf numFmtId="0" fontId="26" fillId="2" borderId="5" xfId="3" applyFont="1" applyFill="1" applyBorder="1" applyAlignment="1" applyProtection="1">
      <alignment wrapText="1"/>
      <protection locked="0"/>
    </xf>
    <xf numFmtId="0" fontId="26" fillId="2" borderId="1" xfId="3" applyFont="1" applyFill="1" applyBorder="1" applyAlignment="1" applyProtection="1">
      <alignment wrapText="1"/>
      <protection locked="0"/>
    </xf>
    <xf numFmtId="0" fontId="9" fillId="2" borderId="1" xfId="30" applyFont="1" applyFill="1" applyBorder="1" applyAlignment="1" applyProtection="1">
      <alignment horizontal="left" vertical="top" wrapText="1"/>
      <protection locked="0"/>
    </xf>
    <xf numFmtId="0" fontId="2" fillId="2" borderId="1" xfId="3" applyFill="1" applyBorder="1" applyAlignment="1" applyProtection="1">
      <alignment vertical="top" wrapText="1"/>
      <protection locked="0"/>
    </xf>
    <xf numFmtId="0" fontId="2" fillId="2" borderId="1" xfId="3" applyFill="1" applyBorder="1" applyAlignment="1" applyProtection="1">
      <protection locked="0"/>
    </xf>
  </cellXfs>
  <cellStyles count="78">
    <cellStyle name="%" xfId="5"/>
    <cellStyle name="% 2" xfId="6"/>
    <cellStyle name="% 2 2" xfId="1"/>
    <cellStyle name="%_RRP Rec" xfId="7"/>
    <cellStyle name="%_Section 5" xfId="8"/>
    <cellStyle name="Accent1 - 20%" xfId="9"/>
    <cellStyle name="Accent1 - 40%" xfId="10"/>
    <cellStyle name="Accent1 - 60%" xfId="11"/>
    <cellStyle name="Accent2 - 20%" xfId="12"/>
    <cellStyle name="Accent2 - 40%" xfId="13"/>
    <cellStyle name="Accent2 - 60%" xfId="14"/>
    <cellStyle name="Accent3 - 20%" xfId="15"/>
    <cellStyle name="Accent3 - 40%" xfId="16"/>
    <cellStyle name="Accent3 - 60%" xfId="17"/>
    <cellStyle name="Accent4 - 20%" xfId="18"/>
    <cellStyle name="Accent4 - 40%" xfId="19"/>
    <cellStyle name="Accent4 - 60%" xfId="20"/>
    <cellStyle name="Accent5 - 20%" xfId="21"/>
    <cellStyle name="Accent5 - 40%" xfId="22"/>
    <cellStyle name="Accent5 - 60%" xfId="23"/>
    <cellStyle name="Accent6 - 20%" xfId="24"/>
    <cellStyle name="Accent6 - 40%" xfId="25"/>
    <cellStyle name="Accent6 - 60%" xfId="26"/>
    <cellStyle name="Comma 2" xfId="4"/>
    <cellStyle name="Emphasis 1" xfId="27"/>
    <cellStyle name="Emphasis 2" xfId="28"/>
    <cellStyle name="Emphasis 3" xfId="29"/>
    <cellStyle name="Hyperlink_RRP published income queries with Ofgem" xfId="77"/>
    <cellStyle name="Normal" xfId="0" builtinId="0"/>
    <cellStyle name="Normal 2" xfId="3"/>
    <cellStyle name="Normal 2 2" xfId="2"/>
    <cellStyle name="Normal 3" xfId="73"/>
    <cellStyle name="Normal_3E(9) proforma 2000-01" xfId="30"/>
    <cellStyle name="Normal_EMExls" xfId="31"/>
    <cellStyle name="Normal_risk table" xfId="74"/>
    <cellStyle name="Percent" xfId="76" builtinId="5"/>
    <cellStyle name="Percent 2" xfId="32"/>
    <cellStyle name="Percent 3" xfId="75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Sheet Title" xfId="72"/>
  </cellStyles>
  <dxfs count="0"/>
  <tableStyles count="0" defaultTableStyle="TableStyleMedium9" defaultPivotStyle="PivotStyleLight16"/>
  <colors>
    <mruColors>
      <color rgb="FFFF33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3</xdr:row>
      <xdr:rowOff>0</xdr:rowOff>
    </xdr:from>
    <xdr:to>
      <xdr:col>9</xdr:col>
      <xdr:colOff>323850</xdr:colOff>
      <xdr:row>28</xdr:row>
      <xdr:rowOff>47625</xdr:rowOff>
    </xdr:to>
    <xdr:grpSp>
      <xdr:nvGrpSpPr>
        <xdr:cNvPr id="9219" name="Group 3"/>
        <xdr:cNvGrpSpPr>
          <a:grpSpLocks noChangeAspect="1"/>
        </xdr:cNvGrpSpPr>
      </xdr:nvGrpSpPr>
      <xdr:grpSpPr bwMode="auto">
        <a:xfrm>
          <a:off x="523875" y="624417"/>
          <a:ext cx="6859058" cy="4143375"/>
          <a:chOff x="55" y="65"/>
          <a:chExt cx="718" cy="430"/>
        </a:xfrm>
      </xdr:grpSpPr>
      <xdr:sp macro="" textlink="">
        <xdr:nvSpPr>
          <xdr:cNvPr id="9218" name="AutoShape 2"/>
          <xdr:cNvSpPr>
            <a:spLocks noChangeAspect="1" noChangeArrowheads="1" noTextEdit="1"/>
          </xdr:cNvSpPr>
        </xdr:nvSpPr>
        <xdr:spPr bwMode="auto">
          <a:xfrm>
            <a:off x="55" y="65"/>
            <a:ext cx="718" cy="4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220" name="Freeform 4"/>
          <xdr:cNvSpPr>
            <a:spLocks noEditPoints="1"/>
          </xdr:cNvSpPr>
        </xdr:nvSpPr>
        <xdr:spPr bwMode="auto">
          <a:xfrm>
            <a:off x="344" y="468"/>
            <a:ext cx="160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472"/>
              </a:cxn>
              <a:cxn ang="0">
                <a:pos x="2904" y="480"/>
              </a:cxn>
              <a:cxn ang="0">
                <a:pos x="8" y="480"/>
              </a:cxn>
              <a:cxn ang="0">
                <a:pos x="0" y="472"/>
              </a:cxn>
              <a:cxn ang="0">
                <a:pos x="0" y="8"/>
              </a:cxn>
              <a:cxn ang="0">
                <a:pos x="16" y="472"/>
              </a:cxn>
              <a:cxn ang="0">
                <a:pos x="8" y="464"/>
              </a:cxn>
              <a:cxn ang="0">
                <a:pos x="2904" y="464"/>
              </a:cxn>
              <a:cxn ang="0">
                <a:pos x="2896" y="472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72"/>
              </a:cxn>
            </a:cxnLst>
            <a:rect l="0" t="0" r="r" b="b"/>
            <a:pathLst>
              <a:path w="2912" h="480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472"/>
                </a:lnTo>
                <a:cubicBezTo>
                  <a:pt x="2912" y="477"/>
                  <a:pt x="2909" y="480"/>
                  <a:pt x="2904" y="480"/>
                </a:cubicBezTo>
                <a:lnTo>
                  <a:pt x="8" y="480"/>
                </a:lnTo>
                <a:cubicBezTo>
                  <a:pt x="4" y="480"/>
                  <a:pt x="0" y="477"/>
                  <a:pt x="0" y="472"/>
                </a:cubicBezTo>
                <a:lnTo>
                  <a:pt x="0" y="8"/>
                </a:lnTo>
                <a:close/>
                <a:moveTo>
                  <a:pt x="16" y="472"/>
                </a:moveTo>
                <a:lnTo>
                  <a:pt x="8" y="464"/>
                </a:lnTo>
                <a:lnTo>
                  <a:pt x="2904" y="464"/>
                </a:lnTo>
                <a:lnTo>
                  <a:pt x="2896" y="472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472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1" name="Rectangle 5"/>
          <xdr:cNvSpPr>
            <a:spLocks noChangeArrowheads="1"/>
          </xdr:cNvSpPr>
        </xdr:nvSpPr>
        <xdr:spPr bwMode="auto">
          <a:xfrm>
            <a:off x="363" y="473"/>
            <a:ext cx="72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Summary</a:t>
            </a:r>
          </a:p>
        </xdr:txBody>
      </xdr:sp>
      <xdr:sp macro="" textlink="">
        <xdr:nvSpPr>
          <xdr:cNvPr id="9222" name="Freeform 6"/>
          <xdr:cNvSpPr>
            <a:spLocks noEditPoints="1"/>
          </xdr:cNvSpPr>
        </xdr:nvSpPr>
        <xdr:spPr bwMode="auto">
          <a:xfrm>
            <a:off x="194" y="71"/>
            <a:ext cx="158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3" name="Rectangle 7"/>
          <xdr:cNvSpPr>
            <a:spLocks noChangeArrowheads="1"/>
          </xdr:cNvSpPr>
        </xdr:nvSpPr>
        <xdr:spPr bwMode="auto">
          <a:xfrm>
            <a:off x="211" y="75"/>
            <a:ext cx="13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Licence Condition </a:t>
            </a:r>
          </a:p>
        </xdr:txBody>
      </xdr:sp>
      <xdr:sp macro="" textlink="">
        <xdr:nvSpPr>
          <xdr:cNvPr id="9224" name="Rectangle 8"/>
          <xdr:cNvSpPr>
            <a:spLocks noChangeArrowheads="1"/>
          </xdr:cNvSpPr>
        </xdr:nvSpPr>
        <xdr:spPr bwMode="auto">
          <a:xfrm>
            <a:off x="250" y="92"/>
            <a:ext cx="49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Values</a:t>
            </a:r>
          </a:p>
        </xdr:txBody>
      </xdr:sp>
      <xdr:sp macro="" textlink="">
        <xdr:nvSpPr>
          <xdr:cNvPr id="9225" name="Freeform 9"/>
          <xdr:cNvSpPr>
            <a:spLocks noEditPoints="1"/>
          </xdr:cNvSpPr>
        </xdr:nvSpPr>
        <xdr:spPr bwMode="auto">
          <a:xfrm>
            <a:off x="378" y="65"/>
            <a:ext cx="198" cy="128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2328"/>
              </a:cxn>
              <a:cxn ang="0">
                <a:pos x="3608" y="2336"/>
              </a:cxn>
              <a:cxn ang="0">
                <a:pos x="8" y="2336"/>
              </a:cxn>
              <a:cxn ang="0">
                <a:pos x="0" y="2328"/>
              </a:cxn>
              <a:cxn ang="0">
                <a:pos x="0" y="8"/>
              </a:cxn>
              <a:cxn ang="0">
                <a:pos x="16" y="2328"/>
              </a:cxn>
              <a:cxn ang="0">
                <a:pos x="8" y="2320"/>
              </a:cxn>
              <a:cxn ang="0">
                <a:pos x="3608" y="2320"/>
              </a:cxn>
              <a:cxn ang="0">
                <a:pos x="3600" y="2328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2328"/>
              </a:cxn>
            </a:cxnLst>
            <a:rect l="0" t="0" r="r" b="b"/>
            <a:pathLst>
              <a:path w="3616" h="233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2328"/>
                </a:lnTo>
                <a:cubicBezTo>
                  <a:pt x="3616" y="2333"/>
                  <a:pt x="3613" y="2336"/>
                  <a:pt x="3608" y="2336"/>
                </a:cubicBezTo>
                <a:lnTo>
                  <a:pt x="8" y="2336"/>
                </a:lnTo>
                <a:cubicBezTo>
                  <a:pt x="4" y="2336"/>
                  <a:pt x="0" y="2333"/>
                  <a:pt x="0" y="2328"/>
                </a:cubicBezTo>
                <a:lnTo>
                  <a:pt x="0" y="8"/>
                </a:lnTo>
                <a:close/>
                <a:moveTo>
                  <a:pt x="16" y="2328"/>
                </a:moveTo>
                <a:lnTo>
                  <a:pt x="8" y="2320"/>
                </a:lnTo>
                <a:lnTo>
                  <a:pt x="3608" y="2320"/>
                </a:lnTo>
                <a:lnTo>
                  <a:pt x="3600" y="2328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232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6" name="Rectangle 10"/>
          <xdr:cNvSpPr>
            <a:spLocks noChangeArrowheads="1"/>
          </xdr:cNvSpPr>
        </xdr:nvSpPr>
        <xdr:spPr bwMode="auto">
          <a:xfrm>
            <a:off x="419" y="70"/>
            <a:ext cx="123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Licensee Inputs:</a:t>
            </a:r>
          </a:p>
        </xdr:txBody>
      </xdr:sp>
      <xdr:sp macro="" textlink="">
        <xdr:nvSpPr>
          <xdr:cNvPr id="9227" name="Rectangle 11"/>
          <xdr:cNvSpPr>
            <a:spLocks noChangeArrowheads="1"/>
          </xdr:cNvSpPr>
        </xdr:nvSpPr>
        <xdr:spPr bwMode="auto">
          <a:xfrm>
            <a:off x="387" y="104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28" name="Rectangle 12"/>
          <xdr:cNvSpPr>
            <a:spLocks noChangeArrowheads="1"/>
          </xdr:cNvSpPr>
        </xdr:nvSpPr>
        <xdr:spPr bwMode="auto">
          <a:xfrm>
            <a:off x="392" y="103"/>
            <a:ext cx="14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Pass Through Items</a:t>
            </a:r>
          </a:p>
        </xdr:txBody>
      </xdr:sp>
      <xdr:sp macro="" textlink="">
        <xdr:nvSpPr>
          <xdr:cNvPr id="9229" name="Rectangle 13"/>
          <xdr:cNvSpPr>
            <a:spLocks noChangeArrowheads="1"/>
          </xdr:cNvSpPr>
        </xdr:nvSpPr>
        <xdr:spPr bwMode="auto">
          <a:xfrm>
            <a:off x="387" y="121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30" name="Rectangle 14"/>
          <xdr:cNvSpPr>
            <a:spLocks noChangeArrowheads="1"/>
          </xdr:cNvSpPr>
        </xdr:nvSpPr>
        <xdr:spPr bwMode="auto">
          <a:xfrm>
            <a:off x="392" y="120"/>
            <a:ext cx="16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Incentive Adjustments</a:t>
            </a:r>
          </a:p>
        </xdr:txBody>
      </xdr:sp>
      <xdr:sp macro="" textlink="">
        <xdr:nvSpPr>
          <xdr:cNvPr id="9231" name="Rectangle 15"/>
          <xdr:cNvSpPr>
            <a:spLocks noChangeArrowheads="1"/>
          </xdr:cNvSpPr>
        </xdr:nvSpPr>
        <xdr:spPr bwMode="auto">
          <a:xfrm>
            <a:off x="387" y="138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32" name="Rectangle 16"/>
          <xdr:cNvSpPr>
            <a:spLocks noChangeArrowheads="1"/>
          </xdr:cNvSpPr>
        </xdr:nvSpPr>
        <xdr:spPr bwMode="auto">
          <a:xfrm>
            <a:off x="392" y="137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33" name="Rectangle 17"/>
          <xdr:cNvSpPr>
            <a:spLocks noChangeArrowheads="1"/>
          </xdr:cNvSpPr>
        </xdr:nvSpPr>
        <xdr:spPr bwMode="auto">
          <a:xfrm>
            <a:off x="387" y="155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34" name="Rectangle 18"/>
          <xdr:cNvSpPr>
            <a:spLocks noChangeArrowheads="1"/>
          </xdr:cNvSpPr>
        </xdr:nvSpPr>
        <xdr:spPr bwMode="auto">
          <a:xfrm>
            <a:off x="392" y="154"/>
            <a:ext cx="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sp macro="" textlink="">
        <xdr:nvSpPr>
          <xdr:cNvPr id="9235" name="Rectangle 19"/>
          <xdr:cNvSpPr>
            <a:spLocks noChangeArrowheads="1"/>
          </xdr:cNvSpPr>
        </xdr:nvSpPr>
        <xdr:spPr bwMode="auto">
          <a:xfrm>
            <a:off x="387" y="170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36" name="Freeform 20"/>
          <xdr:cNvSpPr>
            <a:spLocks noEditPoints="1"/>
          </xdr:cNvSpPr>
        </xdr:nvSpPr>
        <xdr:spPr bwMode="auto">
          <a:xfrm>
            <a:off x="55" y="143"/>
            <a:ext cx="159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37" name="Rectangle 21"/>
          <xdr:cNvSpPr>
            <a:spLocks noChangeArrowheads="1"/>
          </xdr:cNvSpPr>
        </xdr:nvSpPr>
        <xdr:spPr bwMode="auto">
          <a:xfrm>
            <a:off x="69" y="148"/>
            <a:ext cx="14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RPI &amp; Official Bank </a:t>
            </a:r>
          </a:p>
        </xdr:txBody>
      </xdr:sp>
      <xdr:sp macro="" textlink="">
        <xdr:nvSpPr>
          <xdr:cNvPr id="9238" name="Rectangle 22"/>
          <xdr:cNvSpPr>
            <a:spLocks noChangeArrowheads="1"/>
          </xdr:cNvSpPr>
        </xdr:nvSpPr>
        <xdr:spPr bwMode="auto">
          <a:xfrm>
            <a:off x="119" y="164"/>
            <a:ext cx="34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Rate</a:t>
            </a:r>
          </a:p>
        </xdr:txBody>
      </xdr:sp>
      <xdr:sp macro="" textlink="">
        <xdr:nvSpPr>
          <xdr:cNvPr id="9239" name="Freeform 23"/>
          <xdr:cNvSpPr>
            <a:spLocks noEditPoints="1"/>
          </xdr:cNvSpPr>
        </xdr:nvSpPr>
        <xdr:spPr bwMode="auto">
          <a:xfrm>
            <a:off x="128" y="231"/>
            <a:ext cx="159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488"/>
              </a:cxn>
              <a:cxn ang="0">
                <a:pos x="2888" y="496"/>
              </a:cxn>
              <a:cxn ang="0">
                <a:pos x="8" y="496"/>
              </a:cxn>
              <a:cxn ang="0">
                <a:pos x="0" y="488"/>
              </a:cxn>
              <a:cxn ang="0">
                <a:pos x="0" y="8"/>
              </a:cxn>
              <a:cxn ang="0">
                <a:pos x="16" y="488"/>
              </a:cxn>
              <a:cxn ang="0">
                <a:pos x="8" y="480"/>
              </a:cxn>
              <a:cxn ang="0">
                <a:pos x="2888" y="480"/>
              </a:cxn>
              <a:cxn ang="0">
                <a:pos x="2880" y="488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88"/>
              </a:cxn>
            </a:cxnLst>
            <a:rect l="0" t="0" r="r" b="b"/>
            <a:pathLst>
              <a:path w="2896" h="49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488"/>
                </a:lnTo>
                <a:cubicBezTo>
                  <a:pt x="2896" y="493"/>
                  <a:pt x="2893" y="496"/>
                  <a:pt x="2888" y="496"/>
                </a:cubicBezTo>
                <a:lnTo>
                  <a:pt x="8" y="496"/>
                </a:lnTo>
                <a:cubicBezTo>
                  <a:pt x="4" y="496"/>
                  <a:pt x="0" y="493"/>
                  <a:pt x="0" y="488"/>
                </a:cubicBezTo>
                <a:lnTo>
                  <a:pt x="0" y="8"/>
                </a:lnTo>
                <a:close/>
                <a:moveTo>
                  <a:pt x="16" y="488"/>
                </a:moveTo>
                <a:lnTo>
                  <a:pt x="8" y="480"/>
                </a:lnTo>
                <a:lnTo>
                  <a:pt x="2888" y="480"/>
                </a:lnTo>
                <a:lnTo>
                  <a:pt x="2880" y="488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48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0" name="Rectangle 24"/>
          <xdr:cNvSpPr>
            <a:spLocks noChangeArrowheads="1"/>
          </xdr:cNvSpPr>
        </xdr:nvSpPr>
        <xdr:spPr bwMode="auto">
          <a:xfrm>
            <a:off x="147" y="236"/>
            <a:ext cx="13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Correction Factor</a:t>
            </a:r>
          </a:p>
        </xdr:txBody>
      </xdr:sp>
      <xdr:sp macro="" textlink="">
        <xdr:nvSpPr>
          <xdr:cNvPr id="9241" name="Freeform 25"/>
          <xdr:cNvSpPr>
            <a:spLocks noEditPoints="1"/>
          </xdr:cNvSpPr>
        </xdr:nvSpPr>
        <xdr:spPr bwMode="auto">
          <a:xfrm>
            <a:off x="344" y="238"/>
            <a:ext cx="160" cy="60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080"/>
              </a:cxn>
              <a:cxn ang="0">
                <a:pos x="2904" y="1088"/>
              </a:cxn>
              <a:cxn ang="0">
                <a:pos x="8" y="1088"/>
              </a:cxn>
              <a:cxn ang="0">
                <a:pos x="0" y="1080"/>
              </a:cxn>
              <a:cxn ang="0">
                <a:pos x="0" y="8"/>
              </a:cxn>
              <a:cxn ang="0">
                <a:pos x="16" y="1080"/>
              </a:cxn>
              <a:cxn ang="0">
                <a:pos x="8" y="1072"/>
              </a:cxn>
              <a:cxn ang="0">
                <a:pos x="2904" y="1072"/>
              </a:cxn>
              <a:cxn ang="0">
                <a:pos x="2896" y="108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080"/>
              </a:cxn>
            </a:cxnLst>
            <a:rect l="0" t="0" r="r" b="b"/>
            <a:pathLst>
              <a:path w="2912" h="108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080"/>
                </a:lnTo>
                <a:cubicBezTo>
                  <a:pt x="2912" y="1085"/>
                  <a:pt x="2909" y="1088"/>
                  <a:pt x="2904" y="1088"/>
                </a:cubicBezTo>
                <a:lnTo>
                  <a:pt x="8" y="1088"/>
                </a:lnTo>
                <a:cubicBezTo>
                  <a:pt x="4" y="1088"/>
                  <a:pt x="0" y="1085"/>
                  <a:pt x="0" y="1080"/>
                </a:cubicBezTo>
                <a:lnTo>
                  <a:pt x="0" y="8"/>
                </a:lnTo>
                <a:close/>
                <a:moveTo>
                  <a:pt x="16" y="1080"/>
                </a:moveTo>
                <a:lnTo>
                  <a:pt x="8" y="1072"/>
                </a:lnTo>
                <a:lnTo>
                  <a:pt x="2904" y="1072"/>
                </a:lnTo>
                <a:lnTo>
                  <a:pt x="2896" y="108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08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2" name="Rectangle 26"/>
          <xdr:cNvSpPr>
            <a:spLocks noChangeArrowheads="1"/>
          </xdr:cNvSpPr>
        </xdr:nvSpPr>
        <xdr:spPr bwMode="auto">
          <a:xfrm>
            <a:off x="360" y="242"/>
            <a:ext cx="142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 Allowed </a:t>
            </a:r>
          </a:p>
        </xdr:txBody>
      </xdr:sp>
      <xdr:sp macro="" textlink="">
        <xdr:nvSpPr>
          <xdr:cNvPr id="9243" name="Rectangle 27"/>
          <xdr:cNvSpPr>
            <a:spLocks noChangeArrowheads="1"/>
          </xdr:cNvSpPr>
        </xdr:nvSpPr>
        <xdr:spPr bwMode="auto">
          <a:xfrm>
            <a:off x="384" y="259"/>
            <a:ext cx="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sp macro="" textlink="">
        <xdr:nvSpPr>
          <xdr:cNvPr id="9244" name="Rectangle 28"/>
          <xdr:cNvSpPr>
            <a:spLocks noChangeArrowheads="1"/>
          </xdr:cNvSpPr>
        </xdr:nvSpPr>
        <xdr:spPr bwMode="auto">
          <a:xfrm>
            <a:off x="362" y="276"/>
            <a:ext cx="64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Revenue</a:t>
            </a:r>
          </a:p>
        </xdr:txBody>
      </xdr:sp>
      <xdr:sp macro="" textlink="">
        <xdr:nvSpPr>
          <xdr:cNvPr id="9245" name="Freeform 29"/>
          <xdr:cNvSpPr>
            <a:spLocks noEditPoints="1"/>
          </xdr:cNvSpPr>
        </xdr:nvSpPr>
        <xdr:spPr bwMode="auto">
          <a:xfrm>
            <a:off x="575" y="168"/>
            <a:ext cx="198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1400"/>
              </a:cxn>
              <a:cxn ang="0">
                <a:pos x="3608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3608" y="1392"/>
              </a:cxn>
              <a:cxn ang="0">
                <a:pos x="3600" y="1400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3616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1400"/>
                </a:lnTo>
                <a:cubicBezTo>
                  <a:pt x="3616" y="1405"/>
                  <a:pt x="3613" y="1408"/>
                  <a:pt x="3608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3608" y="1392"/>
                </a:lnTo>
                <a:lnTo>
                  <a:pt x="3600" y="1400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7" name="Rectangle 31"/>
          <xdr:cNvSpPr>
            <a:spLocks noChangeArrowheads="1"/>
          </xdr:cNvSpPr>
        </xdr:nvSpPr>
        <xdr:spPr bwMode="auto">
          <a:xfrm>
            <a:off x="589" y="173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48" name="Rectangle 32"/>
          <xdr:cNvSpPr>
            <a:spLocks noChangeArrowheads="1"/>
          </xdr:cNvSpPr>
        </xdr:nvSpPr>
        <xdr:spPr bwMode="auto">
          <a:xfrm>
            <a:off x="584" y="189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49" name="Rectangle 33"/>
          <xdr:cNvSpPr>
            <a:spLocks noChangeArrowheads="1"/>
          </xdr:cNvSpPr>
        </xdr:nvSpPr>
        <xdr:spPr bwMode="auto">
          <a:xfrm>
            <a:off x="589" y="189"/>
            <a:ext cx="134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Excluded Services</a:t>
            </a:r>
          </a:p>
        </xdr:txBody>
      </xdr:sp>
      <xdr:sp macro="" textlink="">
        <xdr:nvSpPr>
          <xdr:cNvPr id="9250" name="Rectangle 34"/>
          <xdr:cNvSpPr>
            <a:spLocks noChangeArrowheads="1"/>
          </xdr:cNvSpPr>
        </xdr:nvSpPr>
        <xdr:spPr bwMode="auto">
          <a:xfrm>
            <a:off x="584" y="207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51" name="Rectangle 35"/>
          <xdr:cNvSpPr>
            <a:spLocks noChangeArrowheads="1"/>
          </xdr:cNvSpPr>
        </xdr:nvSpPr>
        <xdr:spPr bwMode="auto">
          <a:xfrm>
            <a:off x="589" y="206"/>
            <a:ext cx="162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Outside Price Control </a:t>
            </a:r>
          </a:p>
        </xdr:txBody>
      </xdr:sp>
      <xdr:sp macro="" textlink="">
        <xdr:nvSpPr>
          <xdr:cNvPr id="9252" name="Rectangle 36"/>
          <xdr:cNvSpPr>
            <a:spLocks noChangeArrowheads="1"/>
          </xdr:cNvSpPr>
        </xdr:nvSpPr>
        <xdr:spPr bwMode="auto">
          <a:xfrm>
            <a:off x="584" y="223"/>
            <a:ext cx="5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and De </a:t>
            </a:r>
          </a:p>
        </xdr:txBody>
      </xdr:sp>
      <xdr:sp macro="" textlink="">
        <xdr:nvSpPr>
          <xdr:cNvPr id="9253" name="Rectangle 37"/>
          <xdr:cNvSpPr>
            <a:spLocks noChangeArrowheads="1"/>
          </xdr:cNvSpPr>
        </xdr:nvSpPr>
        <xdr:spPr bwMode="auto">
          <a:xfrm>
            <a:off x="638" y="223"/>
            <a:ext cx="56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Minimis</a:t>
            </a:r>
          </a:p>
        </xdr:txBody>
      </xdr:sp>
      <xdr:sp macro="" textlink="">
        <xdr:nvSpPr>
          <xdr:cNvPr id="9254" name="Freeform 38"/>
          <xdr:cNvSpPr>
            <a:spLocks noEditPoints="1"/>
          </xdr:cNvSpPr>
        </xdr:nvSpPr>
        <xdr:spPr bwMode="auto">
          <a:xfrm>
            <a:off x="239" y="343"/>
            <a:ext cx="160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400"/>
              </a:cxn>
              <a:cxn ang="0">
                <a:pos x="2904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2904" y="1392"/>
              </a:cxn>
              <a:cxn ang="0">
                <a:pos x="2896" y="140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2912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400"/>
                </a:lnTo>
                <a:cubicBezTo>
                  <a:pt x="2912" y="1405"/>
                  <a:pt x="2909" y="1408"/>
                  <a:pt x="2904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2904" y="1392"/>
                </a:lnTo>
                <a:lnTo>
                  <a:pt x="2896" y="140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55" name="Rectangle 39"/>
          <xdr:cNvSpPr>
            <a:spLocks noChangeArrowheads="1"/>
          </xdr:cNvSpPr>
        </xdr:nvSpPr>
        <xdr:spPr bwMode="auto">
          <a:xfrm>
            <a:off x="284" y="348"/>
            <a:ext cx="8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Regulated </a:t>
            </a:r>
          </a:p>
        </xdr:txBody>
      </xdr:sp>
      <xdr:sp macro="" textlink="">
        <xdr:nvSpPr>
          <xdr:cNvPr id="9256" name="Rectangle 40"/>
          <xdr:cNvSpPr>
            <a:spLocks noChangeArrowheads="1"/>
          </xdr:cNvSpPr>
        </xdr:nvSpPr>
        <xdr:spPr bwMode="auto">
          <a:xfrm>
            <a:off x="284" y="364"/>
            <a:ext cx="8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 </a:t>
            </a:r>
          </a:p>
        </xdr:txBody>
      </xdr:sp>
      <xdr:sp macro="" textlink="">
        <xdr:nvSpPr>
          <xdr:cNvPr id="9257" name="Rectangle 41"/>
          <xdr:cNvSpPr>
            <a:spLocks noChangeArrowheads="1"/>
          </xdr:cNvSpPr>
        </xdr:nvSpPr>
        <xdr:spPr bwMode="auto">
          <a:xfrm>
            <a:off x="279" y="381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58" name="Rectangle 42"/>
          <xdr:cNvSpPr>
            <a:spLocks noChangeArrowheads="1"/>
          </xdr:cNvSpPr>
        </xdr:nvSpPr>
        <xdr:spPr bwMode="auto">
          <a:xfrm>
            <a:off x="257" y="398"/>
            <a:ext cx="69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Revenue</a:t>
            </a:r>
          </a:p>
        </xdr:txBody>
      </xdr:sp>
      <xdr:sp macro="" textlink="">
        <xdr:nvSpPr>
          <xdr:cNvPr id="9259" name="Freeform 43"/>
          <xdr:cNvSpPr>
            <a:spLocks noEditPoints="1"/>
          </xdr:cNvSpPr>
        </xdr:nvSpPr>
        <xdr:spPr bwMode="auto">
          <a:xfrm>
            <a:off x="425" y="193"/>
            <a:ext cx="52" cy="45"/>
          </a:xfrm>
          <a:custGeom>
            <a:avLst/>
            <a:gdLst/>
            <a:ahLst/>
            <a:cxnLst>
              <a:cxn ang="0">
                <a:pos x="966" y="13"/>
              </a:cxn>
              <a:cxn ang="0">
                <a:pos x="18" y="828"/>
              </a:cxn>
              <a:cxn ang="0">
                <a:pos x="7" y="816"/>
              </a:cxn>
              <a:cxn ang="0">
                <a:pos x="955" y="0"/>
              </a:cxn>
              <a:cxn ang="0">
                <a:pos x="966" y="13"/>
              </a:cxn>
              <a:cxn ang="0">
                <a:pos x="160" y="803"/>
              </a:cxn>
              <a:cxn ang="0">
                <a:pos x="0" y="832"/>
              </a:cxn>
              <a:cxn ang="0">
                <a:pos x="53" y="679"/>
              </a:cxn>
              <a:cxn ang="0">
                <a:pos x="63" y="674"/>
              </a:cxn>
              <a:cxn ang="0">
                <a:pos x="68" y="684"/>
              </a:cxn>
              <a:cxn ang="0">
                <a:pos x="20" y="824"/>
              </a:cxn>
              <a:cxn ang="0">
                <a:pos x="11" y="814"/>
              </a:cxn>
              <a:cxn ang="0">
                <a:pos x="157" y="787"/>
              </a:cxn>
              <a:cxn ang="0">
                <a:pos x="166" y="793"/>
              </a:cxn>
              <a:cxn ang="0">
                <a:pos x="160" y="803"/>
              </a:cxn>
            </a:cxnLst>
            <a:rect l="0" t="0" r="r" b="b"/>
            <a:pathLst>
              <a:path w="966" h="832">
                <a:moveTo>
                  <a:pt x="966" y="13"/>
                </a:moveTo>
                <a:lnTo>
                  <a:pt x="18" y="828"/>
                </a:lnTo>
                <a:lnTo>
                  <a:pt x="7" y="816"/>
                </a:lnTo>
                <a:lnTo>
                  <a:pt x="955" y="0"/>
                </a:lnTo>
                <a:lnTo>
                  <a:pt x="966" y="13"/>
                </a:lnTo>
                <a:close/>
                <a:moveTo>
                  <a:pt x="160" y="803"/>
                </a:moveTo>
                <a:lnTo>
                  <a:pt x="0" y="832"/>
                </a:lnTo>
                <a:lnTo>
                  <a:pt x="53" y="679"/>
                </a:lnTo>
                <a:cubicBezTo>
                  <a:pt x="55" y="675"/>
                  <a:pt x="59" y="673"/>
                  <a:pt x="63" y="674"/>
                </a:cubicBezTo>
                <a:cubicBezTo>
                  <a:pt x="68" y="675"/>
                  <a:pt x="70" y="680"/>
                  <a:pt x="68" y="684"/>
                </a:cubicBezTo>
                <a:lnTo>
                  <a:pt x="20" y="824"/>
                </a:lnTo>
                <a:lnTo>
                  <a:pt x="11" y="814"/>
                </a:lnTo>
                <a:lnTo>
                  <a:pt x="157" y="787"/>
                </a:lnTo>
                <a:cubicBezTo>
                  <a:pt x="161" y="786"/>
                  <a:pt x="165" y="789"/>
                  <a:pt x="166" y="793"/>
                </a:cubicBezTo>
                <a:cubicBezTo>
                  <a:pt x="167" y="798"/>
                  <a:pt x="164" y="802"/>
                  <a:pt x="160" y="803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0" name="Freeform 44"/>
          <xdr:cNvSpPr>
            <a:spLocks noEditPoints="1"/>
          </xdr:cNvSpPr>
        </xdr:nvSpPr>
        <xdr:spPr bwMode="auto">
          <a:xfrm>
            <a:off x="273" y="113"/>
            <a:ext cx="151" cy="125"/>
          </a:xfrm>
          <a:custGeom>
            <a:avLst/>
            <a:gdLst/>
            <a:ahLst/>
            <a:cxnLst>
              <a:cxn ang="0">
                <a:pos x="11" y="0"/>
              </a:cxn>
              <a:cxn ang="0">
                <a:pos x="2758" y="2265"/>
              </a:cxn>
              <a:cxn ang="0">
                <a:pos x="2748" y="2277"/>
              </a:cxn>
              <a:cxn ang="0">
                <a:pos x="0" y="13"/>
              </a:cxn>
              <a:cxn ang="0">
                <a:pos x="11" y="0"/>
              </a:cxn>
              <a:cxn ang="0">
                <a:pos x="2709" y="2129"/>
              </a:cxn>
              <a:cxn ang="0">
                <a:pos x="2766" y="2281"/>
              </a:cxn>
              <a:cxn ang="0">
                <a:pos x="2606" y="2255"/>
              </a:cxn>
              <a:cxn ang="0">
                <a:pos x="2599" y="2246"/>
              </a:cxn>
              <a:cxn ang="0">
                <a:pos x="2608" y="2239"/>
              </a:cxn>
              <a:cxn ang="0">
                <a:pos x="2755" y="2263"/>
              </a:cxn>
              <a:cxn ang="0">
                <a:pos x="2746" y="2273"/>
              </a:cxn>
              <a:cxn ang="0">
                <a:pos x="2694" y="2134"/>
              </a:cxn>
              <a:cxn ang="0">
                <a:pos x="2699" y="2124"/>
              </a:cxn>
              <a:cxn ang="0">
                <a:pos x="2709" y="2129"/>
              </a:cxn>
            </a:cxnLst>
            <a:rect l="0" t="0" r="r" b="b"/>
            <a:pathLst>
              <a:path w="2766" h="2281">
                <a:moveTo>
                  <a:pt x="11" y="0"/>
                </a:moveTo>
                <a:lnTo>
                  <a:pt x="2758" y="2265"/>
                </a:lnTo>
                <a:lnTo>
                  <a:pt x="2748" y="2277"/>
                </a:lnTo>
                <a:lnTo>
                  <a:pt x="0" y="13"/>
                </a:lnTo>
                <a:lnTo>
                  <a:pt x="11" y="0"/>
                </a:lnTo>
                <a:close/>
                <a:moveTo>
                  <a:pt x="2709" y="2129"/>
                </a:moveTo>
                <a:lnTo>
                  <a:pt x="2766" y="2281"/>
                </a:lnTo>
                <a:lnTo>
                  <a:pt x="2606" y="2255"/>
                </a:lnTo>
                <a:cubicBezTo>
                  <a:pt x="2601" y="2254"/>
                  <a:pt x="2598" y="2250"/>
                  <a:pt x="2599" y="2246"/>
                </a:cubicBezTo>
                <a:cubicBezTo>
                  <a:pt x="2600" y="2241"/>
                  <a:pt x="2604" y="2238"/>
                  <a:pt x="2608" y="2239"/>
                </a:cubicBezTo>
                <a:lnTo>
                  <a:pt x="2755" y="2263"/>
                </a:lnTo>
                <a:lnTo>
                  <a:pt x="2746" y="2273"/>
                </a:lnTo>
                <a:lnTo>
                  <a:pt x="2694" y="2134"/>
                </a:lnTo>
                <a:cubicBezTo>
                  <a:pt x="2693" y="2130"/>
                  <a:pt x="2695" y="2126"/>
                  <a:pt x="2699" y="2124"/>
                </a:cubicBezTo>
                <a:cubicBezTo>
                  <a:pt x="2703" y="2123"/>
                  <a:pt x="2708" y="2125"/>
                  <a:pt x="2709" y="212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1" name="Freeform 45"/>
          <xdr:cNvSpPr>
            <a:spLocks noEditPoints="1"/>
          </xdr:cNvSpPr>
        </xdr:nvSpPr>
        <xdr:spPr bwMode="auto">
          <a:xfrm>
            <a:off x="135" y="185"/>
            <a:ext cx="289" cy="56"/>
          </a:xfrm>
          <a:custGeom>
            <a:avLst/>
            <a:gdLst/>
            <a:ahLst/>
            <a:cxnLst>
              <a:cxn ang="0">
                <a:pos x="3" y="0"/>
              </a:cxn>
              <a:cxn ang="0">
                <a:pos x="5268" y="951"/>
              </a:cxn>
              <a:cxn ang="0">
                <a:pos x="5265" y="967"/>
              </a:cxn>
              <a:cxn ang="0">
                <a:pos x="0" y="15"/>
              </a:cxn>
              <a:cxn ang="0">
                <a:pos x="3" y="0"/>
              </a:cxn>
              <a:cxn ang="0">
                <a:pos x="5158" y="857"/>
              </a:cxn>
              <a:cxn ang="0">
                <a:pos x="5282" y="962"/>
              </a:cxn>
              <a:cxn ang="0">
                <a:pos x="5129" y="1017"/>
              </a:cxn>
              <a:cxn ang="0">
                <a:pos x="5119" y="1012"/>
              </a:cxn>
              <a:cxn ang="0">
                <a:pos x="5124" y="1002"/>
              </a:cxn>
              <a:cxn ang="0">
                <a:pos x="5263" y="951"/>
              </a:cxn>
              <a:cxn ang="0">
                <a:pos x="5261" y="965"/>
              </a:cxn>
              <a:cxn ang="0">
                <a:pos x="5148" y="869"/>
              </a:cxn>
              <a:cxn ang="0">
                <a:pos x="5147" y="857"/>
              </a:cxn>
              <a:cxn ang="0">
                <a:pos x="5158" y="857"/>
              </a:cxn>
            </a:cxnLst>
            <a:rect l="0" t="0" r="r" b="b"/>
            <a:pathLst>
              <a:path w="5282" h="1019">
                <a:moveTo>
                  <a:pt x="3" y="0"/>
                </a:moveTo>
                <a:lnTo>
                  <a:pt x="5268" y="951"/>
                </a:lnTo>
                <a:lnTo>
                  <a:pt x="5265" y="967"/>
                </a:lnTo>
                <a:lnTo>
                  <a:pt x="0" y="15"/>
                </a:lnTo>
                <a:lnTo>
                  <a:pt x="3" y="0"/>
                </a:lnTo>
                <a:close/>
                <a:moveTo>
                  <a:pt x="5158" y="857"/>
                </a:moveTo>
                <a:lnTo>
                  <a:pt x="5282" y="962"/>
                </a:lnTo>
                <a:lnTo>
                  <a:pt x="5129" y="1017"/>
                </a:lnTo>
                <a:cubicBezTo>
                  <a:pt x="5125" y="1019"/>
                  <a:pt x="5121" y="1017"/>
                  <a:pt x="5119" y="1012"/>
                </a:cubicBezTo>
                <a:cubicBezTo>
                  <a:pt x="5117" y="1008"/>
                  <a:pt x="5120" y="1004"/>
                  <a:pt x="5124" y="1002"/>
                </a:cubicBezTo>
                <a:lnTo>
                  <a:pt x="5263" y="951"/>
                </a:lnTo>
                <a:lnTo>
                  <a:pt x="5261" y="965"/>
                </a:lnTo>
                <a:lnTo>
                  <a:pt x="5148" y="869"/>
                </a:lnTo>
                <a:cubicBezTo>
                  <a:pt x="5145" y="866"/>
                  <a:pt x="5144" y="861"/>
                  <a:pt x="5147" y="857"/>
                </a:cubicBezTo>
                <a:cubicBezTo>
                  <a:pt x="5150" y="854"/>
                  <a:pt x="5155" y="854"/>
                  <a:pt x="5158" y="857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2" name="Freeform 46"/>
          <xdr:cNvSpPr>
            <a:spLocks noEditPoints="1"/>
          </xdr:cNvSpPr>
        </xdr:nvSpPr>
        <xdr:spPr bwMode="auto">
          <a:xfrm>
            <a:off x="207" y="257"/>
            <a:ext cx="138" cy="15"/>
          </a:xfrm>
          <a:custGeom>
            <a:avLst/>
            <a:gdLst/>
            <a:ahLst/>
            <a:cxnLst>
              <a:cxn ang="0">
                <a:pos x="1" y="0"/>
              </a:cxn>
              <a:cxn ang="0">
                <a:pos x="2505" y="191"/>
              </a:cxn>
              <a:cxn ang="0">
                <a:pos x="2504" y="207"/>
              </a:cxn>
              <a:cxn ang="0">
                <a:pos x="0" y="16"/>
              </a:cxn>
              <a:cxn ang="0">
                <a:pos x="1" y="0"/>
              </a:cxn>
              <a:cxn ang="0">
                <a:pos x="2387" y="108"/>
              </a:cxn>
              <a:cxn ang="0">
                <a:pos x="2521" y="200"/>
              </a:cxn>
              <a:cxn ang="0">
                <a:pos x="2375" y="271"/>
              </a:cxn>
              <a:cxn ang="0">
                <a:pos x="2364" y="267"/>
              </a:cxn>
              <a:cxn ang="0">
                <a:pos x="2368" y="257"/>
              </a:cxn>
              <a:cxn ang="0">
                <a:pos x="2501" y="192"/>
              </a:cxn>
              <a:cxn ang="0">
                <a:pos x="2500" y="206"/>
              </a:cxn>
              <a:cxn ang="0">
                <a:pos x="2378" y="121"/>
              </a:cxn>
              <a:cxn ang="0">
                <a:pos x="2376" y="110"/>
              </a:cxn>
              <a:cxn ang="0">
                <a:pos x="2387" y="108"/>
              </a:cxn>
            </a:cxnLst>
            <a:rect l="0" t="0" r="r" b="b"/>
            <a:pathLst>
              <a:path w="2521" h="273">
                <a:moveTo>
                  <a:pt x="1" y="0"/>
                </a:moveTo>
                <a:lnTo>
                  <a:pt x="2505" y="191"/>
                </a:lnTo>
                <a:lnTo>
                  <a:pt x="2504" y="207"/>
                </a:lnTo>
                <a:lnTo>
                  <a:pt x="0" y="16"/>
                </a:lnTo>
                <a:lnTo>
                  <a:pt x="1" y="0"/>
                </a:lnTo>
                <a:close/>
                <a:moveTo>
                  <a:pt x="2387" y="108"/>
                </a:moveTo>
                <a:lnTo>
                  <a:pt x="2521" y="200"/>
                </a:lnTo>
                <a:lnTo>
                  <a:pt x="2375" y="271"/>
                </a:lnTo>
                <a:cubicBezTo>
                  <a:pt x="2371" y="273"/>
                  <a:pt x="2366" y="271"/>
                  <a:pt x="2364" y="267"/>
                </a:cubicBezTo>
                <a:cubicBezTo>
                  <a:pt x="2362" y="263"/>
                  <a:pt x="2364" y="259"/>
                  <a:pt x="2368" y="257"/>
                </a:cubicBezTo>
                <a:lnTo>
                  <a:pt x="2501" y="192"/>
                </a:lnTo>
                <a:lnTo>
                  <a:pt x="2500" y="206"/>
                </a:lnTo>
                <a:lnTo>
                  <a:pt x="2378" y="121"/>
                </a:lnTo>
                <a:cubicBezTo>
                  <a:pt x="2374" y="119"/>
                  <a:pt x="2373" y="114"/>
                  <a:pt x="2376" y="110"/>
                </a:cubicBezTo>
                <a:cubicBezTo>
                  <a:pt x="2379" y="107"/>
                  <a:pt x="2383" y="106"/>
                  <a:pt x="2387" y="108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3" name="Freeform 47"/>
          <xdr:cNvSpPr>
            <a:spLocks noEditPoints="1"/>
          </xdr:cNvSpPr>
        </xdr:nvSpPr>
        <xdr:spPr bwMode="auto">
          <a:xfrm>
            <a:off x="425" y="244"/>
            <a:ext cx="249" cy="224"/>
          </a:xfrm>
          <a:custGeom>
            <a:avLst/>
            <a:gdLst/>
            <a:ahLst/>
            <a:cxnLst>
              <a:cxn ang="0">
                <a:pos x="4566" y="12"/>
              </a:cxn>
              <a:cxn ang="0">
                <a:pos x="18" y="4082"/>
              </a:cxn>
              <a:cxn ang="0">
                <a:pos x="7" y="4070"/>
              </a:cxn>
              <a:cxn ang="0">
                <a:pos x="4555" y="0"/>
              </a:cxn>
              <a:cxn ang="0">
                <a:pos x="4566" y="12"/>
              </a:cxn>
              <a:cxn ang="0">
                <a:pos x="159" y="4054"/>
              </a:cxn>
              <a:cxn ang="0">
                <a:pos x="0" y="4087"/>
              </a:cxn>
              <a:cxn ang="0">
                <a:pos x="50" y="3932"/>
              </a:cxn>
              <a:cxn ang="0">
                <a:pos x="60" y="3927"/>
              </a:cxn>
              <a:cxn ang="0">
                <a:pos x="66" y="3937"/>
              </a:cxn>
              <a:cxn ang="0">
                <a:pos x="20" y="4078"/>
              </a:cxn>
              <a:cxn ang="0">
                <a:pos x="11" y="4068"/>
              </a:cxn>
              <a:cxn ang="0">
                <a:pos x="156" y="4038"/>
              </a:cxn>
              <a:cxn ang="0">
                <a:pos x="165" y="4045"/>
              </a:cxn>
              <a:cxn ang="0">
                <a:pos x="159" y="4054"/>
              </a:cxn>
            </a:cxnLst>
            <a:rect l="0" t="0" r="r" b="b"/>
            <a:pathLst>
              <a:path w="4566" h="4087">
                <a:moveTo>
                  <a:pt x="4566" y="12"/>
                </a:moveTo>
                <a:lnTo>
                  <a:pt x="18" y="4082"/>
                </a:lnTo>
                <a:lnTo>
                  <a:pt x="7" y="4070"/>
                </a:lnTo>
                <a:lnTo>
                  <a:pt x="4555" y="0"/>
                </a:lnTo>
                <a:lnTo>
                  <a:pt x="4566" y="12"/>
                </a:lnTo>
                <a:close/>
                <a:moveTo>
                  <a:pt x="159" y="4054"/>
                </a:moveTo>
                <a:lnTo>
                  <a:pt x="0" y="4087"/>
                </a:lnTo>
                <a:lnTo>
                  <a:pt x="50" y="3932"/>
                </a:lnTo>
                <a:cubicBezTo>
                  <a:pt x="52" y="3928"/>
                  <a:pt x="56" y="3926"/>
                  <a:pt x="60" y="3927"/>
                </a:cubicBezTo>
                <a:cubicBezTo>
                  <a:pt x="65" y="3929"/>
                  <a:pt x="67" y="3933"/>
                  <a:pt x="66" y="3937"/>
                </a:cubicBezTo>
                <a:lnTo>
                  <a:pt x="20" y="4078"/>
                </a:lnTo>
                <a:lnTo>
                  <a:pt x="11" y="4068"/>
                </a:lnTo>
                <a:lnTo>
                  <a:pt x="156" y="4038"/>
                </a:lnTo>
                <a:cubicBezTo>
                  <a:pt x="160" y="4037"/>
                  <a:pt x="165" y="4040"/>
                  <a:pt x="165" y="4045"/>
                </a:cubicBezTo>
                <a:cubicBezTo>
                  <a:pt x="166" y="4049"/>
                  <a:pt x="164" y="4053"/>
                  <a:pt x="159" y="4054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4" name="Freeform 48"/>
          <xdr:cNvSpPr>
            <a:spLocks noEditPoints="1"/>
          </xdr:cNvSpPr>
        </xdr:nvSpPr>
        <xdr:spPr bwMode="auto">
          <a:xfrm>
            <a:off x="419" y="298"/>
            <a:ext cx="9" cy="171"/>
          </a:xfrm>
          <a:custGeom>
            <a:avLst/>
            <a:gdLst/>
            <a:ahLst/>
            <a:cxnLst>
              <a:cxn ang="0">
                <a:pos x="94" y="0"/>
              </a:cxn>
              <a:cxn ang="0">
                <a:pos x="91" y="3105"/>
              </a:cxn>
              <a:cxn ang="0">
                <a:pos x="75" y="3105"/>
              </a:cxn>
              <a:cxn ang="0">
                <a:pos x="78" y="0"/>
              </a:cxn>
              <a:cxn ang="0">
                <a:pos x="94" y="0"/>
              </a:cxn>
              <a:cxn ang="0">
                <a:pos x="165" y="2981"/>
              </a:cxn>
              <a:cxn ang="0">
                <a:pos x="83" y="3121"/>
              </a:cxn>
              <a:cxn ang="0">
                <a:pos x="2" y="2980"/>
              </a:cxn>
              <a:cxn ang="0">
                <a:pos x="5" y="2970"/>
              </a:cxn>
              <a:cxn ang="0">
                <a:pos x="16" y="2972"/>
              </a:cxn>
              <a:cxn ang="0">
                <a:pos x="90" y="3101"/>
              </a:cxn>
              <a:cxn ang="0">
                <a:pos x="77" y="3101"/>
              </a:cxn>
              <a:cxn ang="0">
                <a:pos x="151" y="2973"/>
              </a:cxn>
              <a:cxn ang="0">
                <a:pos x="162" y="2970"/>
              </a:cxn>
              <a:cxn ang="0">
                <a:pos x="165" y="2981"/>
              </a:cxn>
            </a:cxnLst>
            <a:rect l="0" t="0" r="r" b="b"/>
            <a:pathLst>
              <a:path w="167" h="3121">
                <a:moveTo>
                  <a:pt x="94" y="0"/>
                </a:moveTo>
                <a:lnTo>
                  <a:pt x="91" y="3105"/>
                </a:lnTo>
                <a:lnTo>
                  <a:pt x="75" y="3105"/>
                </a:lnTo>
                <a:lnTo>
                  <a:pt x="78" y="0"/>
                </a:lnTo>
                <a:lnTo>
                  <a:pt x="94" y="0"/>
                </a:lnTo>
                <a:close/>
                <a:moveTo>
                  <a:pt x="165" y="2981"/>
                </a:moveTo>
                <a:lnTo>
                  <a:pt x="83" y="3121"/>
                </a:lnTo>
                <a:lnTo>
                  <a:pt x="2" y="2980"/>
                </a:lnTo>
                <a:cubicBezTo>
                  <a:pt x="0" y="2977"/>
                  <a:pt x="1" y="2972"/>
                  <a:pt x="5" y="2970"/>
                </a:cubicBezTo>
                <a:cubicBezTo>
                  <a:pt x="9" y="2967"/>
                  <a:pt x="14" y="2969"/>
                  <a:pt x="16" y="2972"/>
                </a:cubicBezTo>
                <a:lnTo>
                  <a:pt x="90" y="3101"/>
                </a:lnTo>
                <a:lnTo>
                  <a:pt x="77" y="3101"/>
                </a:lnTo>
                <a:lnTo>
                  <a:pt x="151" y="2973"/>
                </a:lnTo>
                <a:cubicBezTo>
                  <a:pt x="154" y="2969"/>
                  <a:pt x="159" y="2967"/>
                  <a:pt x="162" y="2970"/>
                </a:cubicBezTo>
                <a:cubicBezTo>
                  <a:pt x="166" y="2972"/>
                  <a:pt x="167" y="2977"/>
                  <a:pt x="165" y="2981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5" name="Freeform 49"/>
          <xdr:cNvSpPr>
            <a:spLocks noEditPoints="1"/>
          </xdr:cNvSpPr>
        </xdr:nvSpPr>
        <xdr:spPr bwMode="auto">
          <a:xfrm>
            <a:off x="318" y="419"/>
            <a:ext cx="106" cy="50"/>
          </a:xfrm>
          <a:custGeom>
            <a:avLst/>
            <a:gdLst/>
            <a:ahLst/>
            <a:cxnLst>
              <a:cxn ang="0">
                <a:pos x="7" y="0"/>
              </a:cxn>
              <a:cxn ang="0">
                <a:pos x="1912" y="878"/>
              </a:cxn>
              <a:cxn ang="0">
                <a:pos x="1906" y="892"/>
              </a:cxn>
              <a:cxn ang="0">
                <a:pos x="0" y="15"/>
              </a:cxn>
              <a:cxn ang="0">
                <a:pos x="7" y="0"/>
              </a:cxn>
              <a:cxn ang="0">
                <a:pos x="1831" y="759"/>
              </a:cxn>
              <a:cxn ang="0">
                <a:pos x="1924" y="892"/>
              </a:cxn>
              <a:cxn ang="0">
                <a:pos x="1762" y="907"/>
              </a:cxn>
              <a:cxn ang="0">
                <a:pos x="1753" y="900"/>
              </a:cxn>
              <a:cxn ang="0">
                <a:pos x="1761" y="891"/>
              </a:cxn>
              <a:cxn ang="0">
                <a:pos x="1908" y="877"/>
              </a:cxn>
              <a:cxn ang="0">
                <a:pos x="1903" y="890"/>
              </a:cxn>
              <a:cxn ang="0">
                <a:pos x="1817" y="768"/>
              </a:cxn>
              <a:cxn ang="0">
                <a:pos x="1819" y="757"/>
              </a:cxn>
              <a:cxn ang="0">
                <a:pos x="1831" y="759"/>
              </a:cxn>
            </a:cxnLst>
            <a:rect l="0" t="0" r="r" b="b"/>
            <a:pathLst>
              <a:path w="1924" h="908">
                <a:moveTo>
                  <a:pt x="7" y="0"/>
                </a:moveTo>
                <a:lnTo>
                  <a:pt x="1912" y="878"/>
                </a:lnTo>
                <a:lnTo>
                  <a:pt x="1906" y="892"/>
                </a:lnTo>
                <a:lnTo>
                  <a:pt x="0" y="15"/>
                </a:lnTo>
                <a:lnTo>
                  <a:pt x="7" y="0"/>
                </a:lnTo>
                <a:close/>
                <a:moveTo>
                  <a:pt x="1831" y="759"/>
                </a:moveTo>
                <a:lnTo>
                  <a:pt x="1924" y="892"/>
                </a:lnTo>
                <a:lnTo>
                  <a:pt x="1762" y="907"/>
                </a:lnTo>
                <a:cubicBezTo>
                  <a:pt x="1758" y="908"/>
                  <a:pt x="1754" y="904"/>
                  <a:pt x="1753" y="900"/>
                </a:cubicBezTo>
                <a:cubicBezTo>
                  <a:pt x="1753" y="896"/>
                  <a:pt x="1756" y="892"/>
                  <a:pt x="1761" y="891"/>
                </a:cubicBezTo>
                <a:lnTo>
                  <a:pt x="1908" y="877"/>
                </a:lnTo>
                <a:lnTo>
                  <a:pt x="1903" y="890"/>
                </a:lnTo>
                <a:lnTo>
                  <a:pt x="1817" y="768"/>
                </a:lnTo>
                <a:cubicBezTo>
                  <a:pt x="1815" y="764"/>
                  <a:pt x="1816" y="759"/>
                  <a:pt x="1819" y="757"/>
                </a:cubicBezTo>
                <a:cubicBezTo>
                  <a:pt x="1823" y="754"/>
                  <a:pt x="1828" y="755"/>
                  <a:pt x="1831" y="75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33</xdr:row>
      <xdr:rowOff>66675</xdr:rowOff>
    </xdr:from>
    <xdr:to>
      <xdr:col>11</xdr:col>
      <xdr:colOff>485775</xdr:colOff>
      <xdr:row>35</xdr:row>
      <xdr:rowOff>123825</xdr:rowOff>
    </xdr:to>
    <xdr:pic>
      <xdr:nvPicPr>
        <xdr:cNvPr id="309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457825" y="6096000"/>
          <a:ext cx="3762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438150</xdr:colOff>
      <xdr:row>62</xdr:row>
      <xdr:rowOff>28575</xdr:rowOff>
    </xdr:from>
    <xdr:to>
      <xdr:col>12</xdr:col>
      <xdr:colOff>200025</xdr:colOff>
      <xdr:row>65</xdr:row>
      <xdr:rowOff>85725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00900" y="11325225"/>
          <a:ext cx="36290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177800</xdr:colOff>
      <xdr:row>47</xdr:row>
      <xdr:rowOff>31750</xdr:rowOff>
    </xdr:from>
    <xdr:to>
      <xdr:col>13</xdr:col>
      <xdr:colOff>25400</xdr:colOff>
      <xdr:row>50</xdr:row>
      <xdr:rowOff>101600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84900" y="8210550"/>
          <a:ext cx="6159500" cy="5651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</xdr:row>
      <xdr:rowOff>1</xdr:rowOff>
    </xdr:from>
    <xdr:to>
      <xdr:col>10</xdr:col>
      <xdr:colOff>247650</xdr:colOff>
      <xdr:row>15</xdr:row>
      <xdr:rowOff>200025</xdr:rowOff>
    </xdr:to>
    <xdr:pic>
      <xdr:nvPicPr>
        <xdr:cNvPr id="411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76900" y="3438526"/>
          <a:ext cx="3676650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</xdr:colOff>
      <xdr:row>33</xdr:row>
      <xdr:rowOff>142875</xdr:rowOff>
    </xdr:from>
    <xdr:to>
      <xdr:col>9</xdr:col>
      <xdr:colOff>390525</xdr:colOff>
      <xdr:row>35</xdr:row>
      <xdr:rowOff>152400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543550" y="4648200"/>
          <a:ext cx="31146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140</xdr:row>
      <xdr:rowOff>104775</xdr:rowOff>
    </xdr:from>
    <xdr:to>
      <xdr:col>8</xdr:col>
      <xdr:colOff>542925</xdr:colOff>
      <xdr:row>142</xdr:row>
      <xdr:rowOff>95250</xdr:rowOff>
    </xdr:to>
    <xdr:pic>
      <xdr:nvPicPr>
        <xdr:cNvPr id="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24225" y="20069175"/>
          <a:ext cx="4800600" cy="3143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10</xdr:col>
      <xdr:colOff>371475</xdr:colOff>
      <xdr:row>57</xdr:row>
      <xdr:rowOff>19050</xdr:rowOff>
    </xdr:to>
    <xdr:pic>
      <xdr:nvPicPr>
        <xdr:cNvPr id="5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96000" y="5457825"/>
          <a:ext cx="3343275" cy="3429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247650</xdr:colOff>
      <xdr:row>15</xdr:row>
      <xdr:rowOff>171450</xdr:rowOff>
    </xdr:from>
    <xdr:to>
      <xdr:col>14</xdr:col>
      <xdr:colOff>295275</xdr:colOff>
      <xdr:row>18</xdr:row>
      <xdr:rowOff>28575</xdr:rowOff>
    </xdr:to>
    <xdr:pic>
      <xdr:nvPicPr>
        <xdr:cNvPr id="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419850" y="2867025"/>
          <a:ext cx="59340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454479</xdr:colOff>
      <xdr:row>125</xdr:row>
      <xdr:rowOff>57150</xdr:rowOff>
    </xdr:to>
    <xdr:pic>
      <xdr:nvPicPr>
        <xdr:cNvPr id="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81625" y="19878675"/>
          <a:ext cx="1476375" cy="2190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66753</xdr:colOff>
      <xdr:row>155</xdr:row>
      <xdr:rowOff>161684</xdr:rowOff>
    </xdr:from>
    <xdr:to>
      <xdr:col>10</xdr:col>
      <xdr:colOff>422660</xdr:colOff>
      <xdr:row>156</xdr:row>
      <xdr:rowOff>174010</xdr:rowOff>
    </xdr:to>
    <xdr:pic>
      <xdr:nvPicPr>
        <xdr:cNvPr id="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39896" y="28491755"/>
          <a:ext cx="2342550" cy="17561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31</xdr:row>
      <xdr:rowOff>0</xdr:rowOff>
    </xdr:from>
    <xdr:to>
      <xdr:col>7</xdr:col>
      <xdr:colOff>57150</xdr:colOff>
      <xdr:row>32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981450" y="5314950"/>
          <a:ext cx="1495425" cy="2095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7</xdr:col>
      <xdr:colOff>57150</xdr:colOff>
      <xdr:row>32</xdr:row>
      <xdr:rowOff>47625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257675" y="5219700"/>
          <a:ext cx="1495425" cy="2095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22</xdr:row>
      <xdr:rowOff>38100</xdr:rowOff>
    </xdr:from>
    <xdr:to>
      <xdr:col>12</xdr:col>
      <xdr:colOff>95250</xdr:colOff>
      <xdr:row>24</xdr:row>
      <xdr:rowOff>57150</xdr:rowOff>
    </xdr:to>
    <xdr:pic>
      <xdr:nvPicPr>
        <xdr:cNvPr id="71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981575" y="4276725"/>
          <a:ext cx="38957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314325</xdr:colOff>
      <xdr:row>19</xdr:row>
      <xdr:rowOff>76201</xdr:rowOff>
    </xdr:from>
    <xdr:to>
      <xdr:col>10</xdr:col>
      <xdr:colOff>466725</xdr:colOff>
      <xdr:row>21</xdr:row>
      <xdr:rowOff>85725</xdr:rowOff>
    </xdr:to>
    <xdr:pic>
      <xdr:nvPicPr>
        <xdr:cNvPr id="71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676775" y="3562351"/>
          <a:ext cx="28956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6</xdr:row>
      <xdr:rowOff>0</xdr:rowOff>
    </xdr:from>
    <xdr:to>
      <xdr:col>11</xdr:col>
      <xdr:colOff>409575</xdr:colOff>
      <xdr:row>7</xdr:row>
      <xdr:rowOff>0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38750" y="1066800"/>
          <a:ext cx="39338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18</xdr:row>
      <xdr:rowOff>133350</xdr:rowOff>
    </xdr:from>
    <xdr:to>
      <xdr:col>8</xdr:col>
      <xdr:colOff>409575</xdr:colOff>
      <xdr:row>19</xdr:row>
      <xdr:rowOff>142875</xdr:rowOff>
    </xdr:to>
    <xdr:pic>
      <xdr:nvPicPr>
        <xdr:cNvPr id="184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715125" y="3267075"/>
          <a:ext cx="1657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200025</xdr:colOff>
      <xdr:row>26</xdr:row>
      <xdr:rowOff>95250</xdr:rowOff>
    </xdr:from>
    <xdr:to>
      <xdr:col>12</xdr:col>
      <xdr:colOff>447675</xdr:colOff>
      <xdr:row>28</xdr:row>
      <xdr:rowOff>133350</xdr:rowOff>
    </xdr:to>
    <xdr:pic>
      <xdr:nvPicPr>
        <xdr:cNvPr id="184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162425" y="4267200"/>
          <a:ext cx="57340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58</xdr:row>
      <xdr:rowOff>66675</xdr:rowOff>
    </xdr:from>
    <xdr:to>
      <xdr:col>7</xdr:col>
      <xdr:colOff>542925</xdr:colOff>
      <xdr:row>61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419725" y="9867900"/>
          <a:ext cx="1685925" cy="47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638175</xdr:colOff>
      <xdr:row>76</xdr:row>
      <xdr:rowOff>38100</xdr:rowOff>
    </xdr:from>
    <xdr:to>
      <xdr:col>8</xdr:col>
      <xdr:colOff>400050</xdr:colOff>
      <xdr:row>77</xdr:row>
      <xdr:rowOff>38100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34050" y="3352800"/>
          <a:ext cx="1657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200025</xdr:colOff>
      <xdr:row>83</xdr:row>
      <xdr:rowOff>95250</xdr:rowOff>
    </xdr:from>
    <xdr:to>
      <xdr:col>12</xdr:col>
      <xdr:colOff>447675</xdr:colOff>
      <xdr:row>85</xdr:row>
      <xdr:rowOff>133350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05350" y="4648200"/>
          <a:ext cx="53054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38100</xdr:colOff>
      <xdr:row>100</xdr:row>
      <xdr:rowOff>171450</xdr:rowOff>
    </xdr:from>
    <xdr:to>
      <xdr:col>12</xdr:col>
      <xdr:colOff>285750</xdr:colOff>
      <xdr:row>104</xdr:row>
      <xdr:rowOff>38100</xdr:rowOff>
    </xdr:to>
    <xdr:pic>
      <xdr:nvPicPr>
        <xdr:cNvPr id="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543425" y="7810500"/>
          <a:ext cx="53054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115</xdr:row>
      <xdr:rowOff>66675</xdr:rowOff>
    </xdr:from>
    <xdr:to>
      <xdr:col>7</xdr:col>
      <xdr:colOff>542925</xdr:colOff>
      <xdr:row>118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53050" y="10239375"/>
          <a:ext cx="1552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638175</xdr:colOff>
      <xdr:row>134</xdr:row>
      <xdr:rowOff>38100</xdr:rowOff>
    </xdr:from>
    <xdr:to>
      <xdr:col>8</xdr:col>
      <xdr:colOff>400050</xdr:colOff>
      <xdr:row>135</xdr:row>
      <xdr:rowOff>38100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34050" y="3352800"/>
          <a:ext cx="1657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200025</xdr:colOff>
      <xdr:row>142</xdr:row>
      <xdr:rowOff>95250</xdr:rowOff>
    </xdr:from>
    <xdr:to>
      <xdr:col>12</xdr:col>
      <xdr:colOff>447675</xdr:colOff>
      <xdr:row>144</xdr:row>
      <xdr:rowOff>133350</xdr:rowOff>
    </xdr:to>
    <xdr:pic>
      <xdr:nvPicPr>
        <xdr:cNvPr id="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05350" y="4648200"/>
          <a:ext cx="53054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38100</xdr:colOff>
      <xdr:row>159</xdr:row>
      <xdr:rowOff>171450</xdr:rowOff>
    </xdr:from>
    <xdr:to>
      <xdr:col>12</xdr:col>
      <xdr:colOff>285750</xdr:colOff>
      <xdr:row>163</xdr:row>
      <xdr:rowOff>38100</xdr:rowOff>
    </xdr:to>
    <xdr:pic>
      <xdr:nvPicPr>
        <xdr:cNvPr id="1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543425" y="7810500"/>
          <a:ext cx="53054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174</xdr:row>
      <xdr:rowOff>66675</xdr:rowOff>
    </xdr:from>
    <xdr:to>
      <xdr:col>7</xdr:col>
      <xdr:colOff>542925</xdr:colOff>
      <xdr:row>177</xdr:row>
      <xdr:rowOff>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53050" y="10239375"/>
          <a:ext cx="1552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192</xdr:row>
      <xdr:rowOff>142875</xdr:rowOff>
    </xdr:from>
    <xdr:to>
      <xdr:col>8</xdr:col>
      <xdr:colOff>409575</xdr:colOff>
      <xdr:row>193</xdr:row>
      <xdr:rowOff>152400</xdr:rowOff>
    </xdr:to>
    <xdr:pic>
      <xdr:nvPicPr>
        <xdr:cNvPr id="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715125" y="32756475"/>
          <a:ext cx="1657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200025</xdr:colOff>
      <xdr:row>200</xdr:row>
      <xdr:rowOff>95250</xdr:rowOff>
    </xdr:from>
    <xdr:to>
      <xdr:col>12</xdr:col>
      <xdr:colOff>447675</xdr:colOff>
      <xdr:row>202</xdr:row>
      <xdr:rowOff>133350</xdr:rowOff>
    </xdr:to>
    <xdr:pic>
      <xdr:nvPicPr>
        <xdr:cNvPr id="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05350" y="4648200"/>
          <a:ext cx="53054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38100</xdr:colOff>
      <xdr:row>217</xdr:row>
      <xdr:rowOff>171450</xdr:rowOff>
    </xdr:from>
    <xdr:to>
      <xdr:col>12</xdr:col>
      <xdr:colOff>285750</xdr:colOff>
      <xdr:row>221</xdr:row>
      <xdr:rowOff>38100</xdr:rowOff>
    </xdr:to>
    <xdr:pic>
      <xdr:nvPicPr>
        <xdr:cNvPr id="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543425" y="7810500"/>
          <a:ext cx="53054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232</xdr:row>
      <xdr:rowOff>66675</xdr:rowOff>
    </xdr:from>
    <xdr:to>
      <xdr:col>7</xdr:col>
      <xdr:colOff>542925</xdr:colOff>
      <xdr:row>235</xdr:row>
      <xdr:rowOff>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53050" y="10239375"/>
          <a:ext cx="1552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638175</xdr:colOff>
      <xdr:row>251</xdr:row>
      <xdr:rowOff>38100</xdr:rowOff>
    </xdr:from>
    <xdr:to>
      <xdr:col>8</xdr:col>
      <xdr:colOff>400050</xdr:colOff>
      <xdr:row>252</xdr:row>
      <xdr:rowOff>38100</xdr:rowOff>
    </xdr:to>
    <xdr:pic>
      <xdr:nvPicPr>
        <xdr:cNvPr id="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34050" y="3352800"/>
          <a:ext cx="1657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200025</xdr:colOff>
      <xdr:row>259</xdr:row>
      <xdr:rowOff>95250</xdr:rowOff>
    </xdr:from>
    <xdr:to>
      <xdr:col>12</xdr:col>
      <xdr:colOff>447675</xdr:colOff>
      <xdr:row>261</xdr:row>
      <xdr:rowOff>133350</xdr:rowOff>
    </xdr:to>
    <xdr:pic>
      <xdr:nvPicPr>
        <xdr:cNvPr id="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05350" y="4648200"/>
          <a:ext cx="53054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38100</xdr:colOff>
      <xdr:row>276</xdr:row>
      <xdr:rowOff>171450</xdr:rowOff>
    </xdr:from>
    <xdr:to>
      <xdr:col>12</xdr:col>
      <xdr:colOff>285750</xdr:colOff>
      <xdr:row>280</xdr:row>
      <xdr:rowOff>38100</xdr:rowOff>
    </xdr:to>
    <xdr:pic>
      <xdr:nvPicPr>
        <xdr:cNvPr id="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543425" y="7810500"/>
          <a:ext cx="53054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291</xdr:row>
      <xdr:rowOff>66675</xdr:rowOff>
    </xdr:from>
    <xdr:to>
      <xdr:col>7</xdr:col>
      <xdr:colOff>542925</xdr:colOff>
      <xdr:row>294</xdr:row>
      <xdr:rowOff>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53050" y="10239375"/>
          <a:ext cx="1552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257175</xdr:colOff>
      <xdr:row>43</xdr:row>
      <xdr:rowOff>66675</xdr:rowOff>
    </xdr:from>
    <xdr:to>
      <xdr:col>12</xdr:col>
      <xdr:colOff>219075</xdr:colOff>
      <xdr:row>46</xdr:row>
      <xdr:rowOff>28575</xdr:rowOff>
    </xdr:to>
    <xdr:grpSp>
      <xdr:nvGrpSpPr>
        <xdr:cNvPr id="23" name="Group 1"/>
        <xdr:cNvGrpSpPr>
          <a:grpSpLocks noChangeAspect="1"/>
        </xdr:cNvGrpSpPr>
      </xdr:nvGrpSpPr>
      <xdr:grpSpPr bwMode="auto">
        <a:xfrm>
          <a:off x="6229910" y="7417734"/>
          <a:ext cx="5015753" cy="488576"/>
          <a:chOff x="0" y="-122"/>
          <a:chExt cx="7375" cy="815"/>
        </a:xfrm>
      </xdr:grpSpPr>
      <xdr:sp macro="" textlink="">
        <xdr:nvSpPr>
          <xdr:cNvPr id="24" name="AutoShape 33"/>
          <xdr:cNvSpPr>
            <a:spLocks noChangeAspect="1" noChangeArrowheads="1" noTextEdit="1"/>
          </xdr:cNvSpPr>
        </xdr:nvSpPr>
        <xdr:spPr bwMode="auto">
          <a:xfrm>
            <a:off x="0" y="-122"/>
            <a:ext cx="7375" cy="815"/>
          </a:xfrm>
          <a:prstGeom prst="rect">
            <a:avLst/>
          </a:prstGeom>
          <a:noFill/>
        </xdr:spPr>
      </xdr:sp>
      <xdr:sp macro="" textlink="">
        <xdr:nvSpPr>
          <xdr:cNvPr id="25" name="Rectangle 32"/>
          <xdr:cNvSpPr>
            <a:spLocks noChangeArrowheads="1"/>
          </xdr:cNvSpPr>
        </xdr:nvSpPr>
        <xdr:spPr bwMode="auto">
          <a:xfrm>
            <a:off x="1830" y="-122"/>
            <a:ext cx="114" cy="4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sng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6" name="Rectangle 31"/>
          <xdr:cNvSpPr>
            <a:spLocks noChangeArrowheads="1"/>
          </xdr:cNvSpPr>
        </xdr:nvSpPr>
        <xdr:spPr bwMode="auto">
          <a:xfrm>
            <a:off x="3778" y="-122"/>
            <a:ext cx="114" cy="4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sng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7" name="Rectangle 30"/>
          <xdr:cNvSpPr>
            <a:spLocks noChangeArrowheads="1"/>
          </xdr:cNvSpPr>
        </xdr:nvSpPr>
        <xdr:spPr bwMode="auto">
          <a:xfrm>
            <a:off x="911" y="-122"/>
            <a:ext cx="114" cy="4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sng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8" name="Rectangle 29"/>
          <xdr:cNvSpPr>
            <a:spLocks noChangeArrowheads="1"/>
          </xdr:cNvSpPr>
        </xdr:nvSpPr>
        <xdr:spPr bwMode="auto">
          <a:xfrm>
            <a:off x="4558" y="-122"/>
            <a:ext cx="114" cy="4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sng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9" name="Rectangle 28"/>
          <xdr:cNvSpPr>
            <a:spLocks noChangeArrowheads="1"/>
          </xdr:cNvSpPr>
        </xdr:nvSpPr>
        <xdr:spPr bwMode="auto">
          <a:xfrm>
            <a:off x="4832" y="-122"/>
            <a:ext cx="114" cy="4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sng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30" name="Rectangle 27"/>
          <xdr:cNvSpPr>
            <a:spLocks noChangeArrowheads="1"/>
          </xdr:cNvSpPr>
        </xdr:nvSpPr>
        <xdr:spPr bwMode="auto">
          <a:xfrm>
            <a:off x="7192" y="-122"/>
            <a:ext cx="114" cy="4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sng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31" name="Rectangle 26"/>
          <xdr:cNvSpPr>
            <a:spLocks noChangeArrowheads="1"/>
          </xdr:cNvSpPr>
        </xdr:nvSpPr>
        <xdr:spPr bwMode="auto">
          <a:xfrm>
            <a:off x="7105" y="153"/>
            <a:ext cx="39" cy="1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sng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32" name="Rectangle 25"/>
          <xdr:cNvSpPr>
            <a:spLocks noChangeArrowheads="1"/>
          </xdr:cNvSpPr>
        </xdr:nvSpPr>
        <xdr:spPr bwMode="auto">
          <a:xfrm>
            <a:off x="6404" y="23"/>
            <a:ext cx="39" cy="1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sng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33" name="Rectangle 24"/>
          <xdr:cNvSpPr>
            <a:spLocks noChangeArrowheads="1"/>
          </xdr:cNvSpPr>
        </xdr:nvSpPr>
        <xdr:spPr bwMode="auto">
          <a:xfrm>
            <a:off x="5238" y="23"/>
            <a:ext cx="39" cy="1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sng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34" name="Rectangle 23"/>
          <xdr:cNvSpPr>
            <a:spLocks noChangeArrowheads="1"/>
          </xdr:cNvSpPr>
        </xdr:nvSpPr>
        <xdr:spPr bwMode="auto">
          <a:xfrm>
            <a:off x="5226" y="153"/>
            <a:ext cx="39" cy="1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sng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35" name="Rectangle 22"/>
          <xdr:cNvSpPr>
            <a:spLocks noChangeArrowheads="1"/>
          </xdr:cNvSpPr>
        </xdr:nvSpPr>
        <xdr:spPr bwMode="auto">
          <a:xfrm>
            <a:off x="4471" y="153"/>
            <a:ext cx="39" cy="1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sng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36" name="Rectangle 21"/>
          <xdr:cNvSpPr>
            <a:spLocks noChangeArrowheads="1"/>
          </xdr:cNvSpPr>
        </xdr:nvSpPr>
        <xdr:spPr bwMode="auto">
          <a:xfrm>
            <a:off x="3663" y="23"/>
            <a:ext cx="39" cy="1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sng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37" name="Rectangle 20"/>
          <xdr:cNvSpPr>
            <a:spLocks noChangeArrowheads="1"/>
          </xdr:cNvSpPr>
        </xdr:nvSpPr>
        <xdr:spPr bwMode="auto">
          <a:xfrm>
            <a:off x="2608" y="23"/>
            <a:ext cx="39" cy="1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sng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38" name="Rectangle 19"/>
          <xdr:cNvSpPr>
            <a:spLocks noChangeArrowheads="1"/>
          </xdr:cNvSpPr>
        </xdr:nvSpPr>
        <xdr:spPr bwMode="auto">
          <a:xfrm>
            <a:off x="2591" y="153"/>
            <a:ext cx="39" cy="1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sng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39" name="Rectangle 18"/>
          <xdr:cNvSpPr>
            <a:spLocks noChangeArrowheads="1"/>
          </xdr:cNvSpPr>
        </xdr:nvSpPr>
        <xdr:spPr bwMode="auto">
          <a:xfrm>
            <a:off x="630" y="23"/>
            <a:ext cx="39" cy="1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sng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40" name="Rectangle 17"/>
          <xdr:cNvSpPr>
            <a:spLocks noChangeArrowheads="1"/>
          </xdr:cNvSpPr>
        </xdr:nvSpPr>
        <xdr:spPr bwMode="auto">
          <a:xfrm>
            <a:off x="613" y="153"/>
            <a:ext cx="39" cy="1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sng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41" name="Rectangle 16"/>
          <xdr:cNvSpPr>
            <a:spLocks noChangeArrowheads="1"/>
          </xdr:cNvSpPr>
        </xdr:nvSpPr>
        <xdr:spPr bwMode="auto">
          <a:xfrm>
            <a:off x="6654" y="57"/>
            <a:ext cx="393" cy="2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sng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42" name="Rectangle 15"/>
          <xdr:cNvSpPr>
            <a:spLocks noChangeArrowheads="1"/>
          </xdr:cNvSpPr>
        </xdr:nvSpPr>
        <xdr:spPr bwMode="auto">
          <a:xfrm>
            <a:off x="5475" y="57"/>
            <a:ext cx="827" cy="2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sng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43" name="Rectangle 14"/>
          <xdr:cNvSpPr>
            <a:spLocks noChangeArrowheads="1"/>
          </xdr:cNvSpPr>
        </xdr:nvSpPr>
        <xdr:spPr bwMode="auto">
          <a:xfrm>
            <a:off x="4886" y="57"/>
            <a:ext cx="303" cy="2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sng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Dep</a:t>
            </a:r>
          </a:p>
        </xdr:txBody>
      </xdr:sp>
      <xdr:sp macro="" textlink="">
        <xdr:nvSpPr>
          <xdr:cNvPr id="44" name="Rectangle 13"/>
          <xdr:cNvSpPr>
            <a:spLocks noChangeArrowheads="1"/>
          </xdr:cNvSpPr>
        </xdr:nvSpPr>
        <xdr:spPr bwMode="auto">
          <a:xfrm>
            <a:off x="4076" y="57"/>
            <a:ext cx="393" cy="2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sng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45" name="Rectangle 12"/>
          <xdr:cNvSpPr>
            <a:spLocks noChangeArrowheads="1"/>
          </xdr:cNvSpPr>
        </xdr:nvSpPr>
        <xdr:spPr bwMode="auto">
          <a:xfrm>
            <a:off x="2846" y="57"/>
            <a:ext cx="827" cy="2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sng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46" name="Rectangle 11"/>
          <xdr:cNvSpPr>
            <a:spLocks noChangeArrowheads="1"/>
          </xdr:cNvSpPr>
        </xdr:nvSpPr>
        <xdr:spPr bwMode="auto">
          <a:xfrm>
            <a:off x="1884" y="57"/>
            <a:ext cx="645" cy="5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sng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ETIRGC</a:t>
            </a:r>
          </a:p>
        </xdr:txBody>
      </xdr:sp>
      <xdr:sp macro="" textlink="">
        <xdr:nvSpPr>
          <xdr:cNvPr id="47" name="Rectangle 10"/>
          <xdr:cNvSpPr>
            <a:spLocks noChangeArrowheads="1"/>
          </xdr:cNvSpPr>
        </xdr:nvSpPr>
        <xdr:spPr bwMode="auto">
          <a:xfrm>
            <a:off x="953" y="57"/>
            <a:ext cx="646" cy="2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sng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CCTIRG</a:t>
            </a:r>
          </a:p>
        </xdr:txBody>
      </xdr:sp>
      <xdr:sp macro="" textlink="">
        <xdr:nvSpPr>
          <xdr:cNvPr id="48" name="Rectangle 9"/>
          <xdr:cNvSpPr>
            <a:spLocks noChangeArrowheads="1"/>
          </xdr:cNvSpPr>
        </xdr:nvSpPr>
        <xdr:spPr bwMode="auto">
          <a:xfrm>
            <a:off x="43" y="57"/>
            <a:ext cx="515" cy="2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sng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</a:t>
            </a:r>
          </a:p>
        </xdr:txBody>
      </xdr:sp>
      <xdr:sp macro="" textlink="">
        <xdr:nvSpPr>
          <xdr:cNvPr id="49" name="Rectangle 8"/>
          <xdr:cNvSpPr>
            <a:spLocks noChangeArrowheads="1"/>
          </xdr:cNvSpPr>
        </xdr:nvSpPr>
        <xdr:spPr bwMode="auto">
          <a:xfrm>
            <a:off x="6500" y="36"/>
            <a:ext cx="100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sng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0" name="Rectangle 7"/>
          <xdr:cNvSpPr>
            <a:spLocks noChangeArrowheads="1"/>
          </xdr:cNvSpPr>
        </xdr:nvSpPr>
        <xdr:spPr bwMode="auto">
          <a:xfrm>
            <a:off x="5334" y="36"/>
            <a:ext cx="100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sng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1" name="Rectangle 6"/>
          <xdr:cNvSpPr>
            <a:spLocks noChangeArrowheads="1"/>
          </xdr:cNvSpPr>
        </xdr:nvSpPr>
        <xdr:spPr bwMode="auto">
          <a:xfrm>
            <a:off x="4728" y="36"/>
            <a:ext cx="100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sng" strike="noStrike" baseline="0">
                <a:solidFill>
                  <a:srgbClr val="000000"/>
                </a:solidFill>
                <a:latin typeface="Symbol"/>
              </a:rPr>
              <a:t>+</a:t>
            </a:r>
          </a:p>
        </xdr:txBody>
      </xdr:sp>
      <xdr:sp macro="" textlink="">
        <xdr:nvSpPr>
          <xdr:cNvPr id="52" name="Rectangle 5"/>
          <xdr:cNvSpPr>
            <a:spLocks noChangeArrowheads="1"/>
          </xdr:cNvSpPr>
        </xdr:nvSpPr>
        <xdr:spPr bwMode="auto">
          <a:xfrm>
            <a:off x="3922" y="36"/>
            <a:ext cx="100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sng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3" name="Rectangle 4"/>
          <xdr:cNvSpPr>
            <a:spLocks noChangeArrowheads="1"/>
          </xdr:cNvSpPr>
        </xdr:nvSpPr>
        <xdr:spPr bwMode="auto">
          <a:xfrm>
            <a:off x="2705" y="36"/>
            <a:ext cx="100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sng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4" name="Rectangle 3"/>
          <xdr:cNvSpPr>
            <a:spLocks noChangeArrowheads="1"/>
          </xdr:cNvSpPr>
        </xdr:nvSpPr>
        <xdr:spPr bwMode="auto">
          <a:xfrm>
            <a:off x="1693" y="36"/>
            <a:ext cx="100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sng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5" name="Rectangle 2"/>
          <xdr:cNvSpPr>
            <a:spLocks noChangeArrowheads="1"/>
          </xdr:cNvSpPr>
        </xdr:nvSpPr>
        <xdr:spPr bwMode="auto">
          <a:xfrm>
            <a:off x="754" y="36"/>
            <a:ext cx="100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sng" strike="noStrike" baseline="0">
                <a:solidFill>
                  <a:srgbClr val="000000"/>
                </a:solidFill>
                <a:latin typeface="Symbol"/>
              </a:rPr>
              <a:t>=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wsonR\AppData\Local\Microsoft\Windows\Temporary%20Internet%20Files\Content.Outlook\QBDPAQ7M\RIIO-T1%20NGET%20Revenue%20Reporting%20Template%2013-14%20(as%20per%20NG%20Comments)%20-%20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wsonR\AppData\Local\Microsoft\Windows\Temporary%20Internet%20Files\Content.Outlook\QBDPAQ7M\2014_15_SHE_Revenue_Return_Model%20-%20TEMPLATE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0/sgg/CO/Cost_and_Outputs_Lib/Transmission/RIIO_Reporting/RIGs_Development/RIGs_2016_17/2_Notice/2015-16_NGET_Revenue_Return_Model%20_Updated_Oct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 Cover"/>
      <sheetName val="R2 Schematic"/>
      <sheetName val="R3 Version log"/>
      <sheetName val="R4 Licence Condition Values"/>
      <sheetName val="R5 Input page"/>
      <sheetName val="R6 Base revenue"/>
      <sheetName val="R7 pass through"/>
      <sheetName val="R8 Output incentives"/>
      <sheetName val="R9 Innovation incentive"/>
      <sheetName val="R10 Correction"/>
      <sheetName val="R11 TIRG"/>
      <sheetName val="R12 TO MAR"/>
      <sheetName val="R13 Excluded Revenue"/>
      <sheetName val="R14 Rec to Stat Ac"/>
      <sheetName val="R15 SO Internal"/>
      <sheetName val="R16 SO Exter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 Cover"/>
      <sheetName val="R2 Schematic"/>
      <sheetName val="R3 Version log"/>
      <sheetName val="R4 Licence Condition Values"/>
      <sheetName val="R5 Input page"/>
      <sheetName val="R6 Base revenue"/>
      <sheetName val="R7 pass through"/>
      <sheetName val="R8 Output incentives"/>
      <sheetName val="R9 Innovation incentive"/>
      <sheetName val="R10 Correction"/>
      <sheetName val="R11 TIRG"/>
      <sheetName val="R12 TO MAR"/>
      <sheetName val="R13 Excluded Revenue"/>
      <sheetName val="R14 Rec to Stat 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 Cover"/>
      <sheetName val="R2 Schematic"/>
      <sheetName val="R3 Version log"/>
      <sheetName val="R4 Licence Condition Values"/>
      <sheetName val="R5 Input page"/>
      <sheetName val="R6 Base revenue"/>
      <sheetName val="R7 pass through"/>
      <sheetName val="R8 Output incentives"/>
      <sheetName val="R9 Innovation incentive"/>
      <sheetName val="R10 Correction"/>
      <sheetName val="R11 TIRG"/>
      <sheetName val="R12 TO MAR"/>
      <sheetName val="R13 Excluded Revenue"/>
      <sheetName val="R14 Rec to Stat Ac"/>
      <sheetName val="R15 SO Internal"/>
      <sheetName val="R16 SO External Rev"/>
      <sheetName val="R17 SO Bal Services"/>
    </sheetNames>
    <sheetDataSet>
      <sheetData sheetId="0"/>
      <sheetData sheetId="1"/>
      <sheetData sheetId="2"/>
      <sheetData sheetId="3"/>
      <sheetData sheetId="4">
        <row r="81">
          <cell r="F81">
            <v>7.5330000000000004</v>
          </cell>
          <cell r="G81">
            <v>7.7370000000000001</v>
          </cell>
          <cell r="H81">
            <v>7.5250000000000004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7"/>
  <sheetViews>
    <sheetView showGridLines="0" view="pageBreakPreview" zoomScaleSheetLayoutView="100" workbookViewId="0">
      <pane ySplit="3" topLeftCell="A4" activePane="bottomLeft" state="frozen"/>
      <selection activeCell="A4" sqref="A4"/>
      <selection pane="bottomLeft" activeCell="C8" sqref="C8"/>
    </sheetView>
  </sheetViews>
  <sheetFormatPr defaultColWidth="0" defaultRowHeight="12.75" customHeight="1" zeroHeight="1"/>
  <cols>
    <col min="1" max="1" width="2.6328125" style="12" customWidth="1"/>
    <col min="2" max="2" width="13.453125" style="12" bestFit="1" customWidth="1"/>
    <col min="3" max="3" width="65.26953125" style="12" customWidth="1"/>
    <col min="4" max="4" width="13.7265625" style="12" customWidth="1"/>
    <col min="5" max="5" width="26.7265625" style="12" bestFit="1" customWidth="1"/>
    <col min="6" max="6" width="9" style="23" hidden="1" customWidth="1"/>
    <col min="7" max="9" width="9" style="12" hidden="1" customWidth="1"/>
    <col min="10" max="16384" width="9" style="12" hidden="1"/>
  </cols>
  <sheetData>
    <row r="1" spans="1:9" s="8" customFormat="1" ht="17.399999999999999">
      <c r="B1" s="7" t="s">
        <v>89</v>
      </c>
      <c r="D1" s="9"/>
      <c r="F1" s="10"/>
    </row>
    <row r="2" spans="1:9" s="8" customFormat="1" ht="17.399999999999999">
      <c r="B2" s="7" t="str">
        <f>CompName</f>
        <v>Scottish Power Transmission plc</v>
      </c>
      <c r="D2" s="9"/>
      <c r="F2" s="10"/>
    </row>
    <row r="3" spans="1:9" s="8" customFormat="1" ht="12.6">
      <c r="B3" s="11" t="str">
        <f>'R5 Input page'!F7</f>
        <v>Regulatory Year ending 31 March 2017</v>
      </c>
      <c r="F3" s="10"/>
    </row>
    <row r="4" spans="1:9" ht="16.2">
      <c r="B4" s="7"/>
      <c r="C4" s="8"/>
      <c r="D4" s="8"/>
      <c r="E4" s="8"/>
      <c r="F4" s="10"/>
      <c r="G4" s="8"/>
      <c r="H4" s="8"/>
      <c r="I4" s="8"/>
    </row>
    <row r="5" spans="1:9" ht="16.2">
      <c r="B5" s="7" t="s">
        <v>90</v>
      </c>
      <c r="C5" s="13"/>
      <c r="D5" s="13"/>
      <c r="E5" s="14"/>
      <c r="F5" s="15"/>
      <c r="G5" s="16"/>
      <c r="H5" s="13"/>
      <c r="I5" s="13"/>
    </row>
    <row r="6" spans="1:9" ht="13.8">
      <c r="B6" s="14"/>
      <c r="C6" s="13"/>
      <c r="D6" s="13"/>
      <c r="E6" s="13"/>
      <c r="F6" s="15"/>
      <c r="G6" s="14"/>
      <c r="H6" s="14"/>
      <c r="I6" s="8"/>
    </row>
    <row r="7" spans="1:9" ht="50.4">
      <c r="B7" s="8"/>
      <c r="C7" s="17" t="s">
        <v>408</v>
      </c>
      <c r="D7" s="13"/>
      <c r="E7" s="13"/>
      <c r="F7" s="18"/>
      <c r="G7" s="13"/>
      <c r="H7" s="13"/>
      <c r="I7" s="8"/>
    </row>
    <row r="8" spans="1:9" ht="75.599999999999994">
      <c r="B8" s="8"/>
      <c r="C8" s="19" t="s">
        <v>91</v>
      </c>
      <c r="D8" s="13"/>
      <c r="E8" s="13"/>
      <c r="F8" s="18"/>
      <c r="G8" s="13"/>
      <c r="H8" s="13"/>
      <c r="I8" s="8"/>
    </row>
    <row r="9" spans="1:9" ht="13.8">
      <c r="B9" s="14"/>
      <c r="C9" s="13"/>
      <c r="D9" s="13"/>
      <c r="E9" s="13"/>
      <c r="F9" s="18"/>
      <c r="G9" s="13"/>
      <c r="H9" s="13"/>
      <c r="I9" s="13"/>
    </row>
    <row r="10" spans="1:9" ht="13.8">
      <c r="B10" s="14"/>
      <c r="C10" s="13"/>
      <c r="D10" s="13"/>
      <c r="E10" s="13"/>
      <c r="F10" s="18"/>
      <c r="G10" s="13"/>
      <c r="H10" s="13"/>
      <c r="I10" s="13"/>
    </row>
    <row r="11" spans="1:9" ht="13.8">
      <c r="B11" s="14"/>
      <c r="C11" s="13"/>
      <c r="D11" s="13"/>
      <c r="E11" s="13"/>
      <c r="F11" s="18"/>
      <c r="G11" s="13"/>
      <c r="H11" s="13"/>
      <c r="I11" s="13"/>
    </row>
    <row r="12" spans="1:9" ht="12.6">
      <c r="B12" s="20"/>
      <c r="C12" s="13" t="s">
        <v>92</v>
      </c>
      <c r="D12" s="21"/>
      <c r="E12" s="13" t="s">
        <v>93</v>
      </c>
      <c r="F12" s="10"/>
      <c r="G12" s="13"/>
      <c r="H12" s="13"/>
      <c r="I12" s="13"/>
    </row>
    <row r="13" spans="1:9" ht="12.6">
      <c r="B13" s="79"/>
      <c r="C13" s="13" t="s">
        <v>94</v>
      </c>
      <c r="D13" s="60"/>
      <c r="E13" s="13" t="s">
        <v>95</v>
      </c>
      <c r="F13" s="10"/>
      <c r="G13" s="13"/>
      <c r="H13" s="13"/>
      <c r="I13" s="13"/>
    </row>
    <row r="14" spans="1:9" ht="12.6">
      <c r="A14" s="13"/>
      <c r="B14" s="13"/>
      <c r="C14" s="13"/>
      <c r="D14" s="13"/>
      <c r="E14" s="13"/>
      <c r="F14" s="18"/>
      <c r="G14" s="13"/>
      <c r="H14" s="13"/>
      <c r="I14" s="13"/>
    </row>
    <row r="15" spans="1:9" ht="12.6" hidden="1">
      <c r="B15" s="8"/>
      <c r="C15" s="8"/>
      <c r="D15" s="8"/>
      <c r="E15" s="8"/>
      <c r="F15" s="10"/>
      <c r="G15" s="8"/>
      <c r="H15" s="8"/>
      <c r="I15" s="8"/>
    </row>
    <row r="16" spans="1:9" ht="12.6" hidden="1"/>
    <row r="17" spans="2:5" ht="12.6" hidden="1"/>
    <row r="18" spans="2:5" ht="12.6" hidden="1"/>
    <row r="19" spans="2:5" ht="12.6" hidden="1"/>
    <row r="20" spans="2:5" ht="12.6" hidden="1"/>
    <row r="21" spans="2:5" ht="12.6" hidden="1"/>
    <row r="22" spans="2:5" ht="12.6" hidden="1"/>
    <row r="23" spans="2:5" ht="12.6" hidden="1"/>
    <row r="24" spans="2:5" ht="12.6" hidden="1"/>
    <row r="25" spans="2:5" ht="12.6" hidden="1"/>
    <row r="26" spans="2:5" ht="12.6" hidden="1"/>
    <row r="27" spans="2:5" ht="12.6">
      <c r="B27" s="13"/>
      <c r="C27" s="13"/>
      <c r="D27" s="13"/>
      <c r="E27" s="13"/>
    </row>
  </sheetData>
  <sheetProtection formatCells="0" formatColumns="0" formatRows="0" insertHyperlinks="0" autoFilter="0" pivotTables="0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999988"/>
  <sheetViews>
    <sheetView showGridLines="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ColWidth="9" defaultRowHeight="12.6"/>
  <cols>
    <col min="1" max="1" width="28.90625" style="122" customWidth="1"/>
    <col min="2" max="2" width="8.36328125" style="122" customWidth="1"/>
    <col min="3" max="3" width="6" style="122" customWidth="1"/>
    <col min="4" max="4" width="0" style="122" hidden="1" customWidth="1"/>
    <col min="5" max="5" width="8.7265625" style="122" customWidth="1"/>
    <col min="6" max="6" width="11.7265625" style="122" customWidth="1"/>
    <col min="7" max="7" width="9" style="122"/>
    <col min="8" max="13" width="10.26953125" style="122" bestFit="1" customWidth="1"/>
    <col min="14" max="14" width="5.26953125" style="122" customWidth="1"/>
    <col min="15" max="16384" width="9" style="122"/>
  </cols>
  <sheetData>
    <row r="1" spans="1:20" s="140" customFormat="1" ht="16.2">
      <c r="A1" s="139" t="s">
        <v>136</v>
      </c>
      <c r="D1" s="141"/>
    </row>
    <row r="2" spans="1:20" s="140" customFormat="1" ht="16.2">
      <c r="A2" s="139" t="str">
        <f>CompName</f>
        <v>Scottish Power Transmission plc</v>
      </c>
      <c r="D2" s="141"/>
    </row>
    <row r="3" spans="1:20" s="140" customFormat="1">
      <c r="A3" s="142" t="str">
        <f>RegYr</f>
        <v>Regulatory Year ending 31 March 2017</v>
      </c>
      <c r="D3" s="141"/>
    </row>
    <row r="4" spans="1:20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ht="20.25" customHeight="1">
      <c r="A5" s="199" t="s">
        <v>31</v>
      </c>
    </row>
    <row r="6" spans="1:20" ht="13.8">
      <c r="B6" s="144"/>
      <c r="C6" s="144"/>
      <c r="D6" s="144"/>
      <c r="E6" s="144"/>
      <c r="G6" s="144"/>
      <c r="H6" s="144"/>
      <c r="I6" s="144"/>
      <c r="J6" s="144"/>
    </row>
    <row r="7" spans="1:20" ht="13.8">
      <c r="B7" s="129"/>
      <c r="J7" s="132"/>
    </row>
    <row r="8" spans="1:20" ht="13.8">
      <c r="B8" s="129"/>
      <c r="C8" s="129"/>
      <c r="E8" s="129"/>
      <c r="F8" s="129"/>
      <c r="G8" s="129"/>
      <c r="H8" s="129"/>
      <c r="I8" s="129"/>
      <c r="J8" s="129"/>
    </row>
    <row r="9" spans="1:20" ht="14.4">
      <c r="B9" s="129"/>
      <c r="C9" s="129"/>
      <c r="E9" s="125">
        <v>2013</v>
      </c>
      <c r="F9" s="125">
        <v>2014</v>
      </c>
      <c r="G9" s="125">
        <v>2015</v>
      </c>
      <c r="H9" s="125">
        <v>2016</v>
      </c>
      <c r="I9" s="125">
        <v>2017</v>
      </c>
      <c r="J9" s="125">
        <v>2018</v>
      </c>
      <c r="K9" s="125">
        <v>2019</v>
      </c>
      <c r="L9" s="125">
        <v>2020</v>
      </c>
      <c r="M9" s="125">
        <v>2021</v>
      </c>
    </row>
    <row r="10" spans="1:20">
      <c r="A10" s="145" t="s">
        <v>32</v>
      </c>
      <c r="B10" s="145" t="s">
        <v>262</v>
      </c>
      <c r="C10" s="122" t="s">
        <v>1</v>
      </c>
      <c r="E10" s="257"/>
      <c r="F10" s="201">
        <f t="shared" ref="F10:M10" si="0">TNR</f>
        <v>0</v>
      </c>
      <c r="G10" s="201">
        <f t="shared" si="0"/>
        <v>0</v>
      </c>
      <c r="H10" s="201">
        <f t="shared" si="0"/>
        <v>0</v>
      </c>
      <c r="I10" s="146">
        <f t="shared" si="0"/>
        <v>0</v>
      </c>
      <c r="J10" s="146">
        <f t="shared" si="0"/>
        <v>0</v>
      </c>
      <c r="K10" s="146">
        <f t="shared" si="0"/>
        <v>0</v>
      </c>
      <c r="L10" s="146">
        <f t="shared" si="0"/>
        <v>0</v>
      </c>
      <c r="M10" s="146">
        <f t="shared" si="0"/>
        <v>0</v>
      </c>
      <c r="N10" s="132" t="s">
        <v>262</v>
      </c>
    </row>
    <row r="11" spans="1:20">
      <c r="A11" s="145" t="s">
        <v>33</v>
      </c>
      <c r="B11" s="145" t="s">
        <v>13</v>
      </c>
      <c r="C11" s="122" t="s">
        <v>1</v>
      </c>
      <c r="E11" s="257"/>
      <c r="F11" s="201">
        <f t="shared" ref="F11:M11" si="1">TO</f>
        <v>277.85121608000003</v>
      </c>
      <c r="G11" s="201">
        <f t="shared" si="1"/>
        <v>314.11315771050067</v>
      </c>
      <c r="H11" s="201">
        <f t="shared" si="1"/>
        <v>570.42164086126365</v>
      </c>
      <c r="I11" s="146">
        <f t="shared" si="1"/>
        <v>571.16223055041041</v>
      </c>
      <c r="J11" s="146">
        <f t="shared" si="1"/>
        <v>882.58991335136602</v>
      </c>
      <c r="K11" s="146">
        <f t="shared" si="1"/>
        <v>893.24132008028039</v>
      </c>
      <c r="L11" s="146">
        <f t="shared" si="1"/>
        <v>1231.1991924736628</v>
      </c>
      <c r="M11" s="146">
        <f t="shared" si="1"/>
        <v>1263.2362767569462</v>
      </c>
      <c r="N11" s="132" t="s">
        <v>13</v>
      </c>
    </row>
    <row r="12" spans="1:20" ht="13.2">
      <c r="A12" s="128" t="s">
        <v>32</v>
      </c>
      <c r="B12" s="145" t="s">
        <v>262</v>
      </c>
      <c r="C12" s="122" t="s">
        <v>1</v>
      </c>
      <c r="E12" s="262">
        <f>'R5 Input page'!E33</f>
        <v>240.17</v>
      </c>
      <c r="F12" s="257"/>
      <c r="G12" s="257"/>
      <c r="H12" s="257"/>
    </row>
    <row r="13" spans="1:20" ht="13.2">
      <c r="A13" s="128" t="s">
        <v>33</v>
      </c>
      <c r="B13" s="145" t="s">
        <v>13</v>
      </c>
      <c r="C13" s="122" t="s">
        <v>1</v>
      </c>
      <c r="E13" s="201">
        <f>'R5 Input page'!E34</f>
        <v>229.47</v>
      </c>
      <c r="F13" s="257"/>
      <c r="G13" s="257"/>
      <c r="H13" s="257"/>
    </row>
    <row r="14" spans="1:20" ht="13.2">
      <c r="A14" s="128" t="s">
        <v>37</v>
      </c>
      <c r="B14" s="145"/>
      <c r="E14" s="152">
        <f>SUM(E12-E13)</f>
        <v>10.699999999999989</v>
      </c>
      <c r="F14" s="359">
        <f>F10-F11</f>
        <v>-277.85121608000003</v>
      </c>
      <c r="G14" s="152">
        <f t="shared" ref="G14:M14" si="2">G10-G11</f>
        <v>-314.11315771050067</v>
      </c>
      <c r="H14" s="152">
        <f t="shared" si="2"/>
        <v>-570.42164086126365</v>
      </c>
      <c r="I14" s="152">
        <f t="shared" si="2"/>
        <v>-571.16223055041041</v>
      </c>
      <c r="J14" s="152">
        <f t="shared" si="2"/>
        <v>-882.58991335136602</v>
      </c>
      <c r="K14" s="152">
        <f t="shared" si="2"/>
        <v>-893.24132008028039</v>
      </c>
      <c r="L14" s="152">
        <f t="shared" si="2"/>
        <v>-1231.1991924736628</v>
      </c>
      <c r="M14" s="152">
        <f t="shared" si="2"/>
        <v>-1263.2362767569462</v>
      </c>
    </row>
    <row r="15" spans="1:20" ht="13.2">
      <c r="A15" s="128" t="s">
        <v>71</v>
      </c>
      <c r="B15" s="145" t="s">
        <v>327</v>
      </c>
      <c r="C15" s="282" t="s">
        <v>105</v>
      </c>
      <c r="E15" s="147">
        <f t="shared" ref="E15:M15" si="3">It</f>
        <v>0.5</v>
      </c>
      <c r="F15" s="147">
        <f t="shared" si="3"/>
        <v>0.5</v>
      </c>
      <c r="G15" s="147">
        <f t="shared" si="3"/>
        <v>0.5</v>
      </c>
      <c r="H15" s="147">
        <f t="shared" si="3"/>
        <v>0.5</v>
      </c>
      <c r="I15" s="147">
        <f t="shared" si="3"/>
        <v>0.34</v>
      </c>
      <c r="J15" s="147">
        <f t="shared" si="3"/>
        <v>0</v>
      </c>
      <c r="K15" s="147">
        <f t="shared" si="3"/>
        <v>0</v>
      </c>
      <c r="L15" s="147">
        <f t="shared" si="3"/>
        <v>0</v>
      </c>
      <c r="M15" s="147">
        <f t="shared" si="3"/>
        <v>0</v>
      </c>
      <c r="N15" s="132" t="s">
        <v>327</v>
      </c>
    </row>
    <row r="16" spans="1:20" ht="13.2">
      <c r="A16" s="128" t="s">
        <v>34</v>
      </c>
      <c r="B16" s="145" t="s">
        <v>333</v>
      </c>
      <c r="C16" s="305" t="s">
        <v>1</v>
      </c>
      <c r="H16" s="267">
        <f>IF(F$10&gt;(1.04*F$11),4,IF(F$10&lt;(0.96*F$11),0,2))</f>
        <v>0</v>
      </c>
      <c r="I16" s="267">
        <f t="shared" ref="I16:M16" si="4">IF(G$10&gt;(1.04*G$11),4,IF(G$10&lt;(0.96*G$11),0,2))</f>
        <v>0</v>
      </c>
      <c r="J16" s="267">
        <f t="shared" si="4"/>
        <v>0</v>
      </c>
      <c r="K16" s="267">
        <f t="shared" si="4"/>
        <v>0</v>
      </c>
      <c r="L16" s="267">
        <f t="shared" si="4"/>
        <v>0</v>
      </c>
      <c r="M16" s="267">
        <f t="shared" si="4"/>
        <v>0</v>
      </c>
      <c r="N16" s="132" t="s">
        <v>333</v>
      </c>
    </row>
    <row r="17" spans="1:14" ht="13.2">
      <c r="A17" s="128" t="s">
        <v>34</v>
      </c>
      <c r="B17" s="145" t="s">
        <v>476</v>
      </c>
      <c r="C17" s="305" t="s">
        <v>1</v>
      </c>
      <c r="E17" s="268"/>
      <c r="F17" s="64">
        <f>IF($E$12&gt;(1.02*$E$13),4,0)</f>
        <v>4</v>
      </c>
      <c r="G17" s="132"/>
      <c r="H17" s="132"/>
      <c r="I17" s="132"/>
      <c r="J17" s="132"/>
      <c r="K17" s="132"/>
      <c r="L17" s="132"/>
      <c r="M17" s="132"/>
      <c r="N17" s="132"/>
    </row>
    <row r="18" spans="1:14">
      <c r="A18" s="145" t="s">
        <v>11</v>
      </c>
      <c r="B18" s="145" t="s">
        <v>334</v>
      </c>
      <c r="C18" s="122" t="s">
        <v>118</v>
      </c>
      <c r="F18" s="359">
        <f>E14*(1+((E15+F17)/100))</f>
        <v>11.181499999999987</v>
      </c>
      <c r="G18" s="248"/>
      <c r="H18" s="249">
        <f>F14*((1+((F15+H16)/100))*(1+((G15+2)/100)))</f>
        <v>-286.22148396440997</v>
      </c>
      <c r="I18" s="249">
        <f t="shared" ref="I18:M18" si="5">G14*((1+((G15+I16)/100))*(1+((H15+2)/100)))</f>
        <v>-323.57581658652941</v>
      </c>
      <c r="J18" s="249">
        <f t="shared" si="5"/>
        <v>-586.68835479370421</v>
      </c>
      <c r="K18" s="249">
        <f t="shared" si="5"/>
        <v>-584.5662657769675</v>
      </c>
      <c r="L18" s="249">
        <f t="shared" si="5"/>
        <v>-900.24171161839331</v>
      </c>
      <c r="M18" s="249">
        <f t="shared" si="5"/>
        <v>-911.10614648188596</v>
      </c>
      <c r="N18" s="132" t="s">
        <v>334</v>
      </c>
    </row>
    <row r="19" spans="1:14">
      <c r="B19" s="145"/>
      <c r="H19" s="132"/>
    </row>
    <row r="21" spans="1:14">
      <c r="A21" s="124" t="s">
        <v>487</v>
      </c>
      <c r="F21" s="122" t="s">
        <v>191</v>
      </c>
      <c r="N21" s="132"/>
    </row>
    <row r="23" spans="1:14" ht="12.75" customHeight="1">
      <c r="E23" s="200"/>
      <c r="N23" s="132"/>
    </row>
    <row r="24" spans="1:14">
      <c r="A24" s="124" t="s">
        <v>486</v>
      </c>
      <c r="F24" s="122" t="s">
        <v>261</v>
      </c>
    </row>
    <row r="999983" spans="1:1">
      <c r="A999983" s="122" t="s">
        <v>7</v>
      </c>
    </row>
    <row r="999984" spans="1:1">
      <c r="A999984" s="122" t="s">
        <v>2</v>
      </c>
    </row>
    <row r="999985" spans="1:1">
      <c r="A999985" s="122" t="s">
        <v>6</v>
      </c>
    </row>
    <row r="999986" spans="1:1">
      <c r="A999986" s="122" t="s">
        <v>3</v>
      </c>
    </row>
    <row r="999987" spans="1:1">
      <c r="A999987" s="122" t="s">
        <v>4</v>
      </c>
    </row>
    <row r="999988" spans="1:1">
      <c r="A999988" s="122" t="s">
        <v>5</v>
      </c>
    </row>
  </sheetData>
  <pageMargins left="0.15748031496062992" right="0.15748031496062992" top="0.35433070866141736" bottom="0.55118110236220474" header="0.19685039370078741" footer="0.23622047244094491"/>
  <pageSetup paperSize="9" scale="91" orientation="landscape" r:id="rId1"/>
  <headerFooter>
    <oddFooter>&amp;C&amp;D&amp;R&amp;F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6"/>
  <sheetViews>
    <sheetView showGridLines="0" zoomScale="85" zoomScaleNormal="85" workbookViewId="0">
      <pane xSplit="3" ySplit="5" topLeftCell="D300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" defaultRowHeight="12.6"/>
  <cols>
    <col min="1" max="1" width="44.26953125" style="145" customWidth="1"/>
    <col min="2" max="2" width="16.453125" style="145" customWidth="1"/>
    <col min="3" max="3" width="11" style="122" customWidth="1"/>
    <col min="4" max="4" width="6.6328125" style="122" customWidth="1"/>
    <col min="5" max="5" width="8.08984375" style="122" customWidth="1"/>
    <col min="6" max="6" width="8" style="122" customWidth="1"/>
    <col min="7" max="9" width="8.26953125" style="122" customWidth="1"/>
    <col min="10" max="10" width="8.453125" style="122" customWidth="1"/>
    <col min="11" max="11" width="8.36328125" style="122" customWidth="1"/>
    <col min="12" max="12" width="8.6328125" style="122" customWidth="1"/>
    <col min="13" max="13" width="9" style="122"/>
    <col min="14" max="14" width="13.7265625" style="132" bestFit="1" customWidth="1"/>
    <col min="15" max="15" width="1.6328125" style="122" customWidth="1"/>
    <col min="16" max="16384" width="9" style="122"/>
  </cols>
  <sheetData>
    <row r="1" spans="1:14" ht="16.2">
      <c r="A1" s="161" t="s">
        <v>239</v>
      </c>
      <c r="F1" s="132"/>
    </row>
    <row r="2" spans="1:14" ht="16.2">
      <c r="A2" s="161" t="str">
        <f>CompName</f>
        <v>Scottish Power Transmission plc</v>
      </c>
      <c r="F2" s="132"/>
    </row>
    <row r="3" spans="1:14">
      <c r="A3" s="162" t="str">
        <f>RegYr</f>
        <v>Regulatory Year ending 31 March 2017</v>
      </c>
      <c r="F3" s="132"/>
    </row>
    <row r="5" spans="1:14" ht="16.2">
      <c r="A5" s="208" t="s">
        <v>138</v>
      </c>
      <c r="C5" s="124"/>
      <c r="F5" s="125">
        <v>2014</v>
      </c>
      <c r="G5" s="125">
        <v>2015</v>
      </c>
      <c r="H5" s="125">
        <v>2016</v>
      </c>
      <c r="I5" s="125">
        <v>2017</v>
      </c>
      <c r="J5" s="125">
        <v>2018</v>
      </c>
      <c r="K5" s="125">
        <v>2019</v>
      </c>
      <c r="L5" s="125">
        <v>2020</v>
      </c>
      <c r="M5" s="125">
        <v>2021</v>
      </c>
    </row>
    <row r="7" spans="1:14" ht="13.8">
      <c r="A7" s="157" t="s">
        <v>477</v>
      </c>
      <c r="C7" s="272"/>
    </row>
    <row r="8" spans="1:14" ht="14.4">
      <c r="A8" s="157" t="s">
        <v>501</v>
      </c>
      <c r="C8" s="272"/>
      <c r="F8" s="125">
        <v>2014</v>
      </c>
      <c r="G8" s="125">
        <v>2015</v>
      </c>
      <c r="H8" s="125">
        <v>2016</v>
      </c>
      <c r="I8" s="125">
        <v>2017</v>
      </c>
      <c r="J8" s="125">
        <v>2018</v>
      </c>
      <c r="K8" s="125">
        <v>2019</v>
      </c>
      <c r="L8" s="125">
        <v>2020</v>
      </c>
      <c r="M8" s="125">
        <v>2021</v>
      </c>
    </row>
    <row r="9" spans="1:14">
      <c r="A9" s="145" t="s">
        <v>241</v>
      </c>
      <c r="B9" s="145" t="s">
        <v>146</v>
      </c>
      <c r="C9" s="272" t="s">
        <v>1</v>
      </c>
      <c r="F9" s="147">
        <f>F25+F82+F141+F199+F258</f>
        <v>0</v>
      </c>
      <c r="G9" s="147">
        <f t="shared" ref="G9:M9" si="0">G25+G82+G141+G199+G258</f>
        <v>0</v>
      </c>
      <c r="H9" s="147">
        <f t="shared" si="0"/>
        <v>0</v>
      </c>
      <c r="I9" s="147">
        <f t="shared" si="0"/>
        <v>0</v>
      </c>
      <c r="J9" s="147">
        <f t="shared" si="0"/>
        <v>0</v>
      </c>
      <c r="K9" s="147">
        <f t="shared" si="0"/>
        <v>0</v>
      </c>
      <c r="L9" s="147">
        <f t="shared" si="0"/>
        <v>0</v>
      </c>
      <c r="M9" s="147">
        <f t="shared" si="0"/>
        <v>0</v>
      </c>
    </row>
    <row r="10" spans="1:14">
      <c r="A10" s="145" t="s">
        <v>252</v>
      </c>
      <c r="B10" s="145" t="s">
        <v>148</v>
      </c>
      <c r="C10" s="272" t="s">
        <v>1</v>
      </c>
      <c r="F10" s="147">
        <f>F42+F99+F158+F216+F275</f>
        <v>10.184986456000001</v>
      </c>
      <c r="G10" s="147">
        <f t="shared" ref="G10:M10" si="1">G42+G99+G158+G216+G275</f>
        <v>5.1724866</v>
      </c>
      <c r="H10" s="147">
        <f t="shared" si="1"/>
        <v>0</v>
      </c>
      <c r="I10" s="147">
        <f t="shared" si="1"/>
        <v>0</v>
      </c>
      <c r="J10" s="147">
        <f t="shared" si="1"/>
        <v>0</v>
      </c>
      <c r="K10" s="147">
        <f t="shared" si="1"/>
        <v>0</v>
      </c>
      <c r="L10" s="147">
        <f t="shared" si="1"/>
        <v>0</v>
      </c>
      <c r="M10" s="147">
        <f t="shared" si="1"/>
        <v>0</v>
      </c>
    </row>
    <row r="11" spans="1:14">
      <c r="A11" s="145" t="s">
        <v>251</v>
      </c>
      <c r="B11" s="145" t="s">
        <v>149</v>
      </c>
      <c r="C11" s="272" t="s">
        <v>1</v>
      </c>
      <c r="F11" s="147">
        <f>F69+F126+F185+F243+F302</f>
        <v>16.026893624</v>
      </c>
      <c r="G11" s="147">
        <f t="shared" ref="G11:M11" si="2">G69+G126+G185+G243+G302</f>
        <v>16.026702439999998</v>
      </c>
      <c r="H11" s="147">
        <f t="shared" si="2"/>
        <v>19.893881064000002</v>
      </c>
      <c r="I11" s="147">
        <f t="shared" si="2"/>
        <v>6.6779280000000005</v>
      </c>
      <c r="J11" s="147">
        <f t="shared" si="2"/>
        <v>33.040580456000001</v>
      </c>
      <c r="K11" s="147">
        <f t="shared" si="2"/>
        <v>30.874002687999997</v>
      </c>
      <c r="L11" s="147">
        <f t="shared" si="2"/>
        <v>31.258213271999999</v>
      </c>
      <c r="M11" s="147">
        <f t="shared" si="2"/>
        <v>24.797105424000002</v>
      </c>
    </row>
    <row r="12" spans="1:14">
      <c r="A12" s="145" t="s">
        <v>265</v>
      </c>
      <c r="C12" s="272"/>
      <c r="F12" s="64">
        <f>SUM(F9:F11)</f>
        <v>26.21188008</v>
      </c>
      <c r="G12" s="64">
        <f t="shared" ref="G12:M12" si="3">SUM(G9:G11)</f>
        <v>21.199189039999997</v>
      </c>
      <c r="H12" s="64">
        <f t="shared" si="3"/>
        <v>19.893881064000002</v>
      </c>
      <c r="I12" s="64">
        <f t="shared" si="3"/>
        <v>6.6779280000000005</v>
      </c>
      <c r="J12" s="64">
        <f t="shared" si="3"/>
        <v>33.040580456000001</v>
      </c>
      <c r="K12" s="64">
        <f t="shared" si="3"/>
        <v>30.874002687999997</v>
      </c>
      <c r="L12" s="64">
        <f t="shared" si="3"/>
        <v>31.258213271999999</v>
      </c>
      <c r="M12" s="64">
        <f t="shared" si="3"/>
        <v>24.797105424000002</v>
      </c>
      <c r="N12" s="132" t="s">
        <v>266</v>
      </c>
    </row>
    <row r="13" spans="1:14">
      <c r="A13" s="145" t="s">
        <v>253</v>
      </c>
      <c r="B13" s="145" t="s">
        <v>147</v>
      </c>
      <c r="C13" s="272" t="s">
        <v>1</v>
      </c>
      <c r="F13" s="147">
        <f>F72+F129+F188+F245+F304</f>
        <v>0</v>
      </c>
      <c r="G13" s="147">
        <f t="shared" ref="G13:L13" si="4">G72+G129+G188+G245+G304</f>
        <v>0</v>
      </c>
      <c r="H13" s="147">
        <f t="shared" si="4"/>
        <v>0</v>
      </c>
      <c r="I13" s="147">
        <f t="shared" si="4"/>
        <v>0</v>
      </c>
      <c r="J13" s="147">
        <f t="shared" si="4"/>
        <v>0</v>
      </c>
      <c r="K13" s="147">
        <f t="shared" si="4"/>
        <v>0</v>
      </c>
      <c r="L13" s="147">
        <f t="shared" si="4"/>
        <v>0</v>
      </c>
      <c r="M13" s="147">
        <f>M72+M129+M188+M245+M304</f>
        <v>0</v>
      </c>
    </row>
    <row r="14" spans="1:14">
      <c r="A14" s="145" t="s">
        <v>242</v>
      </c>
      <c r="B14" s="145" t="s">
        <v>150</v>
      </c>
      <c r="C14" s="272" t="s">
        <v>1</v>
      </c>
      <c r="F14" s="147">
        <f>F73+F130+F189+F246+F305</f>
        <v>0</v>
      </c>
      <c r="G14" s="147">
        <f t="shared" ref="G14:M14" si="5">G73+G130+G189+G246+G305</f>
        <v>0</v>
      </c>
      <c r="H14" s="147">
        <f t="shared" si="5"/>
        <v>0</v>
      </c>
      <c r="I14" s="147">
        <f t="shared" si="5"/>
        <v>0</v>
      </c>
      <c r="J14" s="147">
        <f t="shared" si="5"/>
        <v>0</v>
      </c>
      <c r="K14" s="147">
        <f t="shared" si="5"/>
        <v>0</v>
      </c>
      <c r="L14" s="147">
        <f t="shared" si="5"/>
        <v>0</v>
      </c>
      <c r="M14" s="147">
        <f t="shared" si="5"/>
        <v>0</v>
      </c>
    </row>
    <row r="15" spans="1:14" ht="13.8">
      <c r="B15" s="129"/>
      <c r="C15" s="272"/>
    </row>
    <row r="16" spans="1:14">
      <c r="B16" s="145" t="s">
        <v>9</v>
      </c>
      <c r="C16" s="272" t="s">
        <v>1</v>
      </c>
      <c r="F16" s="64">
        <f>SUM(F12:F14)</f>
        <v>26.21188008</v>
      </c>
      <c r="G16" s="64">
        <f t="shared" ref="G16:M16" si="6">SUM(G12:G14)</f>
        <v>21.199189039999997</v>
      </c>
      <c r="H16" s="64">
        <f t="shared" si="6"/>
        <v>19.893881064000002</v>
      </c>
      <c r="I16" s="64">
        <f t="shared" si="6"/>
        <v>6.6779280000000005</v>
      </c>
      <c r="J16" s="64">
        <f t="shared" si="6"/>
        <v>33.040580456000001</v>
      </c>
      <c r="K16" s="64">
        <f t="shared" si="6"/>
        <v>30.874002687999997</v>
      </c>
      <c r="L16" s="64">
        <f>SUM(L12:L14)</f>
        <v>31.258213271999999</v>
      </c>
      <c r="M16" s="64">
        <f t="shared" si="6"/>
        <v>24.797105424000002</v>
      </c>
      <c r="N16" s="132" t="s">
        <v>138</v>
      </c>
    </row>
    <row r="17" spans="1:14" ht="13.8">
      <c r="A17" s="129"/>
      <c r="C17" s="272"/>
      <c r="H17" s="132"/>
    </row>
    <row r="18" spans="1:14" ht="13.8">
      <c r="A18" s="157" t="s">
        <v>277</v>
      </c>
      <c r="C18" s="272"/>
    </row>
    <row r="19" spans="1:14" ht="13.8">
      <c r="A19" s="209" t="s">
        <v>356</v>
      </c>
      <c r="C19" s="272"/>
    </row>
    <row r="20" spans="1:14" ht="13.8">
      <c r="A20" s="157" t="s">
        <v>274</v>
      </c>
      <c r="C20" s="272"/>
    </row>
    <row r="21" spans="1:14" ht="14.4">
      <c r="A21" s="157" t="s">
        <v>502</v>
      </c>
      <c r="C21" s="272"/>
      <c r="F21" s="125">
        <v>2014</v>
      </c>
      <c r="G21" s="125">
        <v>2015</v>
      </c>
      <c r="H21" s="125">
        <v>2016</v>
      </c>
      <c r="I21" s="125">
        <v>2017</v>
      </c>
      <c r="J21" s="125">
        <v>2018</v>
      </c>
      <c r="K21" s="125">
        <v>2019</v>
      </c>
      <c r="L21" s="125">
        <v>2020</v>
      </c>
      <c r="M21" s="125">
        <v>2021</v>
      </c>
    </row>
    <row r="22" spans="1:14">
      <c r="A22" s="140" t="s">
        <v>407</v>
      </c>
      <c r="B22" s="145" t="s">
        <v>151</v>
      </c>
      <c r="C22" s="272" t="s">
        <v>1</v>
      </c>
      <c r="F22" s="147">
        <f t="shared" ref="F22:M22" si="7">CFTIRG1</f>
        <v>0</v>
      </c>
      <c r="G22" s="147">
        <f t="shared" si="7"/>
        <v>0</v>
      </c>
      <c r="H22" s="147">
        <f t="shared" si="7"/>
        <v>0</v>
      </c>
      <c r="I22" s="147">
        <f t="shared" si="7"/>
        <v>0</v>
      </c>
      <c r="J22" s="147">
        <f t="shared" si="7"/>
        <v>0</v>
      </c>
      <c r="K22" s="147">
        <f t="shared" si="7"/>
        <v>0</v>
      </c>
      <c r="L22" s="147">
        <f t="shared" si="7"/>
        <v>0</v>
      </c>
      <c r="M22" s="147">
        <f t="shared" si="7"/>
        <v>0</v>
      </c>
    </row>
    <row r="23" spans="1:14">
      <c r="A23" s="145" t="s">
        <v>158</v>
      </c>
      <c r="B23" s="145" t="s">
        <v>117</v>
      </c>
      <c r="C23" s="272" t="s">
        <v>118</v>
      </c>
      <c r="F23" s="147">
        <f t="shared" ref="F23:M23" si="8">RPIF</f>
        <v>1.163</v>
      </c>
      <c r="G23" s="147">
        <f t="shared" si="8"/>
        <v>1.2050000000000001</v>
      </c>
      <c r="H23" s="147">
        <f t="shared" si="8"/>
        <v>1.2270000000000001</v>
      </c>
      <c r="I23" s="147">
        <f t="shared" si="8"/>
        <v>1.2330000000000001</v>
      </c>
      <c r="J23" s="147">
        <f t="shared" si="8"/>
        <v>1.2709999999999999</v>
      </c>
      <c r="K23" s="147">
        <f t="shared" si="8"/>
        <v>1.228</v>
      </c>
      <c r="L23" s="147">
        <f t="shared" si="8"/>
        <v>1.2869999999999999</v>
      </c>
      <c r="M23" s="147">
        <f t="shared" si="8"/>
        <v>1.323</v>
      </c>
    </row>
    <row r="24" spans="1:14">
      <c r="C24" s="272"/>
    </row>
    <row r="25" spans="1:14" ht="13.8">
      <c r="A25" s="129" t="s">
        <v>167</v>
      </c>
      <c r="B25" s="145" t="s">
        <v>146</v>
      </c>
      <c r="C25" s="272" t="s">
        <v>1</v>
      </c>
      <c r="F25" s="64">
        <f>F22*F23</f>
        <v>0</v>
      </c>
      <c r="G25" s="64">
        <f t="shared" ref="G25:M25" si="9">G22*G23</f>
        <v>0</v>
      </c>
      <c r="H25" s="64">
        <f t="shared" si="9"/>
        <v>0</v>
      </c>
      <c r="I25" s="64">
        <f t="shared" si="9"/>
        <v>0</v>
      </c>
      <c r="J25" s="64">
        <f t="shared" si="9"/>
        <v>0</v>
      </c>
      <c r="K25" s="64">
        <f t="shared" si="9"/>
        <v>0</v>
      </c>
      <c r="L25" s="64">
        <f t="shared" si="9"/>
        <v>0</v>
      </c>
      <c r="M25" s="64">
        <f t="shared" si="9"/>
        <v>0</v>
      </c>
    </row>
    <row r="26" spans="1:14" ht="13.8">
      <c r="A26" s="129"/>
      <c r="C26" s="272"/>
    </row>
    <row r="27" spans="1:14" ht="13.8">
      <c r="A27" s="129"/>
      <c r="C27" s="272"/>
    </row>
    <row r="28" spans="1:14" ht="13.8">
      <c r="A28" s="157" t="s">
        <v>275</v>
      </c>
      <c r="C28" s="272"/>
    </row>
    <row r="29" spans="1:14" ht="16.5" customHeight="1">
      <c r="A29" s="209" t="s">
        <v>356</v>
      </c>
      <c r="C29" s="272"/>
    </row>
    <row r="30" spans="1:14" ht="16.5" customHeight="1">
      <c r="A30" s="157" t="s">
        <v>503</v>
      </c>
      <c r="C30" s="272"/>
      <c r="F30" s="125">
        <v>2014</v>
      </c>
      <c r="G30" s="125">
        <v>2015</v>
      </c>
      <c r="H30" s="125">
        <v>2016</v>
      </c>
      <c r="I30" s="125">
        <v>2017</v>
      </c>
      <c r="J30" s="125">
        <v>2018</v>
      </c>
      <c r="K30" s="125">
        <v>2019</v>
      </c>
      <c r="L30" s="125">
        <v>2020</v>
      </c>
      <c r="M30" s="125">
        <v>2021</v>
      </c>
    </row>
    <row r="31" spans="1:14">
      <c r="A31" s="145" t="s">
        <v>236</v>
      </c>
      <c r="B31" s="145" t="s">
        <v>143</v>
      </c>
      <c r="C31" s="272" t="s">
        <v>105</v>
      </c>
      <c r="F31" s="184">
        <f t="shared" ref="F31:M31" si="10">CCTIRG</f>
        <v>8.7999999999999995E-2</v>
      </c>
      <c r="G31" s="184">
        <f t="shared" si="10"/>
        <v>8.7999999999999995E-2</v>
      </c>
      <c r="H31" s="184">
        <f t="shared" si="10"/>
        <v>8.7999999999999995E-2</v>
      </c>
      <c r="I31" s="184">
        <f t="shared" si="10"/>
        <v>8.7999999999999995E-2</v>
      </c>
      <c r="J31" s="184">
        <f t="shared" si="10"/>
        <v>8.7999999999999995E-2</v>
      </c>
      <c r="K31" s="184">
        <f t="shared" si="10"/>
        <v>8.7999999999999995E-2</v>
      </c>
      <c r="L31" s="184">
        <f t="shared" si="10"/>
        <v>8.7999999999999995E-2</v>
      </c>
      <c r="M31" s="184">
        <f t="shared" si="10"/>
        <v>8.7999999999999995E-2</v>
      </c>
      <c r="N31" s="132" t="s">
        <v>143</v>
      </c>
    </row>
    <row r="32" spans="1:14">
      <c r="A32" s="140" t="s">
        <v>246</v>
      </c>
      <c r="B32" s="145" t="s">
        <v>139</v>
      </c>
      <c r="C32" s="308" t="s">
        <v>1</v>
      </c>
      <c r="F32" s="147">
        <f>FTIRGC</f>
        <v>53.652000000000001</v>
      </c>
      <c r="G32" s="147">
        <f t="shared" ref="G32:M32" si="11">FTIRGC</f>
        <v>0</v>
      </c>
      <c r="H32" s="147">
        <f t="shared" si="11"/>
        <v>0</v>
      </c>
      <c r="I32" s="147">
        <f t="shared" si="11"/>
        <v>0</v>
      </c>
      <c r="J32" s="147">
        <f t="shared" si="11"/>
        <v>0</v>
      </c>
      <c r="K32" s="147">
        <f t="shared" si="11"/>
        <v>0</v>
      </c>
      <c r="L32" s="147">
        <f t="shared" si="11"/>
        <v>0</v>
      </c>
      <c r="M32" s="147">
        <f t="shared" si="11"/>
        <v>0</v>
      </c>
      <c r="N32" s="132" t="s">
        <v>139</v>
      </c>
    </row>
    <row r="33" spans="1:14">
      <c r="A33" s="145" t="s">
        <v>237</v>
      </c>
      <c r="B33" s="145" t="s">
        <v>152</v>
      </c>
      <c r="C33" s="308" t="s">
        <v>1</v>
      </c>
      <c r="F33" s="147">
        <f t="shared" ref="F33:M33" si="12">AFFTIRG</f>
        <v>0</v>
      </c>
      <c r="G33" s="147">
        <f t="shared" si="12"/>
        <v>0</v>
      </c>
      <c r="H33" s="147">
        <f t="shared" si="12"/>
        <v>0</v>
      </c>
      <c r="I33" s="147">
        <f t="shared" si="12"/>
        <v>0</v>
      </c>
      <c r="J33" s="147">
        <f t="shared" si="12"/>
        <v>0</v>
      </c>
      <c r="K33" s="147">
        <f t="shared" si="12"/>
        <v>0</v>
      </c>
      <c r="L33" s="147">
        <f t="shared" si="12"/>
        <v>0</v>
      </c>
      <c r="M33" s="147">
        <f t="shared" si="12"/>
        <v>0</v>
      </c>
      <c r="N33" s="132" t="s">
        <v>152</v>
      </c>
    </row>
    <row r="34" spans="1:14">
      <c r="A34" s="145" t="s">
        <v>158</v>
      </c>
      <c r="B34" s="145" t="s">
        <v>117</v>
      </c>
      <c r="C34" s="272" t="s">
        <v>118</v>
      </c>
      <c r="F34" s="147">
        <f t="shared" ref="F34:M34" si="13">RPIF</f>
        <v>1.163</v>
      </c>
      <c r="G34" s="147">
        <f t="shared" si="13"/>
        <v>1.2050000000000001</v>
      </c>
      <c r="H34" s="147">
        <f t="shared" si="13"/>
        <v>1.2270000000000001</v>
      </c>
      <c r="I34" s="147">
        <f t="shared" si="13"/>
        <v>1.2330000000000001</v>
      </c>
      <c r="J34" s="147">
        <f t="shared" si="13"/>
        <v>1.2709999999999999</v>
      </c>
      <c r="K34" s="147">
        <f t="shared" si="13"/>
        <v>1.228</v>
      </c>
      <c r="L34" s="147">
        <f t="shared" si="13"/>
        <v>1.2869999999999999</v>
      </c>
      <c r="M34" s="147">
        <f t="shared" si="13"/>
        <v>1.323</v>
      </c>
      <c r="N34" s="132" t="s">
        <v>117</v>
      </c>
    </row>
    <row r="35" spans="1:14">
      <c r="B35" s="281" t="s">
        <v>165</v>
      </c>
      <c r="C35" s="272"/>
      <c r="F35" s="64">
        <f>(F32+F33)*F31*F34</f>
        <v>5.4909602880000001</v>
      </c>
      <c r="G35" s="64">
        <f t="shared" ref="G35:M35" si="14">(G32+G33)*G31*G34</f>
        <v>0</v>
      </c>
      <c r="H35" s="64">
        <f t="shared" si="14"/>
        <v>0</v>
      </c>
      <c r="I35" s="64">
        <f t="shared" si="14"/>
        <v>0</v>
      </c>
      <c r="J35" s="64">
        <f t="shared" si="14"/>
        <v>0</v>
      </c>
      <c r="K35" s="64">
        <f t="shared" si="14"/>
        <v>0</v>
      </c>
      <c r="L35" s="64">
        <f t="shared" si="14"/>
        <v>0</v>
      </c>
      <c r="M35" s="64">
        <f t="shared" si="14"/>
        <v>0</v>
      </c>
    </row>
    <row r="36" spans="1:14" ht="13.8">
      <c r="B36" s="129"/>
      <c r="C36" s="272"/>
    </row>
    <row r="37" spans="1:14">
      <c r="A37" s="140" t="s">
        <v>247</v>
      </c>
      <c r="B37" s="145" t="s">
        <v>153</v>
      </c>
      <c r="C37" s="309" t="s">
        <v>1</v>
      </c>
      <c r="F37" s="147">
        <f t="shared" ref="F37:M37" si="15">FTIRGDepn</f>
        <v>2.855</v>
      </c>
      <c r="G37" s="171">
        <f t="shared" si="15"/>
        <v>0</v>
      </c>
      <c r="H37" s="171">
        <f t="shared" si="15"/>
        <v>0</v>
      </c>
      <c r="I37" s="171">
        <f t="shared" si="15"/>
        <v>0</v>
      </c>
      <c r="J37" s="171">
        <f t="shared" si="15"/>
        <v>0</v>
      </c>
      <c r="K37" s="171">
        <f t="shared" si="15"/>
        <v>0</v>
      </c>
      <c r="L37" s="171">
        <f t="shared" si="15"/>
        <v>0</v>
      </c>
      <c r="M37" s="171">
        <f t="shared" si="15"/>
        <v>0</v>
      </c>
      <c r="N37" s="132" t="s">
        <v>153</v>
      </c>
    </row>
    <row r="38" spans="1:14">
      <c r="A38" s="145" t="s">
        <v>240</v>
      </c>
      <c r="B38" s="145" t="s">
        <v>154</v>
      </c>
      <c r="C38" s="309" t="s">
        <v>1</v>
      </c>
      <c r="F38" s="147">
        <f>AFFTIRGDepn</f>
        <v>0</v>
      </c>
      <c r="G38" s="147">
        <f>'R5 Input page'!G102</f>
        <v>0</v>
      </c>
      <c r="H38" s="147">
        <f>'R5 Input page'!H102</f>
        <v>0</v>
      </c>
      <c r="I38" s="147">
        <f>'R5 Input page'!I102</f>
        <v>0</v>
      </c>
      <c r="J38" s="147">
        <f>'R5 Input page'!J102</f>
        <v>0</v>
      </c>
      <c r="K38" s="147">
        <f>'R5 Input page'!K102</f>
        <v>0</v>
      </c>
      <c r="L38" s="147">
        <f>'R5 Input page'!L102</f>
        <v>0</v>
      </c>
      <c r="M38" s="147">
        <f>'R5 Input page'!M102</f>
        <v>0</v>
      </c>
      <c r="N38" s="132" t="s">
        <v>154</v>
      </c>
    </row>
    <row r="39" spans="1:14">
      <c r="A39" s="145" t="s">
        <v>158</v>
      </c>
      <c r="B39" s="145" t="s">
        <v>117</v>
      </c>
      <c r="C39" s="272" t="s">
        <v>118</v>
      </c>
      <c r="F39" s="201">
        <f t="shared" ref="F39:M39" si="16">RPIF</f>
        <v>1.163</v>
      </c>
      <c r="G39" s="201">
        <f t="shared" si="16"/>
        <v>1.2050000000000001</v>
      </c>
      <c r="H39" s="201">
        <f t="shared" si="16"/>
        <v>1.2270000000000001</v>
      </c>
      <c r="I39" s="201">
        <f t="shared" si="16"/>
        <v>1.2330000000000001</v>
      </c>
      <c r="J39" s="201">
        <f t="shared" si="16"/>
        <v>1.2709999999999999</v>
      </c>
      <c r="K39" s="201">
        <f t="shared" si="16"/>
        <v>1.228</v>
      </c>
      <c r="L39" s="201">
        <f t="shared" si="16"/>
        <v>1.2869999999999999</v>
      </c>
      <c r="M39" s="201">
        <f t="shared" si="16"/>
        <v>1.323</v>
      </c>
      <c r="N39" s="132" t="s">
        <v>117</v>
      </c>
    </row>
    <row r="40" spans="1:14">
      <c r="B40" s="281" t="s">
        <v>166</v>
      </c>
      <c r="C40" s="272"/>
      <c r="F40" s="64">
        <f>(F37+F38)*F39</f>
        <v>3.3203650000000002</v>
      </c>
      <c r="G40" s="64">
        <f t="shared" ref="G40:M40" si="17">(G37+G38)*G39</f>
        <v>0</v>
      </c>
      <c r="H40" s="64">
        <f t="shared" si="17"/>
        <v>0</v>
      </c>
      <c r="I40" s="64">
        <f t="shared" si="17"/>
        <v>0</v>
      </c>
      <c r="J40" s="64">
        <f t="shared" si="17"/>
        <v>0</v>
      </c>
      <c r="K40" s="64">
        <f t="shared" si="17"/>
        <v>0</v>
      </c>
      <c r="L40" s="64">
        <f t="shared" si="17"/>
        <v>0</v>
      </c>
      <c r="M40" s="64">
        <f t="shared" si="17"/>
        <v>0</v>
      </c>
    </row>
    <row r="41" spans="1:14">
      <c r="C41" s="272"/>
      <c r="F41" s="202"/>
    </row>
    <row r="42" spans="1:14">
      <c r="B42" s="145" t="s">
        <v>148</v>
      </c>
      <c r="C42" s="272" t="s">
        <v>1</v>
      </c>
      <c r="F42" s="64">
        <f>F35+F40</f>
        <v>8.8113252880000008</v>
      </c>
      <c r="G42" s="64">
        <f t="shared" ref="G42:M42" si="18">G35+G40</f>
        <v>0</v>
      </c>
      <c r="H42" s="64">
        <f t="shared" si="18"/>
        <v>0</v>
      </c>
      <c r="I42" s="64">
        <f t="shared" si="18"/>
        <v>0</v>
      </c>
      <c r="J42" s="64">
        <f t="shared" si="18"/>
        <v>0</v>
      </c>
      <c r="K42" s="64">
        <f t="shared" si="18"/>
        <v>0</v>
      </c>
      <c r="L42" s="64">
        <f t="shared" si="18"/>
        <v>0</v>
      </c>
      <c r="M42" s="64">
        <f t="shared" si="18"/>
        <v>0</v>
      </c>
    </row>
    <row r="43" spans="1:14" ht="13.8">
      <c r="A43" s="129"/>
      <c r="C43" s="272"/>
    </row>
    <row r="44" spans="1:14">
      <c r="A44" s="164" t="s">
        <v>504</v>
      </c>
      <c r="C44" s="272"/>
    </row>
    <row r="45" spans="1:14" ht="13.8">
      <c r="A45" s="157" t="s">
        <v>276</v>
      </c>
      <c r="C45" s="272"/>
    </row>
    <row r="46" spans="1:14" ht="13.8">
      <c r="A46" s="129" t="s">
        <v>343</v>
      </c>
      <c r="C46" s="272"/>
    </row>
    <row r="47" spans="1:14" ht="13.8">
      <c r="A47" s="209" t="s">
        <v>356</v>
      </c>
      <c r="C47" s="272"/>
    </row>
    <row r="48" spans="1:14" ht="14.4">
      <c r="A48" s="129"/>
      <c r="C48" s="272"/>
      <c r="F48" s="125">
        <v>2014</v>
      </c>
      <c r="G48" s="125">
        <v>2015</v>
      </c>
      <c r="H48" s="125">
        <v>2016</v>
      </c>
      <c r="I48" s="125">
        <v>2017</v>
      </c>
      <c r="J48" s="125">
        <v>2018</v>
      </c>
      <c r="K48" s="125">
        <v>2019</v>
      </c>
      <c r="L48" s="125">
        <v>2020</v>
      </c>
      <c r="M48" s="125">
        <v>2021</v>
      </c>
    </row>
    <row r="49" spans="1:14">
      <c r="A49" s="145" t="s">
        <v>236</v>
      </c>
      <c r="B49" s="145" t="s">
        <v>143</v>
      </c>
      <c r="C49" s="275" t="s">
        <v>105</v>
      </c>
      <c r="F49" s="184">
        <f t="shared" ref="F49:M49" si="19">CCTIRG</f>
        <v>8.7999999999999995E-2</v>
      </c>
      <c r="G49" s="184">
        <f t="shared" si="19"/>
        <v>8.7999999999999995E-2</v>
      </c>
      <c r="H49" s="184">
        <f t="shared" si="19"/>
        <v>8.7999999999999995E-2</v>
      </c>
      <c r="I49" s="184">
        <f t="shared" si="19"/>
        <v>8.7999999999999995E-2</v>
      </c>
      <c r="J49" s="184">
        <f t="shared" si="19"/>
        <v>8.7999999999999995E-2</v>
      </c>
      <c r="K49" s="184">
        <f t="shared" si="19"/>
        <v>8.7999999999999995E-2</v>
      </c>
      <c r="L49" s="184">
        <f t="shared" si="19"/>
        <v>8.7999999999999995E-2</v>
      </c>
      <c r="M49" s="184">
        <f t="shared" si="19"/>
        <v>8.7999999999999995E-2</v>
      </c>
      <c r="N49" s="132" t="s">
        <v>143</v>
      </c>
    </row>
    <row r="50" spans="1:14">
      <c r="A50" s="140" t="s">
        <v>250</v>
      </c>
      <c r="B50" s="145" t="s">
        <v>145</v>
      </c>
      <c r="C50" s="309" t="s">
        <v>1</v>
      </c>
      <c r="F50" s="147">
        <f t="shared" ref="F50:M50" si="20">ETIRGC</f>
        <v>0</v>
      </c>
      <c r="G50" s="147">
        <f t="shared" si="20"/>
        <v>0</v>
      </c>
      <c r="H50" s="147">
        <f t="shared" si="20"/>
        <v>0</v>
      </c>
      <c r="I50" s="147">
        <f t="shared" si="20"/>
        <v>0</v>
      </c>
      <c r="J50" s="147">
        <f t="shared" si="20"/>
        <v>149.05799999999999</v>
      </c>
      <c r="K50" s="147">
        <f t="shared" si="20"/>
        <v>141.41399999999999</v>
      </c>
      <c r="L50" s="147">
        <f t="shared" si="20"/>
        <v>133.77000000000001</v>
      </c>
      <c r="M50" s="147">
        <f t="shared" si="20"/>
        <v>126.126</v>
      </c>
      <c r="N50" s="132" t="s">
        <v>145</v>
      </c>
    </row>
    <row r="51" spans="1:14">
      <c r="C51" s="275"/>
    </row>
    <row r="52" spans="1:14">
      <c r="A52" s="145" t="s">
        <v>243</v>
      </c>
      <c r="B52" s="145" t="s">
        <v>155</v>
      </c>
      <c r="C52" s="309" t="s">
        <v>1</v>
      </c>
      <c r="F52" s="147">
        <f t="shared" ref="F52:M52" si="21">SAFTIRG1</f>
        <v>0</v>
      </c>
      <c r="G52" s="147">
        <f t="shared" si="21"/>
        <v>0</v>
      </c>
      <c r="H52" s="147">
        <f t="shared" si="21"/>
        <v>0</v>
      </c>
      <c r="I52" s="147">
        <f t="shared" si="21"/>
        <v>0</v>
      </c>
      <c r="J52" s="147">
        <f t="shared" si="21"/>
        <v>0</v>
      </c>
      <c r="K52" s="147">
        <f t="shared" si="21"/>
        <v>0</v>
      </c>
      <c r="L52" s="147">
        <f t="shared" si="21"/>
        <v>0</v>
      </c>
      <c r="M52" s="147">
        <f t="shared" si="21"/>
        <v>0</v>
      </c>
      <c r="N52" s="132" t="s">
        <v>155</v>
      </c>
    </row>
    <row r="53" spans="1:14">
      <c r="A53" s="140" t="s">
        <v>248</v>
      </c>
      <c r="B53" s="145" t="s">
        <v>141</v>
      </c>
      <c r="C53" s="309" t="s">
        <v>1</v>
      </c>
      <c r="F53" s="147">
        <f t="shared" ref="F53:M53" si="22">ETIRGORAV</f>
        <v>0</v>
      </c>
      <c r="G53" s="147">
        <f t="shared" si="22"/>
        <v>0</v>
      </c>
      <c r="H53" s="147">
        <f t="shared" si="22"/>
        <v>0</v>
      </c>
      <c r="I53" s="147">
        <f t="shared" si="22"/>
        <v>0</v>
      </c>
      <c r="J53" s="147">
        <f t="shared" si="22"/>
        <v>152.88</v>
      </c>
      <c r="K53" s="147">
        <f t="shared" si="22"/>
        <v>0</v>
      </c>
      <c r="L53" s="147">
        <f t="shared" si="22"/>
        <v>0</v>
      </c>
      <c r="M53" s="147">
        <f t="shared" si="22"/>
        <v>0</v>
      </c>
      <c r="N53" s="132" t="s">
        <v>141</v>
      </c>
    </row>
    <row r="54" spans="1:14">
      <c r="A54" s="145" t="s">
        <v>156</v>
      </c>
      <c r="B54" s="145" t="s">
        <v>157</v>
      </c>
      <c r="C54" s="275" t="s">
        <v>118</v>
      </c>
      <c r="F54" s="64">
        <f>IF(F52&gt;0,F52/F53,1)</f>
        <v>1</v>
      </c>
      <c r="G54" s="64">
        <f>IF(G52&gt;0,G52/G53,1)</f>
        <v>1</v>
      </c>
      <c r="H54" s="64">
        <f t="shared" ref="H54:M54" si="23">IF(H52&gt;0,H52/H53,1)</f>
        <v>1</v>
      </c>
      <c r="I54" s="64">
        <f t="shared" si="23"/>
        <v>1</v>
      </c>
      <c r="J54" s="64">
        <f t="shared" si="23"/>
        <v>1</v>
      </c>
      <c r="K54" s="64">
        <f t="shared" si="23"/>
        <v>1</v>
      </c>
      <c r="L54" s="64">
        <f t="shared" si="23"/>
        <v>1</v>
      </c>
      <c r="M54" s="64">
        <f t="shared" si="23"/>
        <v>1</v>
      </c>
      <c r="N54" s="132" t="s">
        <v>157</v>
      </c>
    </row>
    <row r="55" spans="1:14">
      <c r="C55" s="275"/>
    </row>
    <row r="56" spans="1:14">
      <c r="A56" s="145" t="s">
        <v>158</v>
      </c>
      <c r="B56" s="145" t="s">
        <v>117</v>
      </c>
      <c r="C56" s="275" t="s">
        <v>118</v>
      </c>
      <c r="F56" s="201">
        <f t="shared" ref="F56:M56" si="24">RPIF</f>
        <v>1.163</v>
      </c>
      <c r="G56" s="201">
        <f t="shared" si="24"/>
        <v>1.2050000000000001</v>
      </c>
      <c r="H56" s="201">
        <f t="shared" si="24"/>
        <v>1.2270000000000001</v>
      </c>
      <c r="I56" s="201">
        <f t="shared" si="24"/>
        <v>1.2330000000000001</v>
      </c>
      <c r="J56" s="201">
        <f t="shared" si="24"/>
        <v>1.2709999999999999</v>
      </c>
      <c r="K56" s="201">
        <f t="shared" si="24"/>
        <v>1.228</v>
      </c>
      <c r="L56" s="201">
        <f t="shared" si="24"/>
        <v>1.2869999999999999</v>
      </c>
      <c r="M56" s="201">
        <f t="shared" si="24"/>
        <v>1.323</v>
      </c>
      <c r="N56" s="132" t="s">
        <v>117</v>
      </c>
    </row>
    <row r="57" spans="1:14">
      <c r="C57" s="275"/>
    </row>
    <row r="58" spans="1:14">
      <c r="A58" s="145" t="s">
        <v>238</v>
      </c>
      <c r="C58" s="275" t="s">
        <v>1</v>
      </c>
      <c r="F58" s="64">
        <f>F49*(F54*F50)*F56</f>
        <v>0</v>
      </c>
      <c r="G58" s="64">
        <f t="shared" ref="G58:M58" si="25">G49*(G54*G50)*G56</f>
        <v>0</v>
      </c>
      <c r="H58" s="64">
        <f t="shared" si="25"/>
        <v>0</v>
      </c>
      <c r="I58" s="64">
        <f t="shared" si="25"/>
        <v>0</v>
      </c>
      <c r="J58" s="64">
        <f t="shared" si="25"/>
        <v>16.671839184</v>
      </c>
      <c r="K58" s="64">
        <f t="shared" si="25"/>
        <v>15.281762495999997</v>
      </c>
      <c r="L58" s="64">
        <f t="shared" si="25"/>
        <v>15.150255119999999</v>
      </c>
      <c r="M58" s="64">
        <f t="shared" si="25"/>
        <v>14.684093424</v>
      </c>
    </row>
    <row r="59" spans="1:14">
      <c r="C59" s="272"/>
    </row>
    <row r="60" spans="1:14">
      <c r="A60" s="164" t="s">
        <v>504</v>
      </c>
      <c r="C60" s="272"/>
    </row>
    <row r="61" spans="1:14" ht="15.75" customHeight="1">
      <c r="C61" s="272"/>
    </row>
    <row r="62" spans="1:14">
      <c r="C62" s="272"/>
    </row>
    <row r="63" spans="1:14" ht="14.4">
      <c r="C63" s="272"/>
      <c r="F63" s="125">
        <v>2014</v>
      </c>
      <c r="G63" s="125">
        <v>2015</v>
      </c>
      <c r="H63" s="125">
        <v>2016</v>
      </c>
      <c r="I63" s="125">
        <v>2017</v>
      </c>
      <c r="J63" s="125">
        <v>2018</v>
      </c>
      <c r="K63" s="125">
        <v>2019</v>
      </c>
      <c r="L63" s="125">
        <v>2020</v>
      </c>
      <c r="M63" s="125">
        <v>2021</v>
      </c>
    </row>
    <row r="64" spans="1:14">
      <c r="A64" s="140" t="s">
        <v>249</v>
      </c>
      <c r="B64" s="145" t="s">
        <v>142</v>
      </c>
      <c r="C64" s="309" t="s">
        <v>1</v>
      </c>
      <c r="F64" s="147">
        <f t="shared" ref="F64:M64" si="26">Dep</f>
        <v>0</v>
      </c>
      <c r="G64" s="147">
        <f t="shared" si="26"/>
        <v>0</v>
      </c>
      <c r="H64" s="147">
        <f t="shared" si="26"/>
        <v>0</v>
      </c>
      <c r="I64" s="147">
        <f t="shared" si="26"/>
        <v>0</v>
      </c>
      <c r="J64" s="147">
        <f t="shared" si="26"/>
        <v>7.6440000000000001</v>
      </c>
      <c r="K64" s="147">
        <f t="shared" si="26"/>
        <v>7.6440000000000001</v>
      </c>
      <c r="L64" s="147">
        <f t="shared" si="26"/>
        <v>7.6440000000000001</v>
      </c>
      <c r="M64" s="147">
        <f t="shared" si="26"/>
        <v>7.6440000000000001</v>
      </c>
      <c r="N64" s="132" t="s">
        <v>142</v>
      </c>
    </row>
    <row r="65" spans="1:14">
      <c r="A65" s="145" t="s">
        <v>156</v>
      </c>
      <c r="B65" s="145" t="s">
        <v>157</v>
      </c>
      <c r="C65" s="272" t="s">
        <v>118</v>
      </c>
      <c r="F65" s="147">
        <f t="shared" ref="F65:M65" si="27">F54</f>
        <v>1</v>
      </c>
      <c r="G65" s="147">
        <f t="shared" si="27"/>
        <v>1</v>
      </c>
      <c r="H65" s="147">
        <f t="shared" si="27"/>
        <v>1</v>
      </c>
      <c r="I65" s="147">
        <f t="shared" si="27"/>
        <v>1</v>
      </c>
      <c r="J65" s="147">
        <f t="shared" si="27"/>
        <v>1</v>
      </c>
      <c r="K65" s="147">
        <f t="shared" si="27"/>
        <v>1</v>
      </c>
      <c r="L65" s="147">
        <f t="shared" si="27"/>
        <v>1</v>
      </c>
      <c r="M65" s="147">
        <f t="shared" si="27"/>
        <v>1</v>
      </c>
      <c r="N65" s="132" t="s">
        <v>157</v>
      </c>
    </row>
    <row r="66" spans="1:14">
      <c r="A66" s="145" t="s">
        <v>158</v>
      </c>
      <c r="B66" s="145" t="s">
        <v>117</v>
      </c>
      <c r="C66" s="272" t="s">
        <v>118</v>
      </c>
      <c r="F66" s="201">
        <f t="shared" ref="F66:M66" si="28">RPIF</f>
        <v>1.163</v>
      </c>
      <c r="G66" s="201">
        <f t="shared" si="28"/>
        <v>1.2050000000000001</v>
      </c>
      <c r="H66" s="201">
        <f t="shared" si="28"/>
        <v>1.2270000000000001</v>
      </c>
      <c r="I66" s="201">
        <f t="shared" si="28"/>
        <v>1.2330000000000001</v>
      </c>
      <c r="J66" s="201">
        <f t="shared" si="28"/>
        <v>1.2709999999999999</v>
      </c>
      <c r="K66" s="201">
        <f t="shared" si="28"/>
        <v>1.228</v>
      </c>
      <c r="L66" s="201">
        <f t="shared" si="28"/>
        <v>1.2869999999999999</v>
      </c>
      <c r="M66" s="201">
        <f t="shared" si="28"/>
        <v>1.323</v>
      </c>
      <c r="N66" s="132" t="s">
        <v>117</v>
      </c>
    </row>
    <row r="67" spans="1:14">
      <c r="A67" s="145" t="s">
        <v>189</v>
      </c>
      <c r="C67" s="272"/>
      <c r="F67" s="64">
        <f>F64*F65*F66</f>
        <v>0</v>
      </c>
      <c r="G67" s="64">
        <f t="shared" ref="G67:M67" si="29">G64*G65*G66</f>
        <v>0</v>
      </c>
      <c r="H67" s="64">
        <f t="shared" si="29"/>
        <v>0</v>
      </c>
      <c r="I67" s="64">
        <f t="shared" si="29"/>
        <v>0</v>
      </c>
      <c r="J67" s="64">
        <f t="shared" si="29"/>
        <v>9.7155240000000003</v>
      </c>
      <c r="K67" s="64">
        <f t="shared" si="29"/>
        <v>9.3868320000000001</v>
      </c>
      <c r="L67" s="64">
        <f t="shared" si="29"/>
        <v>9.837828</v>
      </c>
      <c r="M67" s="64">
        <f t="shared" si="29"/>
        <v>10.113011999999999</v>
      </c>
    </row>
    <row r="68" spans="1:14">
      <c r="C68" s="272"/>
    </row>
    <row r="69" spans="1:14">
      <c r="B69" s="145" t="s">
        <v>149</v>
      </c>
      <c r="C69" s="272" t="s">
        <v>1</v>
      </c>
      <c r="F69" s="64">
        <f>F58+F67</f>
        <v>0</v>
      </c>
      <c r="G69" s="64">
        <f t="shared" ref="G69:M69" si="30">G58+G67</f>
        <v>0</v>
      </c>
      <c r="H69" s="64">
        <f t="shared" si="30"/>
        <v>0</v>
      </c>
      <c r="I69" s="64">
        <f t="shared" si="30"/>
        <v>0</v>
      </c>
      <c r="J69" s="64">
        <f t="shared" si="30"/>
        <v>26.387363184000002</v>
      </c>
      <c r="K69" s="64">
        <f t="shared" si="30"/>
        <v>24.668594495999997</v>
      </c>
      <c r="L69" s="64">
        <f t="shared" si="30"/>
        <v>24.988083119999999</v>
      </c>
      <c r="M69" s="64">
        <f t="shared" si="30"/>
        <v>24.797105424000002</v>
      </c>
      <c r="N69" s="132" t="s">
        <v>149</v>
      </c>
    </row>
    <row r="70" spans="1:14">
      <c r="C70" s="272"/>
    </row>
    <row r="71" spans="1:14">
      <c r="C71" s="272"/>
    </row>
    <row r="72" spans="1:14">
      <c r="A72" s="145" t="s">
        <v>253</v>
      </c>
      <c r="B72" s="145" t="s">
        <v>147</v>
      </c>
      <c r="C72" s="272" t="s">
        <v>1</v>
      </c>
      <c r="F72" s="203">
        <f t="shared" ref="F72:M72" si="31">TIRGIncAdj</f>
        <v>0</v>
      </c>
      <c r="G72" s="203">
        <f t="shared" si="31"/>
        <v>0</v>
      </c>
      <c r="H72" s="203">
        <f t="shared" si="31"/>
        <v>0</v>
      </c>
      <c r="I72" s="203">
        <f t="shared" si="31"/>
        <v>0</v>
      </c>
      <c r="J72" s="203">
        <f t="shared" si="31"/>
        <v>0</v>
      </c>
      <c r="K72" s="203">
        <f t="shared" si="31"/>
        <v>0</v>
      </c>
      <c r="L72" s="203">
        <f t="shared" si="31"/>
        <v>0</v>
      </c>
      <c r="M72" s="203">
        <f t="shared" si="31"/>
        <v>0</v>
      </c>
      <c r="N72" s="132" t="s">
        <v>147</v>
      </c>
    </row>
    <row r="73" spans="1:14">
      <c r="A73" s="145" t="s">
        <v>242</v>
      </c>
      <c r="B73" s="145" t="s">
        <v>150</v>
      </c>
      <c r="C73" s="272" t="s">
        <v>1</v>
      </c>
      <c r="F73" s="203">
        <f t="shared" ref="F73:M73" si="32">ATIRG</f>
        <v>0</v>
      </c>
      <c r="G73" s="203">
        <f t="shared" si="32"/>
        <v>0</v>
      </c>
      <c r="H73" s="203">
        <f t="shared" si="32"/>
        <v>0</v>
      </c>
      <c r="I73" s="203">
        <f t="shared" si="32"/>
        <v>0</v>
      </c>
      <c r="J73" s="203">
        <f t="shared" si="32"/>
        <v>0</v>
      </c>
      <c r="K73" s="203">
        <f t="shared" si="32"/>
        <v>0</v>
      </c>
      <c r="L73" s="203">
        <f t="shared" si="32"/>
        <v>0</v>
      </c>
      <c r="M73" s="203">
        <f t="shared" si="32"/>
        <v>0</v>
      </c>
      <c r="N73" s="132" t="s">
        <v>150</v>
      </c>
    </row>
    <row r="74" spans="1:14">
      <c r="C74" s="272"/>
    </row>
    <row r="75" spans="1:14" ht="13.8">
      <c r="A75" s="157" t="s">
        <v>278</v>
      </c>
      <c r="C75" s="272"/>
    </row>
    <row r="76" spans="1:14">
      <c r="A76" s="210" t="s">
        <v>357</v>
      </c>
      <c r="C76" s="272"/>
    </row>
    <row r="77" spans="1:14" ht="13.8">
      <c r="A77" s="157" t="s">
        <v>279</v>
      </c>
      <c r="C77" s="272"/>
    </row>
    <row r="78" spans="1:14" ht="14.4">
      <c r="A78" s="164" t="s">
        <v>502</v>
      </c>
      <c r="C78" s="272"/>
      <c r="F78" s="125">
        <v>2014</v>
      </c>
      <c r="G78" s="125">
        <v>2015</v>
      </c>
      <c r="H78" s="125">
        <v>2016</v>
      </c>
      <c r="I78" s="125">
        <v>2017</v>
      </c>
      <c r="J78" s="125">
        <v>2018</v>
      </c>
      <c r="K78" s="125">
        <v>2019</v>
      </c>
      <c r="L78" s="125">
        <v>2020</v>
      </c>
      <c r="M78" s="125">
        <v>2021</v>
      </c>
    </row>
    <row r="79" spans="1:14">
      <c r="A79" s="140" t="s">
        <v>407</v>
      </c>
      <c r="B79" s="145" t="s">
        <v>151</v>
      </c>
      <c r="C79" s="272" t="s">
        <v>1</v>
      </c>
      <c r="F79" s="147">
        <f t="shared" ref="F79:M79" si="33">CFTIRG2</f>
        <v>0</v>
      </c>
      <c r="G79" s="147">
        <f t="shared" si="33"/>
        <v>0</v>
      </c>
      <c r="H79" s="147">
        <f t="shared" si="33"/>
        <v>0</v>
      </c>
      <c r="I79" s="147">
        <f t="shared" si="33"/>
        <v>0</v>
      </c>
      <c r="J79" s="147">
        <f t="shared" si="33"/>
        <v>0</v>
      </c>
      <c r="K79" s="147">
        <f t="shared" si="33"/>
        <v>0</v>
      </c>
      <c r="L79" s="147">
        <f t="shared" si="33"/>
        <v>0</v>
      </c>
      <c r="M79" s="147">
        <f t="shared" si="33"/>
        <v>0</v>
      </c>
    </row>
    <row r="80" spans="1:14">
      <c r="A80" s="145" t="s">
        <v>158</v>
      </c>
      <c r="B80" s="145" t="s">
        <v>117</v>
      </c>
      <c r="C80" s="272" t="s">
        <v>118</v>
      </c>
      <c r="F80" s="147">
        <f t="shared" ref="F80:M80" si="34">RPIF</f>
        <v>1.163</v>
      </c>
      <c r="G80" s="147">
        <f t="shared" si="34"/>
        <v>1.2050000000000001</v>
      </c>
      <c r="H80" s="147">
        <f t="shared" si="34"/>
        <v>1.2270000000000001</v>
      </c>
      <c r="I80" s="147">
        <f t="shared" si="34"/>
        <v>1.2330000000000001</v>
      </c>
      <c r="J80" s="147">
        <f t="shared" si="34"/>
        <v>1.2709999999999999</v>
      </c>
      <c r="K80" s="147">
        <f t="shared" si="34"/>
        <v>1.228</v>
      </c>
      <c r="L80" s="147">
        <f t="shared" si="34"/>
        <v>1.2869999999999999</v>
      </c>
      <c r="M80" s="147">
        <f t="shared" si="34"/>
        <v>1.323</v>
      </c>
    </row>
    <row r="81" spans="1:14">
      <c r="C81" s="272"/>
    </row>
    <row r="82" spans="1:14" ht="13.8">
      <c r="A82" s="129" t="s">
        <v>167</v>
      </c>
      <c r="B82" s="145" t="s">
        <v>146</v>
      </c>
      <c r="C82" s="272" t="s">
        <v>1</v>
      </c>
      <c r="F82" s="64">
        <f t="shared" ref="F82:M82" si="35">F79*F80</f>
        <v>0</v>
      </c>
      <c r="G82" s="64">
        <f t="shared" si="35"/>
        <v>0</v>
      </c>
      <c r="H82" s="64">
        <f t="shared" si="35"/>
        <v>0</v>
      </c>
      <c r="I82" s="64">
        <f t="shared" si="35"/>
        <v>0</v>
      </c>
      <c r="J82" s="64">
        <f t="shared" si="35"/>
        <v>0</v>
      </c>
      <c r="K82" s="64">
        <f t="shared" si="35"/>
        <v>0</v>
      </c>
      <c r="L82" s="64">
        <f t="shared" si="35"/>
        <v>0</v>
      </c>
      <c r="M82" s="64">
        <f t="shared" si="35"/>
        <v>0</v>
      </c>
    </row>
    <row r="83" spans="1:14" ht="13.8">
      <c r="A83" s="129"/>
      <c r="C83" s="272"/>
    </row>
    <row r="84" spans="1:14" ht="13.8">
      <c r="A84" s="129"/>
      <c r="C84" s="272"/>
    </row>
    <row r="85" spans="1:14" ht="13.8">
      <c r="A85" s="157" t="s">
        <v>280</v>
      </c>
      <c r="C85" s="272"/>
    </row>
    <row r="86" spans="1:14">
      <c r="A86" s="210" t="s">
        <v>357</v>
      </c>
      <c r="C86" s="272"/>
    </row>
    <row r="87" spans="1:14" ht="14.4">
      <c r="A87" s="164" t="s">
        <v>503</v>
      </c>
      <c r="C87" s="272"/>
      <c r="F87" s="125">
        <v>2014</v>
      </c>
      <c r="G87" s="125">
        <v>2015</v>
      </c>
      <c r="H87" s="125">
        <v>2016</v>
      </c>
      <c r="I87" s="125">
        <v>2017</v>
      </c>
      <c r="J87" s="125">
        <v>2018</v>
      </c>
      <c r="K87" s="125">
        <v>2019</v>
      </c>
      <c r="L87" s="125">
        <v>2020</v>
      </c>
      <c r="M87" s="125">
        <v>2021</v>
      </c>
    </row>
    <row r="88" spans="1:14">
      <c r="A88" s="145" t="s">
        <v>236</v>
      </c>
      <c r="B88" s="145" t="s">
        <v>143</v>
      </c>
      <c r="C88" s="272" t="s">
        <v>105</v>
      </c>
      <c r="F88" s="184">
        <f t="shared" ref="F88:M88" si="36">CCTIRG</f>
        <v>8.7999999999999995E-2</v>
      </c>
      <c r="G88" s="184">
        <f t="shared" si="36"/>
        <v>8.7999999999999995E-2</v>
      </c>
      <c r="H88" s="184">
        <f t="shared" si="36"/>
        <v>8.7999999999999995E-2</v>
      </c>
      <c r="I88" s="184">
        <f t="shared" si="36"/>
        <v>8.7999999999999995E-2</v>
      </c>
      <c r="J88" s="184">
        <f t="shared" si="36"/>
        <v>8.7999999999999995E-2</v>
      </c>
      <c r="K88" s="184">
        <f t="shared" si="36"/>
        <v>8.7999999999999995E-2</v>
      </c>
      <c r="L88" s="184">
        <f t="shared" si="36"/>
        <v>8.7999999999999995E-2</v>
      </c>
      <c r="M88" s="184">
        <f t="shared" si="36"/>
        <v>8.7999999999999995E-2</v>
      </c>
      <c r="N88" s="132" t="s">
        <v>143</v>
      </c>
    </row>
    <row r="89" spans="1:14">
      <c r="A89" s="140" t="s">
        <v>246</v>
      </c>
      <c r="B89" s="145" t="s">
        <v>139</v>
      </c>
      <c r="C89" s="272"/>
      <c r="F89" s="147">
        <f t="shared" ref="F89:M89" si="37">FTIRG2</f>
        <v>0</v>
      </c>
      <c r="G89" s="147">
        <f t="shared" si="37"/>
        <v>0</v>
      </c>
      <c r="H89" s="147">
        <f t="shared" si="37"/>
        <v>0</v>
      </c>
      <c r="I89" s="147">
        <f t="shared" si="37"/>
        <v>0</v>
      </c>
      <c r="J89" s="147">
        <f t="shared" si="37"/>
        <v>0</v>
      </c>
      <c r="K89" s="147">
        <f t="shared" si="37"/>
        <v>0</v>
      </c>
      <c r="L89" s="147">
        <f t="shared" si="37"/>
        <v>0</v>
      </c>
      <c r="M89" s="147">
        <f t="shared" si="37"/>
        <v>0</v>
      </c>
      <c r="N89" s="132" t="s">
        <v>378</v>
      </c>
    </row>
    <row r="90" spans="1:14">
      <c r="A90" s="145" t="s">
        <v>237</v>
      </c>
      <c r="B90" s="145" t="s">
        <v>152</v>
      </c>
      <c r="C90" s="272"/>
      <c r="F90" s="147">
        <f t="shared" ref="F90:M90" si="38">AFFTIRG2</f>
        <v>0</v>
      </c>
      <c r="G90" s="147">
        <f t="shared" si="38"/>
        <v>0</v>
      </c>
      <c r="H90" s="147">
        <f t="shared" si="38"/>
        <v>0</v>
      </c>
      <c r="I90" s="147">
        <f t="shared" si="38"/>
        <v>0</v>
      </c>
      <c r="J90" s="147">
        <f t="shared" si="38"/>
        <v>0</v>
      </c>
      <c r="K90" s="147">
        <f t="shared" si="38"/>
        <v>0</v>
      </c>
      <c r="L90" s="147">
        <f t="shared" si="38"/>
        <v>0</v>
      </c>
      <c r="M90" s="147">
        <f t="shared" si="38"/>
        <v>0</v>
      </c>
      <c r="N90" s="132" t="s">
        <v>344</v>
      </c>
    </row>
    <row r="91" spans="1:14">
      <c r="A91" s="145" t="s">
        <v>158</v>
      </c>
      <c r="B91" s="145" t="s">
        <v>117</v>
      </c>
      <c r="C91" s="272" t="s">
        <v>118</v>
      </c>
      <c r="F91" s="147">
        <f t="shared" ref="F91:M91" si="39">RPIF</f>
        <v>1.163</v>
      </c>
      <c r="G91" s="147">
        <f t="shared" si="39"/>
        <v>1.2050000000000001</v>
      </c>
      <c r="H91" s="147">
        <f t="shared" si="39"/>
        <v>1.2270000000000001</v>
      </c>
      <c r="I91" s="147">
        <f t="shared" si="39"/>
        <v>1.2330000000000001</v>
      </c>
      <c r="J91" s="147">
        <f t="shared" si="39"/>
        <v>1.2709999999999999</v>
      </c>
      <c r="K91" s="147">
        <f t="shared" si="39"/>
        <v>1.228</v>
      </c>
      <c r="L91" s="147">
        <f t="shared" si="39"/>
        <v>1.2869999999999999</v>
      </c>
      <c r="M91" s="147">
        <f t="shared" si="39"/>
        <v>1.323</v>
      </c>
      <c r="N91" s="132" t="s">
        <v>117</v>
      </c>
    </row>
    <row r="92" spans="1:14">
      <c r="B92" s="281" t="s">
        <v>165</v>
      </c>
      <c r="C92" s="272"/>
      <c r="F92" s="64">
        <f t="shared" ref="F92:M92" si="40">(F89+F90)*F88*F91</f>
        <v>0</v>
      </c>
      <c r="G92" s="64">
        <f t="shared" si="40"/>
        <v>0</v>
      </c>
      <c r="H92" s="64">
        <f t="shared" si="40"/>
        <v>0</v>
      </c>
      <c r="I92" s="64">
        <f t="shared" si="40"/>
        <v>0</v>
      </c>
      <c r="J92" s="64">
        <f t="shared" si="40"/>
        <v>0</v>
      </c>
      <c r="K92" s="64">
        <f t="shared" si="40"/>
        <v>0</v>
      </c>
      <c r="L92" s="64">
        <f t="shared" si="40"/>
        <v>0</v>
      </c>
      <c r="M92" s="64">
        <f t="shared" si="40"/>
        <v>0</v>
      </c>
    </row>
    <row r="93" spans="1:14" ht="13.8">
      <c r="B93" s="129"/>
      <c r="C93" s="272"/>
    </row>
    <row r="94" spans="1:14">
      <c r="A94" s="140" t="s">
        <v>247</v>
      </c>
      <c r="B94" s="145" t="s">
        <v>153</v>
      </c>
      <c r="C94" s="272"/>
      <c r="F94" s="147">
        <f>FTIRGDepn2</f>
        <v>0</v>
      </c>
      <c r="G94" s="147">
        <f t="shared" ref="G94:M94" si="41">FTIRGDepn2</f>
        <v>0</v>
      </c>
      <c r="H94" s="147">
        <f t="shared" si="41"/>
        <v>0</v>
      </c>
      <c r="I94" s="147">
        <f t="shared" si="41"/>
        <v>0</v>
      </c>
      <c r="J94" s="147">
        <f t="shared" si="41"/>
        <v>0</v>
      </c>
      <c r="K94" s="147">
        <f t="shared" si="41"/>
        <v>0</v>
      </c>
      <c r="L94" s="147">
        <f t="shared" si="41"/>
        <v>0</v>
      </c>
      <c r="M94" s="147">
        <f t="shared" si="41"/>
        <v>0</v>
      </c>
      <c r="N94" s="132" t="s">
        <v>377</v>
      </c>
    </row>
    <row r="95" spans="1:14">
      <c r="A95" s="145" t="s">
        <v>240</v>
      </c>
      <c r="B95" s="145" t="s">
        <v>154</v>
      </c>
      <c r="C95" s="272"/>
      <c r="F95" s="147">
        <f t="shared" ref="F95:M95" si="42">AFFTIRGDepn2</f>
        <v>0</v>
      </c>
      <c r="G95" s="147">
        <f t="shared" si="42"/>
        <v>0</v>
      </c>
      <c r="H95" s="147">
        <f t="shared" si="42"/>
        <v>0</v>
      </c>
      <c r="I95" s="147">
        <f t="shared" si="42"/>
        <v>0</v>
      </c>
      <c r="J95" s="147">
        <f t="shared" si="42"/>
        <v>0</v>
      </c>
      <c r="K95" s="147">
        <f t="shared" si="42"/>
        <v>0</v>
      </c>
      <c r="L95" s="147">
        <f t="shared" si="42"/>
        <v>0</v>
      </c>
      <c r="M95" s="147">
        <f t="shared" si="42"/>
        <v>0</v>
      </c>
      <c r="N95" s="132" t="s">
        <v>345</v>
      </c>
    </row>
    <row r="96" spans="1:14">
      <c r="A96" s="145" t="s">
        <v>158</v>
      </c>
      <c r="B96" s="145" t="s">
        <v>117</v>
      </c>
      <c r="C96" s="272" t="s">
        <v>118</v>
      </c>
      <c r="F96" s="201">
        <f t="shared" ref="F96:M96" si="43">RPIF</f>
        <v>1.163</v>
      </c>
      <c r="G96" s="201">
        <f t="shared" si="43"/>
        <v>1.2050000000000001</v>
      </c>
      <c r="H96" s="201">
        <f t="shared" si="43"/>
        <v>1.2270000000000001</v>
      </c>
      <c r="I96" s="201">
        <f t="shared" si="43"/>
        <v>1.2330000000000001</v>
      </c>
      <c r="J96" s="201">
        <f t="shared" si="43"/>
        <v>1.2709999999999999</v>
      </c>
      <c r="K96" s="201">
        <f t="shared" si="43"/>
        <v>1.228</v>
      </c>
      <c r="L96" s="201">
        <f t="shared" si="43"/>
        <v>1.2869999999999999</v>
      </c>
      <c r="M96" s="201">
        <f t="shared" si="43"/>
        <v>1.323</v>
      </c>
      <c r="N96" s="132" t="s">
        <v>117</v>
      </c>
    </row>
    <row r="97" spans="1:14">
      <c r="B97" s="281" t="s">
        <v>166</v>
      </c>
      <c r="C97" s="272"/>
      <c r="F97" s="64">
        <f t="shared" ref="F97:M97" si="44">(F94+F95)*F96</f>
        <v>0</v>
      </c>
      <c r="G97" s="64">
        <f t="shared" si="44"/>
        <v>0</v>
      </c>
      <c r="H97" s="64">
        <f t="shared" si="44"/>
        <v>0</v>
      </c>
      <c r="I97" s="64">
        <f t="shared" si="44"/>
        <v>0</v>
      </c>
      <c r="J97" s="64">
        <f t="shared" si="44"/>
        <v>0</v>
      </c>
      <c r="K97" s="64">
        <f t="shared" si="44"/>
        <v>0</v>
      </c>
      <c r="L97" s="64">
        <f t="shared" si="44"/>
        <v>0</v>
      </c>
      <c r="M97" s="64">
        <f t="shared" si="44"/>
        <v>0</v>
      </c>
    </row>
    <row r="98" spans="1:14">
      <c r="C98" s="272"/>
    </row>
    <row r="99" spans="1:14">
      <c r="B99" s="145" t="s">
        <v>148</v>
      </c>
      <c r="C99" s="272" t="s">
        <v>1</v>
      </c>
      <c r="F99" s="64">
        <f t="shared" ref="F99:M99" si="45">F92+F97</f>
        <v>0</v>
      </c>
      <c r="G99" s="64">
        <f t="shared" si="45"/>
        <v>0</v>
      </c>
      <c r="H99" s="64">
        <f t="shared" si="45"/>
        <v>0</v>
      </c>
      <c r="I99" s="64">
        <f t="shared" si="45"/>
        <v>0</v>
      </c>
      <c r="J99" s="64">
        <f t="shared" si="45"/>
        <v>0</v>
      </c>
      <c r="K99" s="64">
        <f t="shared" si="45"/>
        <v>0</v>
      </c>
      <c r="L99" s="64">
        <f t="shared" si="45"/>
        <v>0</v>
      </c>
      <c r="M99" s="64">
        <f t="shared" si="45"/>
        <v>0</v>
      </c>
      <c r="N99" s="132" t="s">
        <v>148</v>
      </c>
    </row>
    <row r="100" spans="1:14" ht="13.8">
      <c r="A100" s="129"/>
      <c r="C100" s="272"/>
    </row>
    <row r="101" spans="1:14" ht="13.8">
      <c r="A101" s="129"/>
      <c r="C101" s="272"/>
    </row>
    <row r="102" spans="1:14" ht="13.8">
      <c r="A102" s="157" t="s">
        <v>281</v>
      </c>
      <c r="C102" s="272"/>
    </row>
    <row r="103" spans="1:14">
      <c r="A103" s="210" t="s">
        <v>357</v>
      </c>
      <c r="C103" s="272"/>
    </row>
    <row r="104" spans="1:14">
      <c r="A104" s="164" t="s">
        <v>504</v>
      </c>
      <c r="C104" s="272"/>
    </row>
    <row r="105" spans="1:14" ht="14.4">
      <c r="A105" s="129"/>
      <c r="C105" s="272"/>
      <c r="F105" s="125">
        <v>2014</v>
      </c>
      <c r="G105" s="125">
        <v>2015</v>
      </c>
      <c r="H105" s="125">
        <v>2016</v>
      </c>
      <c r="I105" s="125">
        <v>2017</v>
      </c>
      <c r="J105" s="125">
        <v>2018</v>
      </c>
      <c r="K105" s="125">
        <v>2019</v>
      </c>
      <c r="L105" s="125">
        <v>2020</v>
      </c>
      <c r="M105" s="125">
        <v>2021</v>
      </c>
    </row>
    <row r="106" spans="1:14">
      <c r="A106" s="145" t="s">
        <v>236</v>
      </c>
      <c r="B106" s="145" t="s">
        <v>143</v>
      </c>
      <c r="C106" s="275" t="s">
        <v>105</v>
      </c>
      <c r="F106" s="184">
        <f t="shared" ref="F106:M106" si="46">CCTIRG</f>
        <v>8.7999999999999995E-2</v>
      </c>
      <c r="G106" s="184">
        <f t="shared" si="46"/>
        <v>8.7999999999999995E-2</v>
      </c>
      <c r="H106" s="184">
        <f t="shared" si="46"/>
        <v>8.7999999999999995E-2</v>
      </c>
      <c r="I106" s="184">
        <f t="shared" si="46"/>
        <v>8.7999999999999995E-2</v>
      </c>
      <c r="J106" s="184">
        <f t="shared" si="46"/>
        <v>8.7999999999999995E-2</v>
      </c>
      <c r="K106" s="184">
        <f t="shared" si="46"/>
        <v>8.7999999999999995E-2</v>
      </c>
      <c r="L106" s="184">
        <f t="shared" si="46"/>
        <v>8.7999999999999995E-2</v>
      </c>
      <c r="M106" s="184">
        <f t="shared" si="46"/>
        <v>8.7999999999999995E-2</v>
      </c>
      <c r="N106" s="132" t="s">
        <v>143</v>
      </c>
    </row>
    <row r="107" spans="1:14">
      <c r="A107" s="140" t="s">
        <v>250</v>
      </c>
      <c r="B107" s="145" t="s">
        <v>145</v>
      </c>
      <c r="C107" s="309" t="s">
        <v>1</v>
      </c>
      <c r="F107" s="147">
        <f t="shared" ref="F107:M107" si="47">ETIRGC2</f>
        <v>10.019</v>
      </c>
      <c r="G107" s="147">
        <f t="shared" si="47"/>
        <v>9.4469999999999992</v>
      </c>
      <c r="H107" s="147">
        <f t="shared" si="47"/>
        <v>8.8740000000000006</v>
      </c>
      <c r="I107" s="147">
        <f t="shared" si="47"/>
        <v>0</v>
      </c>
      <c r="J107" s="147">
        <f t="shared" si="47"/>
        <v>0</v>
      </c>
      <c r="K107" s="147">
        <f t="shared" si="47"/>
        <v>0</v>
      </c>
      <c r="L107" s="147">
        <f t="shared" si="47"/>
        <v>0</v>
      </c>
      <c r="M107" s="147">
        <f t="shared" si="47"/>
        <v>0</v>
      </c>
      <c r="N107" s="132" t="s">
        <v>374</v>
      </c>
    </row>
    <row r="108" spans="1:14">
      <c r="C108" s="275"/>
    </row>
    <row r="109" spans="1:14">
      <c r="A109" s="145" t="s">
        <v>243</v>
      </c>
      <c r="B109" s="145" t="s">
        <v>155</v>
      </c>
      <c r="C109" s="309" t="s">
        <v>1</v>
      </c>
      <c r="F109" s="147">
        <f t="shared" ref="F109:M109" si="48">SAFTIRG2</f>
        <v>0</v>
      </c>
      <c r="G109" s="147">
        <f t="shared" si="48"/>
        <v>0</v>
      </c>
      <c r="H109" s="147">
        <f t="shared" si="48"/>
        <v>0</v>
      </c>
      <c r="I109" s="147">
        <f t="shared" si="48"/>
        <v>0</v>
      </c>
      <c r="J109" s="147">
        <f t="shared" si="48"/>
        <v>0</v>
      </c>
      <c r="K109" s="147">
        <f t="shared" si="48"/>
        <v>0</v>
      </c>
      <c r="L109" s="147">
        <f t="shared" si="48"/>
        <v>0</v>
      </c>
      <c r="M109" s="147">
        <f t="shared" si="48"/>
        <v>0</v>
      </c>
      <c r="N109" s="132" t="s">
        <v>271</v>
      </c>
    </row>
    <row r="110" spans="1:14">
      <c r="A110" s="140" t="s">
        <v>248</v>
      </c>
      <c r="B110" s="145" t="s">
        <v>141</v>
      </c>
      <c r="C110" s="309" t="s">
        <v>1</v>
      </c>
      <c r="F110" s="147">
        <f t="shared" ref="F110:M110" si="49">ETIRGORAV2</f>
        <v>0</v>
      </c>
      <c r="G110" s="147">
        <f t="shared" si="49"/>
        <v>0</v>
      </c>
      <c r="H110" s="147">
        <f t="shared" si="49"/>
        <v>0</v>
      </c>
      <c r="I110" s="147">
        <f t="shared" si="49"/>
        <v>0</v>
      </c>
      <c r="J110" s="147">
        <f t="shared" si="49"/>
        <v>0</v>
      </c>
      <c r="K110" s="147">
        <f t="shared" si="49"/>
        <v>0</v>
      </c>
      <c r="L110" s="147">
        <f t="shared" si="49"/>
        <v>0</v>
      </c>
      <c r="M110" s="147">
        <f t="shared" si="49"/>
        <v>0</v>
      </c>
      <c r="N110" s="132" t="s">
        <v>380</v>
      </c>
    </row>
    <row r="111" spans="1:14">
      <c r="A111" s="145" t="s">
        <v>156</v>
      </c>
      <c r="B111" s="145" t="s">
        <v>157</v>
      </c>
      <c r="C111" s="275" t="s">
        <v>118</v>
      </c>
      <c r="F111" s="64">
        <f>IF(F109&gt;0,F109/F110,1)</f>
        <v>1</v>
      </c>
      <c r="G111" s="64">
        <f t="shared" ref="G111:M111" si="50">IF(G109&gt;0,G109/G110,1)</f>
        <v>1</v>
      </c>
      <c r="H111" s="64">
        <f t="shared" si="50"/>
        <v>1</v>
      </c>
      <c r="I111" s="64">
        <f t="shared" si="50"/>
        <v>1</v>
      </c>
      <c r="J111" s="64">
        <f t="shared" si="50"/>
        <v>1</v>
      </c>
      <c r="K111" s="64">
        <f t="shared" si="50"/>
        <v>1</v>
      </c>
      <c r="L111" s="64">
        <f t="shared" si="50"/>
        <v>1</v>
      </c>
      <c r="M111" s="64">
        <f t="shared" si="50"/>
        <v>1</v>
      </c>
      <c r="N111" s="132" t="s">
        <v>381</v>
      </c>
    </row>
    <row r="112" spans="1:14">
      <c r="C112" s="275"/>
    </row>
    <row r="113" spans="1:14">
      <c r="A113" s="145" t="s">
        <v>158</v>
      </c>
      <c r="B113" s="145" t="s">
        <v>117</v>
      </c>
      <c r="C113" s="275" t="s">
        <v>118</v>
      </c>
      <c r="F113" s="201">
        <f t="shared" ref="F113:M113" si="51">RPIF</f>
        <v>1.163</v>
      </c>
      <c r="G113" s="201">
        <f t="shared" si="51"/>
        <v>1.2050000000000001</v>
      </c>
      <c r="H113" s="201">
        <f t="shared" si="51"/>
        <v>1.2270000000000001</v>
      </c>
      <c r="I113" s="201">
        <f t="shared" si="51"/>
        <v>1.2330000000000001</v>
      </c>
      <c r="J113" s="201">
        <f t="shared" si="51"/>
        <v>1.2709999999999999</v>
      </c>
      <c r="K113" s="201">
        <f t="shared" si="51"/>
        <v>1.228</v>
      </c>
      <c r="L113" s="201">
        <f t="shared" si="51"/>
        <v>1.2869999999999999</v>
      </c>
      <c r="M113" s="201">
        <f t="shared" si="51"/>
        <v>1.323</v>
      </c>
      <c r="N113" s="132" t="s">
        <v>117</v>
      </c>
    </row>
    <row r="114" spans="1:14">
      <c r="C114" s="275"/>
    </row>
    <row r="115" spans="1:14">
      <c r="A115" s="145" t="s">
        <v>238</v>
      </c>
      <c r="C115" s="275" t="s">
        <v>1</v>
      </c>
      <c r="F115" s="64">
        <f>F106*(F111*F107)*F113</f>
        <v>1.025384536</v>
      </c>
      <c r="G115" s="64">
        <f t="shared" ref="G115:M115" si="52">G106*(G111*G107)*G113</f>
        <v>1.0017598799999998</v>
      </c>
      <c r="H115" s="64">
        <f t="shared" si="52"/>
        <v>0.9581790240000001</v>
      </c>
      <c r="I115" s="64">
        <f t="shared" si="52"/>
        <v>0</v>
      </c>
      <c r="J115" s="64">
        <f t="shared" si="52"/>
        <v>0</v>
      </c>
      <c r="K115" s="64">
        <f t="shared" si="52"/>
        <v>0</v>
      </c>
      <c r="L115" s="64">
        <f t="shared" si="52"/>
        <v>0</v>
      </c>
      <c r="M115" s="64">
        <f t="shared" si="52"/>
        <v>0</v>
      </c>
    </row>
    <row r="116" spans="1:14">
      <c r="C116" s="272"/>
    </row>
    <row r="117" spans="1:14">
      <c r="A117" s="164" t="s">
        <v>504</v>
      </c>
      <c r="C117" s="272"/>
    </row>
    <row r="118" spans="1:14">
      <c r="C118" s="272"/>
    </row>
    <row r="119" spans="1:14">
      <c r="C119" s="272"/>
    </row>
    <row r="120" spans="1:14" ht="14.4">
      <c r="C120" s="272"/>
      <c r="F120" s="125">
        <v>2014</v>
      </c>
      <c r="G120" s="125">
        <v>2015</v>
      </c>
      <c r="H120" s="125">
        <v>2016</v>
      </c>
      <c r="I120" s="125">
        <v>2017</v>
      </c>
      <c r="J120" s="125">
        <v>2018</v>
      </c>
      <c r="K120" s="125">
        <v>2019</v>
      </c>
      <c r="L120" s="125">
        <v>2020</v>
      </c>
      <c r="M120" s="125">
        <v>2021</v>
      </c>
    </row>
    <row r="121" spans="1:14">
      <c r="A121" s="140" t="s">
        <v>249</v>
      </c>
      <c r="B121" s="145" t="s">
        <v>142</v>
      </c>
      <c r="C121" s="272" t="s">
        <v>1</v>
      </c>
      <c r="F121" s="147">
        <f>'R4 Licence Condition Values'!F90</f>
        <v>0.57199999999999995</v>
      </c>
      <c r="G121" s="147">
        <f>'R4 Licence Condition Values'!G90</f>
        <v>0.57199999999999995</v>
      </c>
      <c r="H121" s="147">
        <f>'R4 Licence Condition Values'!H90</f>
        <v>0.57199999999999995</v>
      </c>
      <c r="I121" s="147">
        <f>'R4 Licence Condition Values'!I90</f>
        <v>0</v>
      </c>
      <c r="J121" s="147">
        <f>'R4 Licence Condition Values'!J90</f>
        <v>0</v>
      </c>
      <c r="K121" s="147">
        <f>'R4 Licence Condition Values'!K90</f>
        <v>0</v>
      </c>
      <c r="L121" s="147">
        <f>'R4 Licence Condition Values'!L90</f>
        <v>0</v>
      </c>
      <c r="M121" s="147">
        <f>'R4 Licence Condition Values'!M90</f>
        <v>0</v>
      </c>
      <c r="N121" s="132" t="s">
        <v>373</v>
      </c>
    </row>
    <row r="122" spans="1:14">
      <c r="A122" s="145" t="s">
        <v>156</v>
      </c>
      <c r="B122" s="145" t="s">
        <v>157</v>
      </c>
      <c r="C122" s="272" t="s">
        <v>118</v>
      </c>
      <c r="F122" s="147">
        <f t="shared" ref="F122:M122" si="53">F111</f>
        <v>1</v>
      </c>
      <c r="G122" s="147">
        <f t="shared" si="53"/>
        <v>1</v>
      </c>
      <c r="H122" s="147">
        <f t="shared" si="53"/>
        <v>1</v>
      </c>
      <c r="I122" s="147">
        <f t="shared" si="53"/>
        <v>1</v>
      </c>
      <c r="J122" s="147">
        <f t="shared" si="53"/>
        <v>1</v>
      </c>
      <c r="K122" s="147">
        <f t="shared" si="53"/>
        <v>1</v>
      </c>
      <c r="L122" s="147">
        <f t="shared" si="53"/>
        <v>1</v>
      </c>
      <c r="M122" s="147">
        <f t="shared" si="53"/>
        <v>1</v>
      </c>
      <c r="N122" s="132" t="s">
        <v>381</v>
      </c>
    </row>
    <row r="123" spans="1:14">
      <c r="A123" s="145" t="s">
        <v>158</v>
      </c>
      <c r="B123" s="145" t="s">
        <v>117</v>
      </c>
      <c r="C123" s="272" t="s">
        <v>118</v>
      </c>
      <c r="F123" s="201">
        <f t="shared" ref="F123:M123" si="54">RPIF</f>
        <v>1.163</v>
      </c>
      <c r="G123" s="201">
        <f t="shared" si="54"/>
        <v>1.2050000000000001</v>
      </c>
      <c r="H123" s="201">
        <f t="shared" si="54"/>
        <v>1.2270000000000001</v>
      </c>
      <c r="I123" s="201">
        <f t="shared" si="54"/>
        <v>1.2330000000000001</v>
      </c>
      <c r="J123" s="201">
        <f t="shared" si="54"/>
        <v>1.2709999999999999</v>
      </c>
      <c r="K123" s="201">
        <f t="shared" si="54"/>
        <v>1.228</v>
      </c>
      <c r="L123" s="201">
        <f t="shared" si="54"/>
        <v>1.2869999999999999</v>
      </c>
      <c r="M123" s="201">
        <f t="shared" si="54"/>
        <v>1.323</v>
      </c>
      <c r="N123" s="132" t="s">
        <v>117</v>
      </c>
    </row>
    <row r="124" spans="1:14">
      <c r="A124" s="145" t="s">
        <v>189</v>
      </c>
      <c r="C124" s="272"/>
      <c r="F124" s="64">
        <f t="shared" ref="F124:M124" si="55">F121*F122*F123</f>
        <v>0.66523599999999994</v>
      </c>
      <c r="G124" s="64">
        <f t="shared" si="55"/>
        <v>0.68925999999999998</v>
      </c>
      <c r="H124" s="64">
        <f t="shared" si="55"/>
        <v>0.70184400000000002</v>
      </c>
      <c r="I124" s="64">
        <f t="shared" si="55"/>
        <v>0</v>
      </c>
      <c r="J124" s="64">
        <f t="shared" si="55"/>
        <v>0</v>
      </c>
      <c r="K124" s="64">
        <f t="shared" si="55"/>
        <v>0</v>
      </c>
      <c r="L124" s="64">
        <f t="shared" si="55"/>
        <v>0</v>
      </c>
      <c r="M124" s="64">
        <f t="shared" si="55"/>
        <v>0</v>
      </c>
    </row>
    <row r="125" spans="1:14">
      <c r="C125" s="272"/>
    </row>
    <row r="126" spans="1:14">
      <c r="B126" s="145" t="s">
        <v>149</v>
      </c>
      <c r="C126" s="272" t="s">
        <v>1</v>
      </c>
      <c r="F126" s="64">
        <f t="shared" ref="F126:M126" si="56">F115+F124</f>
        <v>1.690620536</v>
      </c>
      <c r="G126" s="64">
        <f t="shared" si="56"/>
        <v>1.6910198799999998</v>
      </c>
      <c r="H126" s="64">
        <f t="shared" si="56"/>
        <v>1.660023024</v>
      </c>
      <c r="I126" s="64">
        <f t="shared" si="56"/>
        <v>0</v>
      </c>
      <c r="J126" s="64">
        <f t="shared" si="56"/>
        <v>0</v>
      </c>
      <c r="K126" s="64">
        <f t="shared" si="56"/>
        <v>0</v>
      </c>
      <c r="L126" s="64">
        <f t="shared" si="56"/>
        <v>0</v>
      </c>
      <c r="M126" s="64">
        <f t="shared" si="56"/>
        <v>0</v>
      </c>
      <c r="N126" s="132" t="s">
        <v>382</v>
      </c>
    </row>
    <row r="127" spans="1:14" s="123" customFormat="1">
      <c r="A127" s="204"/>
      <c r="B127" s="204"/>
      <c r="C127" s="272"/>
      <c r="F127" s="205"/>
      <c r="G127" s="205"/>
      <c r="H127" s="205"/>
      <c r="I127" s="205"/>
      <c r="J127" s="205"/>
      <c r="K127" s="205"/>
      <c r="L127" s="205"/>
      <c r="M127" s="205"/>
      <c r="N127" s="206"/>
    </row>
    <row r="128" spans="1:14" s="123" customFormat="1">
      <c r="A128" s="204"/>
      <c r="B128" s="204"/>
      <c r="C128" s="272"/>
      <c r="F128" s="205"/>
      <c r="G128" s="205"/>
      <c r="H128" s="205"/>
      <c r="I128" s="205"/>
      <c r="J128" s="205"/>
      <c r="K128" s="205"/>
      <c r="L128" s="205"/>
      <c r="M128" s="205"/>
      <c r="N128" s="206"/>
    </row>
    <row r="129" spans="1:14" s="123" customFormat="1">
      <c r="A129" s="145" t="s">
        <v>253</v>
      </c>
      <c r="B129" s="145" t="s">
        <v>147</v>
      </c>
      <c r="C129" s="272" t="s">
        <v>1</v>
      </c>
      <c r="F129" s="203">
        <f t="shared" ref="F129:M129" si="57">TIRGIncAdj2</f>
        <v>0</v>
      </c>
      <c r="G129" s="203">
        <f t="shared" si="57"/>
        <v>0</v>
      </c>
      <c r="H129" s="203">
        <f t="shared" si="57"/>
        <v>0</v>
      </c>
      <c r="I129" s="203">
        <f t="shared" si="57"/>
        <v>0</v>
      </c>
      <c r="J129" s="203">
        <f t="shared" si="57"/>
        <v>0</v>
      </c>
      <c r="K129" s="203">
        <f t="shared" si="57"/>
        <v>0</v>
      </c>
      <c r="L129" s="203">
        <f t="shared" si="57"/>
        <v>0</v>
      </c>
      <c r="M129" s="203">
        <f t="shared" si="57"/>
        <v>0</v>
      </c>
      <c r="N129" s="132" t="s">
        <v>346</v>
      </c>
    </row>
    <row r="130" spans="1:14" s="123" customFormat="1">
      <c r="A130" s="145" t="s">
        <v>242</v>
      </c>
      <c r="B130" s="145" t="s">
        <v>150</v>
      </c>
      <c r="C130" s="272" t="s">
        <v>1</v>
      </c>
      <c r="F130" s="203">
        <f t="shared" ref="F130:M130" si="58">ATIRG2</f>
        <v>0</v>
      </c>
      <c r="G130" s="203">
        <f t="shared" si="58"/>
        <v>0</v>
      </c>
      <c r="H130" s="203">
        <f t="shared" si="58"/>
        <v>0</v>
      </c>
      <c r="I130" s="203">
        <f t="shared" si="58"/>
        <v>0</v>
      </c>
      <c r="J130" s="203">
        <f t="shared" si="58"/>
        <v>0</v>
      </c>
      <c r="K130" s="203">
        <f t="shared" si="58"/>
        <v>0</v>
      </c>
      <c r="L130" s="203">
        <f t="shared" si="58"/>
        <v>0</v>
      </c>
      <c r="M130" s="203">
        <f t="shared" si="58"/>
        <v>0</v>
      </c>
      <c r="N130" s="132" t="s">
        <v>347</v>
      </c>
    </row>
    <row r="131" spans="1:14" s="123" customFormat="1">
      <c r="A131" s="204"/>
      <c r="B131" s="204"/>
      <c r="C131" s="276"/>
      <c r="F131" s="205"/>
      <c r="G131" s="205"/>
      <c r="H131" s="205"/>
      <c r="I131" s="205"/>
      <c r="J131" s="205"/>
      <c r="K131" s="205"/>
      <c r="L131" s="205"/>
      <c r="M131" s="205"/>
      <c r="N131" s="206"/>
    </row>
    <row r="132" spans="1:14">
      <c r="C132" s="272"/>
    </row>
    <row r="133" spans="1:14" ht="13.8">
      <c r="A133" s="157" t="s">
        <v>282</v>
      </c>
      <c r="C133" s="272"/>
    </row>
    <row r="134" spans="1:14" ht="13.8">
      <c r="A134" s="209" t="s">
        <v>367</v>
      </c>
      <c r="C134" s="272"/>
    </row>
    <row r="135" spans="1:14" ht="13.8">
      <c r="A135" s="157" t="s">
        <v>283</v>
      </c>
      <c r="C135" s="272"/>
    </row>
    <row r="136" spans="1:14" ht="13.8">
      <c r="A136" s="157" t="s">
        <v>502</v>
      </c>
      <c r="C136" s="272"/>
    </row>
    <row r="137" spans="1:14" ht="14.4">
      <c r="A137" s="129"/>
      <c r="C137" s="272"/>
      <c r="F137" s="125">
        <v>2014</v>
      </c>
      <c r="G137" s="125">
        <v>2015</v>
      </c>
      <c r="H137" s="125">
        <v>2016</v>
      </c>
      <c r="I137" s="125">
        <v>2017</v>
      </c>
      <c r="J137" s="125">
        <v>2018</v>
      </c>
      <c r="K137" s="125">
        <v>2019</v>
      </c>
      <c r="L137" s="125">
        <v>2020</v>
      </c>
      <c r="M137" s="125">
        <v>2021</v>
      </c>
    </row>
    <row r="138" spans="1:14">
      <c r="A138" s="140" t="s">
        <v>407</v>
      </c>
      <c r="B138" s="145" t="s">
        <v>151</v>
      </c>
      <c r="C138" s="272" t="s">
        <v>1</v>
      </c>
      <c r="F138" s="147">
        <f t="shared" ref="F138:M138" si="59">CFTIRG3</f>
        <v>0</v>
      </c>
      <c r="G138" s="147">
        <f t="shared" si="59"/>
        <v>0</v>
      </c>
      <c r="H138" s="147">
        <f t="shared" si="59"/>
        <v>0</v>
      </c>
      <c r="I138" s="147">
        <f t="shared" si="59"/>
        <v>0</v>
      </c>
      <c r="J138" s="147">
        <f t="shared" si="59"/>
        <v>0</v>
      </c>
      <c r="K138" s="147">
        <f t="shared" si="59"/>
        <v>0</v>
      </c>
      <c r="L138" s="147">
        <f t="shared" si="59"/>
        <v>0</v>
      </c>
      <c r="M138" s="147">
        <f t="shared" si="59"/>
        <v>0</v>
      </c>
      <c r="N138" s="132" t="s">
        <v>409</v>
      </c>
    </row>
    <row r="139" spans="1:14">
      <c r="A139" s="145" t="s">
        <v>158</v>
      </c>
      <c r="B139" s="145" t="s">
        <v>117</v>
      </c>
      <c r="C139" s="272" t="s">
        <v>118</v>
      </c>
      <c r="F139" s="147">
        <f t="shared" ref="F139:M139" si="60">RPIF</f>
        <v>1.163</v>
      </c>
      <c r="G139" s="147">
        <f t="shared" si="60"/>
        <v>1.2050000000000001</v>
      </c>
      <c r="H139" s="147">
        <f t="shared" si="60"/>
        <v>1.2270000000000001</v>
      </c>
      <c r="I139" s="147">
        <f t="shared" si="60"/>
        <v>1.2330000000000001</v>
      </c>
      <c r="J139" s="147">
        <f t="shared" si="60"/>
        <v>1.2709999999999999</v>
      </c>
      <c r="K139" s="147">
        <f t="shared" si="60"/>
        <v>1.228</v>
      </c>
      <c r="L139" s="147">
        <f t="shared" si="60"/>
        <v>1.2869999999999999</v>
      </c>
      <c r="M139" s="147">
        <f t="shared" si="60"/>
        <v>1.323</v>
      </c>
      <c r="N139" s="132" t="s">
        <v>117</v>
      </c>
    </row>
    <row r="140" spans="1:14">
      <c r="C140" s="272"/>
    </row>
    <row r="141" spans="1:14" ht="13.8">
      <c r="A141" s="129" t="s">
        <v>167</v>
      </c>
      <c r="B141" s="145" t="s">
        <v>146</v>
      </c>
      <c r="C141" s="272" t="s">
        <v>1</v>
      </c>
      <c r="F141" s="64">
        <f t="shared" ref="F141:M141" si="61">F138*F139</f>
        <v>0</v>
      </c>
      <c r="G141" s="64">
        <f t="shared" si="61"/>
        <v>0</v>
      </c>
      <c r="H141" s="64">
        <f t="shared" si="61"/>
        <v>0</v>
      </c>
      <c r="I141" s="64">
        <f t="shared" si="61"/>
        <v>0</v>
      </c>
      <c r="J141" s="64">
        <f t="shared" si="61"/>
        <v>0</v>
      </c>
      <c r="K141" s="64">
        <f t="shared" si="61"/>
        <v>0</v>
      </c>
      <c r="L141" s="64">
        <f t="shared" si="61"/>
        <v>0</v>
      </c>
      <c r="M141" s="64">
        <f t="shared" si="61"/>
        <v>0</v>
      </c>
      <c r="N141" s="132" t="s">
        <v>146</v>
      </c>
    </row>
    <row r="142" spans="1:14" ht="13.8">
      <c r="A142" s="129"/>
      <c r="C142" s="272"/>
    </row>
    <row r="143" spans="1:14" ht="13.8">
      <c r="A143" s="129"/>
      <c r="C143" s="272"/>
    </row>
    <row r="144" spans="1:14" ht="13.8">
      <c r="A144" s="157" t="s">
        <v>284</v>
      </c>
      <c r="C144" s="272"/>
    </row>
    <row r="145" spans="1:14" ht="13.8">
      <c r="A145" s="209" t="s">
        <v>367</v>
      </c>
      <c r="C145" s="272"/>
    </row>
    <row r="146" spans="1:14" ht="14.4">
      <c r="A146" s="164" t="s">
        <v>503</v>
      </c>
      <c r="C146" s="272"/>
      <c r="F146" s="125">
        <v>2014</v>
      </c>
      <c r="G146" s="125">
        <v>2015</v>
      </c>
      <c r="H146" s="125">
        <v>2016</v>
      </c>
      <c r="I146" s="125">
        <v>2017</v>
      </c>
      <c r="J146" s="125">
        <v>2018</v>
      </c>
      <c r="K146" s="125">
        <v>2019</v>
      </c>
      <c r="L146" s="125">
        <v>2020</v>
      </c>
      <c r="M146" s="125">
        <v>2021</v>
      </c>
    </row>
    <row r="147" spans="1:14">
      <c r="A147" s="145" t="s">
        <v>236</v>
      </c>
      <c r="B147" s="145" t="s">
        <v>143</v>
      </c>
      <c r="C147" s="272" t="s">
        <v>105</v>
      </c>
      <c r="F147" s="184">
        <f t="shared" ref="F147:M147" si="62">CCTIRG</f>
        <v>8.7999999999999995E-2</v>
      </c>
      <c r="G147" s="184">
        <f t="shared" si="62"/>
        <v>8.7999999999999995E-2</v>
      </c>
      <c r="H147" s="184">
        <f t="shared" si="62"/>
        <v>8.7999999999999995E-2</v>
      </c>
      <c r="I147" s="184">
        <f t="shared" si="62"/>
        <v>8.7999999999999995E-2</v>
      </c>
      <c r="J147" s="184">
        <f t="shared" si="62"/>
        <v>8.7999999999999995E-2</v>
      </c>
      <c r="K147" s="184">
        <f t="shared" si="62"/>
        <v>8.7999999999999995E-2</v>
      </c>
      <c r="L147" s="184">
        <f t="shared" si="62"/>
        <v>8.7999999999999995E-2</v>
      </c>
      <c r="M147" s="184">
        <f t="shared" si="62"/>
        <v>8.7999999999999995E-2</v>
      </c>
      <c r="N147" s="132" t="s">
        <v>143</v>
      </c>
    </row>
    <row r="148" spans="1:14">
      <c r="A148" s="140" t="s">
        <v>246</v>
      </c>
      <c r="B148" s="145" t="s">
        <v>139</v>
      </c>
      <c r="C148" s="272"/>
      <c r="F148" s="147">
        <f>FTIRGC3</f>
        <v>13.297000000000001</v>
      </c>
      <c r="G148" s="147">
        <f t="shared" ref="G148:M148" si="63">FTIRGC3</f>
        <v>33.79</v>
      </c>
      <c r="H148" s="147">
        <f t="shared" si="63"/>
        <v>0</v>
      </c>
      <c r="I148" s="147">
        <f t="shared" si="63"/>
        <v>0</v>
      </c>
      <c r="J148" s="147">
        <f t="shared" si="63"/>
        <v>0</v>
      </c>
      <c r="K148" s="147">
        <f t="shared" si="63"/>
        <v>0</v>
      </c>
      <c r="L148" s="147">
        <f t="shared" si="63"/>
        <v>0</v>
      </c>
      <c r="M148" s="147">
        <f t="shared" si="63"/>
        <v>0</v>
      </c>
      <c r="N148" s="132" t="s">
        <v>383</v>
      </c>
    </row>
    <row r="149" spans="1:14">
      <c r="A149" s="145" t="s">
        <v>237</v>
      </c>
      <c r="B149" s="145" t="s">
        <v>152</v>
      </c>
      <c r="C149" s="272"/>
      <c r="F149" s="147">
        <f>AFFTIRG3</f>
        <v>0</v>
      </c>
      <c r="G149" s="147">
        <f t="shared" ref="G149:M149" si="64">AFFTIRG3</f>
        <v>0</v>
      </c>
      <c r="H149" s="147">
        <f t="shared" si="64"/>
        <v>0</v>
      </c>
      <c r="I149" s="147">
        <f t="shared" si="64"/>
        <v>0</v>
      </c>
      <c r="J149" s="147">
        <f t="shared" si="64"/>
        <v>0</v>
      </c>
      <c r="K149" s="147">
        <f t="shared" si="64"/>
        <v>0</v>
      </c>
      <c r="L149" s="147">
        <f t="shared" si="64"/>
        <v>0</v>
      </c>
      <c r="M149" s="147">
        <f t="shared" si="64"/>
        <v>0</v>
      </c>
      <c r="N149" s="132" t="s">
        <v>348</v>
      </c>
    </row>
    <row r="150" spans="1:14">
      <c r="A150" s="145" t="s">
        <v>158</v>
      </c>
      <c r="B150" s="145" t="s">
        <v>117</v>
      </c>
      <c r="C150" s="272" t="s">
        <v>118</v>
      </c>
      <c r="F150" s="147">
        <f t="shared" ref="F150:M150" si="65">RPIF</f>
        <v>1.163</v>
      </c>
      <c r="G150" s="147">
        <f t="shared" si="65"/>
        <v>1.2050000000000001</v>
      </c>
      <c r="H150" s="147">
        <f t="shared" si="65"/>
        <v>1.2270000000000001</v>
      </c>
      <c r="I150" s="147">
        <f t="shared" si="65"/>
        <v>1.2330000000000001</v>
      </c>
      <c r="J150" s="147">
        <f t="shared" si="65"/>
        <v>1.2709999999999999</v>
      </c>
      <c r="K150" s="147">
        <f t="shared" si="65"/>
        <v>1.228</v>
      </c>
      <c r="L150" s="147">
        <f t="shared" si="65"/>
        <v>1.2869999999999999</v>
      </c>
      <c r="M150" s="147">
        <f t="shared" si="65"/>
        <v>1.323</v>
      </c>
      <c r="N150" s="132" t="s">
        <v>117</v>
      </c>
    </row>
    <row r="151" spans="1:14">
      <c r="B151" s="281" t="s">
        <v>165</v>
      </c>
      <c r="C151" s="272"/>
      <c r="F151" s="64">
        <f t="shared" ref="F151:M151" si="66">(F148+F149)*F147*F150</f>
        <v>1.3608681680000001</v>
      </c>
      <c r="G151" s="64">
        <f t="shared" si="66"/>
        <v>3.5830915999999999</v>
      </c>
      <c r="H151" s="64">
        <f t="shared" si="66"/>
        <v>0</v>
      </c>
      <c r="I151" s="64">
        <f t="shared" si="66"/>
        <v>0</v>
      </c>
      <c r="J151" s="64">
        <f t="shared" si="66"/>
        <v>0</v>
      </c>
      <c r="K151" s="64">
        <f t="shared" si="66"/>
        <v>0</v>
      </c>
      <c r="L151" s="64">
        <f t="shared" si="66"/>
        <v>0</v>
      </c>
      <c r="M151" s="64">
        <f t="shared" si="66"/>
        <v>0</v>
      </c>
    </row>
    <row r="152" spans="1:14" ht="13.8">
      <c r="B152" s="129"/>
      <c r="C152" s="272"/>
    </row>
    <row r="153" spans="1:14">
      <c r="A153" s="140" t="s">
        <v>247</v>
      </c>
      <c r="B153" s="145" t="s">
        <v>153</v>
      </c>
      <c r="C153" s="272"/>
      <c r="F153" s="147">
        <f>FTIRGDepn3</f>
        <v>1.0999999999999999E-2</v>
      </c>
      <c r="G153" s="147">
        <f t="shared" ref="G153:M153" si="67">FTIRGDepn3</f>
        <v>1.319</v>
      </c>
      <c r="H153" s="147">
        <f t="shared" si="67"/>
        <v>0</v>
      </c>
      <c r="I153" s="147">
        <f t="shared" si="67"/>
        <v>0</v>
      </c>
      <c r="J153" s="147">
        <f t="shared" si="67"/>
        <v>0</v>
      </c>
      <c r="K153" s="147">
        <f t="shared" si="67"/>
        <v>0</v>
      </c>
      <c r="L153" s="147">
        <f t="shared" si="67"/>
        <v>0</v>
      </c>
      <c r="M153" s="147">
        <f t="shared" si="67"/>
        <v>0</v>
      </c>
      <c r="N153" s="132" t="s">
        <v>384</v>
      </c>
    </row>
    <row r="154" spans="1:14">
      <c r="A154" s="145" t="s">
        <v>240</v>
      </c>
      <c r="B154" s="145" t="s">
        <v>154</v>
      </c>
      <c r="C154" s="272"/>
      <c r="F154" s="147">
        <f>AFFTIRGDepn3</f>
        <v>0</v>
      </c>
      <c r="G154" s="147">
        <f t="shared" ref="G154:M154" si="68">AFFTIRGDepn3</f>
        <v>0</v>
      </c>
      <c r="H154" s="147">
        <f t="shared" si="68"/>
        <v>0</v>
      </c>
      <c r="I154" s="147">
        <f t="shared" si="68"/>
        <v>0</v>
      </c>
      <c r="J154" s="147">
        <f t="shared" si="68"/>
        <v>0</v>
      </c>
      <c r="K154" s="147">
        <f t="shared" si="68"/>
        <v>0</v>
      </c>
      <c r="L154" s="147">
        <f t="shared" si="68"/>
        <v>0</v>
      </c>
      <c r="M154" s="147">
        <f t="shared" si="68"/>
        <v>0</v>
      </c>
      <c r="N154" s="132" t="s">
        <v>349</v>
      </c>
    </row>
    <row r="155" spans="1:14">
      <c r="A155" s="145" t="s">
        <v>158</v>
      </c>
      <c r="B155" s="145" t="s">
        <v>117</v>
      </c>
      <c r="C155" s="272" t="s">
        <v>118</v>
      </c>
      <c r="F155" s="201">
        <f t="shared" ref="F155:M155" si="69">RPIF</f>
        <v>1.163</v>
      </c>
      <c r="G155" s="201">
        <f t="shared" si="69"/>
        <v>1.2050000000000001</v>
      </c>
      <c r="H155" s="201">
        <f t="shared" si="69"/>
        <v>1.2270000000000001</v>
      </c>
      <c r="I155" s="201">
        <f t="shared" si="69"/>
        <v>1.2330000000000001</v>
      </c>
      <c r="J155" s="201">
        <f t="shared" si="69"/>
        <v>1.2709999999999999</v>
      </c>
      <c r="K155" s="201">
        <f t="shared" si="69"/>
        <v>1.228</v>
      </c>
      <c r="L155" s="201">
        <f t="shared" si="69"/>
        <v>1.2869999999999999</v>
      </c>
      <c r="M155" s="201">
        <f t="shared" si="69"/>
        <v>1.323</v>
      </c>
      <c r="N155" s="132" t="s">
        <v>117</v>
      </c>
    </row>
    <row r="156" spans="1:14">
      <c r="B156" s="281" t="s">
        <v>166</v>
      </c>
      <c r="C156" s="272"/>
      <c r="F156" s="64">
        <f t="shared" ref="F156:M156" si="70">(F153+F154)*F155</f>
        <v>1.2792999999999999E-2</v>
      </c>
      <c r="G156" s="64">
        <f t="shared" si="70"/>
        <v>1.5893950000000001</v>
      </c>
      <c r="H156" s="64">
        <f t="shared" si="70"/>
        <v>0</v>
      </c>
      <c r="I156" s="64">
        <f t="shared" si="70"/>
        <v>0</v>
      </c>
      <c r="J156" s="64">
        <f t="shared" si="70"/>
        <v>0</v>
      </c>
      <c r="K156" s="64">
        <f t="shared" si="70"/>
        <v>0</v>
      </c>
      <c r="L156" s="64">
        <f t="shared" si="70"/>
        <v>0</v>
      </c>
      <c r="M156" s="64">
        <f t="shared" si="70"/>
        <v>0</v>
      </c>
    </row>
    <row r="157" spans="1:14">
      <c r="C157" s="272"/>
      <c r="M157" s="207"/>
    </row>
    <row r="158" spans="1:14">
      <c r="B158" s="145" t="s">
        <v>148</v>
      </c>
      <c r="C158" s="272" t="s">
        <v>1</v>
      </c>
      <c r="F158" s="64">
        <f t="shared" ref="F158:M158" si="71">F151+F156</f>
        <v>1.3736611680000002</v>
      </c>
      <c r="G158" s="64">
        <f t="shared" si="71"/>
        <v>5.1724866</v>
      </c>
      <c r="H158" s="64">
        <f t="shared" si="71"/>
        <v>0</v>
      </c>
      <c r="I158" s="64">
        <f t="shared" si="71"/>
        <v>0</v>
      </c>
      <c r="J158" s="64">
        <f t="shared" si="71"/>
        <v>0</v>
      </c>
      <c r="K158" s="64">
        <f t="shared" si="71"/>
        <v>0</v>
      </c>
      <c r="L158" s="64">
        <f t="shared" si="71"/>
        <v>0</v>
      </c>
      <c r="M158" s="64">
        <f t="shared" si="71"/>
        <v>0</v>
      </c>
      <c r="N158" s="132" t="s">
        <v>148</v>
      </c>
    </row>
    <row r="159" spans="1:14" ht="13.8">
      <c r="A159" s="129"/>
      <c r="C159" s="272"/>
    </row>
    <row r="160" spans="1:14" ht="13.8">
      <c r="A160" s="129"/>
      <c r="C160" s="272"/>
    </row>
    <row r="161" spans="1:14" ht="13.8">
      <c r="A161" s="157" t="s">
        <v>285</v>
      </c>
      <c r="C161" s="272"/>
    </row>
    <row r="162" spans="1:14" ht="13.8">
      <c r="A162" s="209" t="s">
        <v>367</v>
      </c>
      <c r="C162" s="272"/>
    </row>
    <row r="163" spans="1:14">
      <c r="A163" s="164" t="s">
        <v>504</v>
      </c>
      <c r="C163" s="272"/>
    </row>
    <row r="164" spans="1:14" ht="14.4">
      <c r="A164" s="129"/>
      <c r="C164" s="272"/>
      <c r="F164" s="125">
        <v>2014</v>
      </c>
      <c r="G164" s="125">
        <v>2015</v>
      </c>
      <c r="H164" s="125">
        <v>2016</v>
      </c>
      <c r="I164" s="125">
        <v>2017</v>
      </c>
      <c r="J164" s="125">
        <v>2018</v>
      </c>
      <c r="K164" s="125">
        <v>2019</v>
      </c>
      <c r="L164" s="125">
        <v>2020</v>
      </c>
      <c r="M164" s="125">
        <v>2021</v>
      </c>
    </row>
    <row r="165" spans="1:14">
      <c r="A165" s="145" t="s">
        <v>236</v>
      </c>
      <c r="B165" s="145" t="s">
        <v>143</v>
      </c>
      <c r="C165" s="275" t="s">
        <v>105</v>
      </c>
      <c r="F165" s="184">
        <f t="shared" ref="F165:M165" si="72">CCTIRG</f>
        <v>8.7999999999999995E-2</v>
      </c>
      <c r="G165" s="184">
        <f t="shared" si="72"/>
        <v>8.7999999999999995E-2</v>
      </c>
      <c r="H165" s="184">
        <f t="shared" si="72"/>
        <v>8.7999999999999995E-2</v>
      </c>
      <c r="I165" s="184">
        <f t="shared" si="72"/>
        <v>8.7999999999999995E-2</v>
      </c>
      <c r="J165" s="184">
        <f t="shared" si="72"/>
        <v>8.7999999999999995E-2</v>
      </c>
      <c r="K165" s="184">
        <f t="shared" si="72"/>
        <v>8.7999999999999995E-2</v>
      </c>
      <c r="L165" s="184">
        <f t="shared" si="72"/>
        <v>8.7999999999999995E-2</v>
      </c>
      <c r="M165" s="184">
        <f t="shared" si="72"/>
        <v>8.7999999999999995E-2</v>
      </c>
      <c r="N165" s="132" t="s">
        <v>143</v>
      </c>
    </row>
    <row r="166" spans="1:14">
      <c r="A166" s="140" t="s">
        <v>250</v>
      </c>
      <c r="B166" s="145" t="s">
        <v>145</v>
      </c>
      <c r="C166" s="309" t="s">
        <v>1</v>
      </c>
      <c r="F166" s="147">
        <f>ETIRGC3</f>
        <v>0</v>
      </c>
      <c r="G166" s="147">
        <f t="shared" ref="G166:M166" si="73">ETIRGC3</f>
        <v>0</v>
      </c>
      <c r="H166" s="147">
        <f t="shared" si="73"/>
        <v>40.186</v>
      </c>
      <c r="I166" s="147">
        <f t="shared" si="73"/>
        <v>38.125</v>
      </c>
      <c r="J166" s="147">
        <f t="shared" si="73"/>
        <v>36.064</v>
      </c>
      <c r="K166" s="147">
        <f t="shared" si="73"/>
        <v>34.003</v>
      </c>
      <c r="L166" s="147">
        <f t="shared" si="73"/>
        <v>31.942</v>
      </c>
      <c r="M166" s="147">
        <f t="shared" si="73"/>
        <v>0</v>
      </c>
      <c r="N166" s="132" t="s">
        <v>385</v>
      </c>
    </row>
    <row r="167" spans="1:14">
      <c r="C167" s="275"/>
    </row>
    <row r="168" spans="1:14">
      <c r="A168" s="145" t="s">
        <v>243</v>
      </c>
      <c r="B168" s="145" t="s">
        <v>155</v>
      </c>
      <c r="C168" s="309" t="s">
        <v>1</v>
      </c>
      <c r="F168" s="147">
        <f>SAFTIRG3</f>
        <v>0</v>
      </c>
      <c r="G168" s="147">
        <f t="shared" ref="G168:M168" si="74">SAFTIRG3</f>
        <v>0</v>
      </c>
      <c r="H168" s="147">
        <f t="shared" si="74"/>
        <v>0</v>
      </c>
      <c r="I168" s="147">
        <f t="shared" si="74"/>
        <v>0</v>
      </c>
      <c r="J168" s="147">
        <f t="shared" si="74"/>
        <v>0</v>
      </c>
      <c r="K168" s="147">
        <f t="shared" si="74"/>
        <v>0</v>
      </c>
      <c r="L168" s="147">
        <f t="shared" si="74"/>
        <v>0</v>
      </c>
      <c r="M168" s="147">
        <f t="shared" si="74"/>
        <v>0</v>
      </c>
      <c r="N168" s="132" t="s">
        <v>272</v>
      </c>
    </row>
    <row r="169" spans="1:14">
      <c r="A169" s="140" t="s">
        <v>248</v>
      </c>
      <c r="B169" s="145" t="s">
        <v>141</v>
      </c>
      <c r="C169" s="309" t="s">
        <v>1</v>
      </c>
      <c r="F169" s="147">
        <f>ETIRGORAV3</f>
        <v>0</v>
      </c>
      <c r="G169" s="147">
        <f t="shared" ref="G169:M169" si="75">ETIRGORAV3</f>
        <v>0</v>
      </c>
      <c r="H169" s="147">
        <f t="shared" si="75"/>
        <v>41.215000000000003</v>
      </c>
      <c r="I169" s="147">
        <f t="shared" si="75"/>
        <v>0</v>
      </c>
      <c r="J169" s="147">
        <f t="shared" si="75"/>
        <v>0</v>
      </c>
      <c r="K169" s="147">
        <f t="shared" si="75"/>
        <v>0</v>
      </c>
      <c r="L169" s="147">
        <f t="shared" si="75"/>
        <v>0</v>
      </c>
      <c r="M169" s="147">
        <f t="shared" si="75"/>
        <v>0</v>
      </c>
      <c r="N169" s="132" t="s">
        <v>386</v>
      </c>
    </row>
    <row r="170" spans="1:14">
      <c r="A170" s="145" t="s">
        <v>156</v>
      </c>
      <c r="B170" s="145" t="s">
        <v>157</v>
      </c>
      <c r="C170" s="275" t="s">
        <v>118</v>
      </c>
      <c r="F170" s="64">
        <f t="shared" ref="F170:G170" si="76">IF(F168&gt;0,F168/F169,1)</f>
        <v>1</v>
      </c>
      <c r="G170" s="64">
        <f t="shared" si="76"/>
        <v>1</v>
      </c>
      <c r="H170" s="64">
        <f>IF(H168&gt;0,H168/H169,1)</f>
        <v>1</v>
      </c>
      <c r="I170" s="64">
        <f t="shared" ref="I170:M170" si="77">IF(I168&gt;0,I168/I169,1)</f>
        <v>1</v>
      </c>
      <c r="J170" s="64">
        <f t="shared" si="77"/>
        <v>1</v>
      </c>
      <c r="K170" s="64">
        <f t="shared" si="77"/>
        <v>1</v>
      </c>
      <c r="L170" s="64">
        <f t="shared" si="77"/>
        <v>1</v>
      </c>
      <c r="M170" s="64">
        <f t="shared" si="77"/>
        <v>1</v>
      </c>
      <c r="N170" s="132" t="s">
        <v>387</v>
      </c>
    </row>
    <row r="171" spans="1:14">
      <c r="C171" s="275"/>
    </row>
    <row r="172" spans="1:14">
      <c r="A172" s="145" t="s">
        <v>158</v>
      </c>
      <c r="B172" s="145" t="s">
        <v>117</v>
      </c>
      <c r="C172" s="275" t="s">
        <v>118</v>
      </c>
      <c r="F172" s="201">
        <f t="shared" ref="F172:M172" si="78">RPIF</f>
        <v>1.163</v>
      </c>
      <c r="G172" s="201">
        <f t="shared" si="78"/>
        <v>1.2050000000000001</v>
      </c>
      <c r="H172" s="201">
        <f t="shared" si="78"/>
        <v>1.2270000000000001</v>
      </c>
      <c r="I172" s="201">
        <f t="shared" si="78"/>
        <v>1.2330000000000001</v>
      </c>
      <c r="J172" s="201">
        <f t="shared" si="78"/>
        <v>1.2709999999999999</v>
      </c>
      <c r="K172" s="201">
        <f t="shared" si="78"/>
        <v>1.228</v>
      </c>
      <c r="L172" s="201">
        <f t="shared" si="78"/>
        <v>1.2869999999999999</v>
      </c>
      <c r="M172" s="201">
        <f t="shared" si="78"/>
        <v>1.323</v>
      </c>
      <c r="N172" s="132" t="s">
        <v>117</v>
      </c>
    </row>
    <row r="173" spans="1:14">
      <c r="C173" s="275"/>
    </row>
    <row r="174" spans="1:14">
      <c r="A174" s="145" t="s">
        <v>238</v>
      </c>
      <c r="C174" s="275" t="s">
        <v>1</v>
      </c>
      <c r="F174" s="64">
        <f>F165*(F170*F166)*F172</f>
        <v>0</v>
      </c>
      <c r="G174" s="64">
        <f t="shared" ref="G174:M174" si="79">G165*(G170*G166)*G172</f>
        <v>0</v>
      </c>
      <c r="H174" s="64">
        <f t="shared" si="79"/>
        <v>4.3391235360000007</v>
      </c>
      <c r="I174" s="64">
        <f t="shared" si="79"/>
        <v>4.1367150000000006</v>
      </c>
      <c r="J174" s="64">
        <f t="shared" si="79"/>
        <v>4.0336862719999997</v>
      </c>
      <c r="K174" s="64">
        <f t="shared" si="79"/>
        <v>3.674500192</v>
      </c>
      <c r="L174" s="64">
        <f t="shared" si="79"/>
        <v>3.6176231519999997</v>
      </c>
      <c r="M174" s="64">
        <f t="shared" si="79"/>
        <v>0</v>
      </c>
    </row>
    <row r="175" spans="1:14">
      <c r="C175" s="272"/>
    </row>
    <row r="176" spans="1:14">
      <c r="A176" s="164" t="s">
        <v>504</v>
      </c>
      <c r="C176" s="272"/>
    </row>
    <row r="177" spans="1:14">
      <c r="C177" s="272"/>
    </row>
    <row r="178" spans="1:14">
      <c r="C178" s="272"/>
    </row>
    <row r="179" spans="1:14" ht="14.4">
      <c r="C179" s="272"/>
      <c r="F179" s="125">
        <v>2014</v>
      </c>
      <c r="G179" s="125">
        <v>2015</v>
      </c>
      <c r="H179" s="125">
        <v>2016</v>
      </c>
      <c r="I179" s="125">
        <v>2017</v>
      </c>
      <c r="J179" s="125">
        <v>2018</v>
      </c>
      <c r="K179" s="125">
        <v>2019</v>
      </c>
      <c r="L179" s="125">
        <v>2020</v>
      </c>
      <c r="M179" s="125">
        <v>2021</v>
      </c>
    </row>
    <row r="180" spans="1:14">
      <c r="A180" s="140" t="s">
        <v>249</v>
      </c>
      <c r="B180" s="145" t="s">
        <v>142</v>
      </c>
      <c r="C180" s="272" t="s">
        <v>1</v>
      </c>
      <c r="F180" s="147">
        <f t="shared" ref="F180:M180" si="80">Dep_3</f>
        <v>0</v>
      </c>
      <c r="G180" s="147">
        <f t="shared" si="80"/>
        <v>0</v>
      </c>
      <c r="H180" s="147">
        <f t="shared" si="80"/>
        <v>2.0609999999999999</v>
      </c>
      <c r="I180" s="147">
        <f t="shared" si="80"/>
        <v>2.0609999999999999</v>
      </c>
      <c r="J180" s="147">
        <f t="shared" si="80"/>
        <v>2.0609999999999999</v>
      </c>
      <c r="K180" s="147">
        <f t="shared" si="80"/>
        <v>2.0609999999999999</v>
      </c>
      <c r="L180" s="147">
        <f t="shared" si="80"/>
        <v>2.0609999999999999</v>
      </c>
      <c r="M180" s="147">
        <f t="shared" si="80"/>
        <v>0</v>
      </c>
      <c r="N180" s="132" t="s">
        <v>390</v>
      </c>
    </row>
    <row r="181" spans="1:14">
      <c r="A181" s="145" t="s">
        <v>156</v>
      </c>
      <c r="B181" s="145" t="s">
        <v>157</v>
      </c>
      <c r="C181" s="272" t="s">
        <v>118</v>
      </c>
      <c r="F181" s="147">
        <f t="shared" ref="F181:M181" si="81">F170</f>
        <v>1</v>
      </c>
      <c r="G181" s="147">
        <f t="shared" si="81"/>
        <v>1</v>
      </c>
      <c r="H181" s="147">
        <f t="shared" si="81"/>
        <v>1</v>
      </c>
      <c r="I181" s="147">
        <f t="shared" si="81"/>
        <v>1</v>
      </c>
      <c r="J181" s="147">
        <f t="shared" si="81"/>
        <v>1</v>
      </c>
      <c r="K181" s="147">
        <f t="shared" si="81"/>
        <v>1</v>
      </c>
      <c r="L181" s="147">
        <f t="shared" si="81"/>
        <v>1</v>
      </c>
      <c r="M181" s="147">
        <f t="shared" si="81"/>
        <v>1</v>
      </c>
      <c r="N181" s="132" t="s">
        <v>387</v>
      </c>
    </row>
    <row r="182" spans="1:14">
      <c r="A182" s="145" t="s">
        <v>158</v>
      </c>
      <c r="B182" s="145" t="s">
        <v>117</v>
      </c>
      <c r="C182" s="272" t="s">
        <v>118</v>
      </c>
      <c r="F182" s="201">
        <f t="shared" ref="F182:M182" si="82">RPIF</f>
        <v>1.163</v>
      </c>
      <c r="G182" s="201">
        <f t="shared" si="82"/>
        <v>1.2050000000000001</v>
      </c>
      <c r="H182" s="201">
        <f t="shared" si="82"/>
        <v>1.2270000000000001</v>
      </c>
      <c r="I182" s="201">
        <f t="shared" si="82"/>
        <v>1.2330000000000001</v>
      </c>
      <c r="J182" s="201">
        <f t="shared" si="82"/>
        <v>1.2709999999999999</v>
      </c>
      <c r="K182" s="201">
        <f t="shared" si="82"/>
        <v>1.228</v>
      </c>
      <c r="L182" s="201">
        <f t="shared" si="82"/>
        <v>1.2869999999999999</v>
      </c>
      <c r="M182" s="201">
        <f t="shared" si="82"/>
        <v>1.323</v>
      </c>
      <c r="N182" s="132" t="s">
        <v>117</v>
      </c>
    </row>
    <row r="183" spans="1:14">
      <c r="A183" s="145" t="s">
        <v>189</v>
      </c>
      <c r="C183" s="272"/>
      <c r="F183" s="64">
        <f t="shared" ref="F183:M183" si="83">F180*F181*F182</f>
        <v>0</v>
      </c>
      <c r="G183" s="64">
        <f t="shared" si="83"/>
        <v>0</v>
      </c>
      <c r="H183" s="64">
        <f t="shared" si="83"/>
        <v>2.5288470000000003</v>
      </c>
      <c r="I183" s="64">
        <f t="shared" si="83"/>
        <v>2.5412129999999999</v>
      </c>
      <c r="J183" s="64">
        <f t="shared" si="83"/>
        <v>2.6195309999999998</v>
      </c>
      <c r="K183" s="64">
        <f t="shared" si="83"/>
        <v>2.5309079999999997</v>
      </c>
      <c r="L183" s="64">
        <f t="shared" si="83"/>
        <v>2.6525069999999999</v>
      </c>
      <c r="M183" s="64">
        <f t="shared" si="83"/>
        <v>0</v>
      </c>
    </row>
    <row r="184" spans="1:14">
      <c r="C184" s="272"/>
    </row>
    <row r="185" spans="1:14">
      <c r="B185" s="145" t="s">
        <v>149</v>
      </c>
      <c r="C185" s="272" t="s">
        <v>1</v>
      </c>
      <c r="F185" s="64">
        <f t="shared" ref="F185:M185" si="84">F174+F183</f>
        <v>0</v>
      </c>
      <c r="G185" s="64">
        <f t="shared" si="84"/>
        <v>0</v>
      </c>
      <c r="H185" s="64">
        <f>H174+H183</f>
        <v>6.8679705360000014</v>
      </c>
      <c r="I185" s="64">
        <f t="shared" si="84"/>
        <v>6.6779280000000005</v>
      </c>
      <c r="J185" s="64">
        <f t="shared" si="84"/>
        <v>6.6532172719999991</v>
      </c>
      <c r="K185" s="64">
        <f t="shared" si="84"/>
        <v>6.2054081920000002</v>
      </c>
      <c r="L185" s="64">
        <f t="shared" si="84"/>
        <v>6.2701301520000001</v>
      </c>
      <c r="M185" s="64">
        <f t="shared" si="84"/>
        <v>0</v>
      </c>
      <c r="N185" s="132" t="s">
        <v>388</v>
      </c>
    </row>
    <row r="186" spans="1:14">
      <c r="C186" s="272"/>
      <c r="F186" s="205"/>
      <c r="G186" s="205"/>
      <c r="H186" s="205"/>
      <c r="I186" s="205"/>
      <c r="J186" s="205"/>
      <c r="K186" s="205"/>
      <c r="L186" s="205"/>
      <c r="M186" s="205"/>
      <c r="N186" s="206"/>
    </row>
    <row r="187" spans="1:14">
      <c r="C187" s="272"/>
      <c r="F187" s="205"/>
      <c r="G187" s="205"/>
      <c r="H187" s="205"/>
      <c r="I187" s="205"/>
      <c r="J187" s="205"/>
      <c r="K187" s="205"/>
      <c r="L187" s="205"/>
      <c r="M187" s="205"/>
      <c r="N187" s="206"/>
    </row>
    <row r="188" spans="1:14">
      <c r="A188" s="145" t="s">
        <v>253</v>
      </c>
      <c r="B188" s="145" t="s">
        <v>147</v>
      </c>
      <c r="C188" s="272" t="s">
        <v>1</v>
      </c>
      <c r="F188" s="203">
        <f t="shared" ref="F188:M188" si="85">TIRGIncAdj3</f>
        <v>0</v>
      </c>
      <c r="G188" s="203">
        <f t="shared" si="85"/>
        <v>0</v>
      </c>
      <c r="H188" s="203">
        <f t="shared" si="85"/>
        <v>0</v>
      </c>
      <c r="I188" s="203">
        <f t="shared" si="85"/>
        <v>0</v>
      </c>
      <c r="J188" s="203">
        <f t="shared" si="85"/>
        <v>0</v>
      </c>
      <c r="K188" s="203">
        <f t="shared" si="85"/>
        <v>0</v>
      </c>
      <c r="L188" s="203">
        <f t="shared" si="85"/>
        <v>0</v>
      </c>
      <c r="M188" s="203">
        <f t="shared" si="85"/>
        <v>0</v>
      </c>
      <c r="N188" s="132" t="s">
        <v>350</v>
      </c>
    </row>
    <row r="189" spans="1:14">
      <c r="A189" s="145" t="s">
        <v>242</v>
      </c>
      <c r="B189" s="145" t="s">
        <v>150</v>
      </c>
      <c r="C189" s="272" t="s">
        <v>1</v>
      </c>
      <c r="F189" s="203">
        <f t="shared" ref="F189:M189" si="86">ATIRG3</f>
        <v>0</v>
      </c>
      <c r="G189" s="203">
        <f t="shared" si="86"/>
        <v>0</v>
      </c>
      <c r="H189" s="203">
        <f t="shared" si="86"/>
        <v>0</v>
      </c>
      <c r="I189" s="203">
        <f t="shared" si="86"/>
        <v>0</v>
      </c>
      <c r="J189" s="203">
        <f t="shared" si="86"/>
        <v>0</v>
      </c>
      <c r="K189" s="203">
        <f t="shared" si="86"/>
        <v>0</v>
      </c>
      <c r="L189" s="203">
        <f t="shared" si="86"/>
        <v>0</v>
      </c>
      <c r="M189" s="203">
        <f t="shared" si="86"/>
        <v>0</v>
      </c>
      <c r="N189" s="132" t="s">
        <v>351</v>
      </c>
    </row>
    <row r="190" spans="1:14">
      <c r="C190" s="272"/>
      <c r="F190" s="205"/>
      <c r="G190" s="205"/>
      <c r="H190" s="205"/>
      <c r="I190" s="205"/>
      <c r="J190" s="205"/>
      <c r="K190" s="205"/>
      <c r="L190" s="205"/>
      <c r="M190" s="205"/>
      <c r="N190" s="206"/>
    </row>
    <row r="191" spans="1:14">
      <c r="C191" s="272"/>
    </row>
    <row r="192" spans="1:14" ht="13.8">
      <c r="A192" s="157" t="s">
        <v>286</v>
      </c>
      <c r="C192" s="272"/>
    </row>
    <row r="193" spans="1:14" ht="13.8">
      <c r="A193" s="209" t="s">
        <v>359</v>
      </c>
      <c r="C193" s="272"/>
    </row>
    <row r="194" spans="1:14" ht="13.8">
      <c r="A194" s="157" t="s">
        <v>287</v>
      </c>
      <c r="C194" s="272"/>
    </row>
    <row r="195" spans="1:14" ht="14.4">
      <c r="A195" s="164" t="s">
        <v>502</v>
      </c>
      <c r="C195" s="272"/>
      <c r="F195" s="125">
        <v>2014</v>
      </c>
      <c r="G195" s="125">
        <v>2015</v>
      </c>
      <c r="H195" s="125">
        <v>2016</v>
      </c>
      <c r="I195" s="125">
        <v>2017</v>
      </c>
      <c r="J195" s="125">
        <v>2018</v>
      </c>
      <c r="K195" s="125">
        <v>2019</v>
      </c>
      <c r="L195" s="125">
        <v>2020</v>
      </c>
      <c r="M195" s="125">
        <v>2021</v>
      </c>
    </row>
    <row r="196" spans="1:14">
      <c r="A196" s="140" t="s">
        <v>407</v>
      </c>
      <c r="B196" s="145" t="s">
        <v>151</v>
      </c>
      <c r="C196" s="272" t="s">
        <v>1</v>
      </c>
      <c r="F196" s="147">
        <f t="shared" ref="F196:M196" si="87">cftirg4</f>
        <v>0</v>
      </c>
      <c r="G196" s="147">
        <f t="shared" si="87"/>
        <v>0</v>
      </c>
      <c r="H196" s="147">
        <f t="shared" si="87"/>
        <v>0</v>
      </c>
      <c r="I196" s="147">
        <f t="shared" si="87"/>
        <v>0</v>
      </c>
      <c r="J196" s="147">
        <f t="shared" si="87"/>
        <v>0</v>
      </c>
      <c r="K196" s="147">
        <f t="shared" si="87"/>
        <v>0</v>
      </c>
      <c r="L196" s="147">
        <f t="shared" si="87"/>
        <v>0</v>
      </c>
      <c r="M196" s="147">
        <f t="shared" si="87"/>
        <v>0</v>
      </c>
    </row>
    <row r="197" spans="1:14">
      <c r="A197" s="145" t="s">
        <v>158</v>
      </c>
      <c r="B197" s="145" t="s">
        <v>117</v>
      </c>
      <c r="C197" s="272" t="s">
        <v>118</v>
      </c>
      <c r="F197" s="147">
        <f t="shared" ref="F197:M197" si="88">RPIF</f>
        <v>1.163</v>
      </c>
      <c r="G197" s="147">
        <f t="shared" si="88"/>
        <v>1.2050000000000001</v>
      </c>
      <c r="H197" s="147">
        <f t="shared" si="88"/>
        <v>1.2270000000000001</v>
      </c>
      <c r="I197" s="147">
        <f t="shared" si="88"/>
        <v>1.2330000000000001</v>
      </c>
      <c r="J197" s="147">
        <f t="shared" si="88"/>
        <v>1.2709999999999999</v>
      </c>
      <c r="K197" s="147">
        <f t="shared" si="88"/>
        <v>1.228</v>
      </c>
      <c r="L197" s="147">
        <f t="shared" si="88"/>
        <v>1.2869999999999999</v>
      </c>
      <c r="M197" s="147">
        <f t="shared" si="88"/>
        <v>1.323</v>
      </c>
    </row>
    <row r="198" spans="1:14">
      <c r="C198" s="272"/>
    </row>
    <row r="199" spans="1:14" ht="13.8">
      <c r="A199" s="129" t="s">
        <v>167</v>
      </c>
      <c r="B199" s="145" t="s">
        <v>146</v>
      </c>
      <c r="C199" s="272" t="s">
        <v>1</v>
      </c>
      <c r="F199" s="64">
        <f t="shared" ref="F199:M199" si="89">F196*F197</f>
        <v>0</v>
      </c>
      <c r="G199" s="64">
        <f t="shared" si="89"/>
        <v>0</v>
      </c>
      <c r="H199" s="64">
        <f t="shared" si="89"/>
        <v>0</v>
      </c>
      <c r="I199" s="64">
        <f t="shared" si="89"/>
        <v>0</v>
      </c>
      <c r="J199" s="64">
        <f t="shared" si="89"/>
        <v>0</v>
      </c>
      <c r="K199" s="64">
        <f t="shared" si="89"/>
        <v>0</v>
      </c>
      <c r="L199" s="64">
        <f t="shared" si="89"/>
        <v>0</v>
      </c>
      <c r="M199" s="64">
        <f t="shared" si="89"/>
        <v>0</v>
      </c>
    </row>
    <row r="200" spans="1:14" ht="13.8">
      <c r="A200" s="129"/>
      <c r="C200" s="272"/>
    </row>
    <row r="201" spans="1:14" ht="13.8">
      <c r="A201" s="129"/>
      <c r="C201" s="272"/>
    </row>
    <row r="202" spans="1:14" ht="13.8">
      <c r="A202" s="157" t="s">
        <v>288</v>
      </c>
      <c r="C202" s="272"/>
    </row>
    <row r="203" spans="1:14" ht="13.8">
      <c r="A203" s="209" t="s">
        <v>359</v>
      </c>
      <c r="C203" s="272"/>
    </row>
    <row r="204" spans="1:14" ht="14.4">
      <c r="A204" s="164" t="s">
        <v>503</v>
      </c>
      <c r="C204" s="272"/>
      <c r="F204" s="125">
        <v>2014</v>
      </c>
      <c r="G204" s="125">
        <v>2015</v>
      </c>
      <c r="H204" s="125">
        <v>2016</v>
      </c>
      <c r="I204" s="125">
        <v>2017</v>
      </c>
      <c r="J204" s="125">
        <v>2018</v>
      </c>
      <c r="K204" s="125">
        <v>2019</v>
      </c>
      <c r="L204" s="125">
        <v>2020</v>
      </c>
      <c r="M204" s="125">
        <v>2021</v>
      </c>
    </row>
    <row r="205" spans="1:14">
      <c r="A205" s="145" t="s">
        <v>236</v>
      </c>
      <c r="B205" s="145" t="s">
        <v>143</v>
      </c>
      <c r="C205" s="272" t="s">
        <v>105</v>
      </c>
      <c r="F205" s="184">
        <f t="shared" ref="F205:M205" si="90">CCTIRG</f>
        <v>8.7999999999999995E-2</v>
      </c>
      <c r="G205" s="184">
        <f t="shared" si="90"/>
        <v>8.7999999999999995E-2</v>
      </c>
      <c r="H205" s="184">
        <f t="shared" si="90"/>
        <v>8.7999999999999995E-2</v>
      </c>
      <c r="I205" s="184">
        <f t="shared" si="90"/>
        <v>8.7999999999999995E-2</v>
      </c>
      <c r="J205" s="184">
        <f t="shared" si="90"/>
        <v>8.7999999999999995E-2</v>
      </c>
      <c r="K205" s="184">
        <f t="shared" si="90"/>
        <v>8.7999999999999995E-2</v>
      </c>
      <c r="L205" s="184">
        <f t="shared" si="90"/>
        <v>8.7999999999999995E-2</v>
      </c>
      <c r="M205" s="184">
        <f t="shared" si="90"/>
        <v>8.7999999999999995E-2</v>
      </c>
    </row>
    <row r="206" spans="1:14">
      <c r="A206" s="140" t="s">
        <v>246</v>
      </c>
      <c r="B206" s="145" t="s">
        <v>139</v>
      </c>
      <c r="C206" s="272"/>
      <c r="F206" s="147">
        <f>FTIRGC4</f>
        <v>0</v>
      </c>
      <c r="G206" s="147">
        <f t="shared" ref="G206:M206" si="91">FTIRGC4</f>
        <v>0</v>
      </c>
      <c r="H206" s="147">
        <f t="shared" si="91"/>
        <v>0</v>
      </c>
      <c r="I206" s="147">
        <f t="shared" si="91"/>
        <v>0</v>
      </c>
      <c r="J206" s="147">
        <f t="shared" si="91"/>
        <v>0</v>
      </c>
      <c r="K206" s="147">
        <f t="shared" si="91"/>
        <v>0</v>
      </c>
      <c r="L206" s="147">
        <f t="shared" si="91"/>
        <v>0</v>
      </c>
      <c r="M206" s="147">
        <f t="shared" si="91"/>
        <v>0</v>
      </c>
    </row>
    <row r="207" spans="1:14">
      <c r="A207" s="145" t="s">
        <v>237</v>
      </c>
      <c r="B207" s="145" t="s">
        <v>152</v>
      </c>
      <c r="C207" s="272"/>
      <c r="F207" s="147">
        <f>AFFTIRG4</f>
        <v>0</v>
      </c>
      <c r="G207" s="147">
        <f t="shared" ref="G207:M207" si="92">AFFTIRG4</f>
        <v>0</v>
      </c>
      <c r="H207" s="147">
        <f t="shared" si="92"/>
        <v>0</v>
      </c>
      <c r="I207" s="147">
        <f t="shared" si="92"/>
        <v>0</v>
      </c>
      <c r="J207" s="147">
        <f t="shared" si="92"/>
        <v>0</v>
      </c>
      <c r="K207" s="147">
        <f t="shared" si="92"/>
        <v>0</v>
      </c>
      <c r="L207" s="147">
        <f t="shared" si="92"/>
        <v>0</v>
      </c>
      <c r="M207" s="147">
        <f t="shared" si="92"/>
        <v>0</v>
      </c>
      <c r="N207" s="132" t="s">
        <v>352</v>
      </c>
    </row>
    <row r="208" spans="1:14">
      <c r="A208" s="145" t="s">
        <v>158</v>
      </c>
      <c r="B208" s="145" t="s">
        <v>117</v>
      </c>
      <c r="C208" s="272" t="s">
        <v>118</v>
      </c>
      <c r="F208" s="147">
        <f t="shared" ref="F208:M208" si="93">RPIF</f>
        <v>1.163</v>
      </c>
      <c r="G208" s="147">
        <f t="shared" si="93"/>
        <v>1.2050000000000001</v>
      </c>
      <c r="H208" s="147">
        <f t="shared" si="93"/>
        <v>1.2270000000000001</v>
      </c>
      <c r="I208" s="147">
        <f t="shared" si="93"/>
        <v>1.2330000000000001</v>
      </c>
      <c r="J208" s="147">
        <f t="shared" si="93"/>
        <v>1.2709999999999999</v>
      </c>
      <c r="K208" s="147">
        <f t="shared" si="93"/>
        <v>1.228</v>
      </c>
      <c r="L208" s="147">
        <f t="shared" si="93"/>
        <v>1.2869999999999999</v>
      </c>
      <c r="M208" s="147">
        <f t="shared" si="93"/>
        <v>1.323</v>
      </c>
    </row>
    <row r="209" spans="1:14">
      <c r="B209" s="281" t="s">
        <v>165</v>
      </c>
      <c r="C209" s="272"/>
      <c r="F209" s="64">
        <f t="shared" ref="F209:M209" si="94">(F206+F207)*F205*F208</f>
        <v>0</v>
      </c>
      <c r="G209" s="64">
        <f t="shared" si="94"/>
        <v>0</v>
      </c>
      <c r="H209" s="64">
        <f t="shared" si="94"/>
        <v>0</v>
      </c>
      <c r="I209" s="64">
        <f t="shared" si="94"/>
        <v>0</v>
      </c>
      <c r="J209" s="64">
        <f t="shared" si="94"/>
        <v>0</v>
      </c>
      <c r="K209" s="64">
        <f t="shared" si="94"/>
        <v>0</v>
      </c>
      <c r="L209" s="64">
        <f t="shared" si="94"/>
        <v>0</v>
      </c>
      <c r="M209" s="64">
        <f t="shared" si="94"/>
        <v>0</v>
      </c>
    </row>
    <row r="210" spans="1:14" ht="13.8">
      <c r="B210" s="129"/>
      <c r="C210" s="272"/>
    </row>
    <row r="211" spans="1:14">
      <c r="A211" s="140" t="s">
        <v>247</v>
      </c>
      <c r="B211" s="145" t="s">
        <v>153</v>
      </c>
      <c r="C211" s="272"/>
      <c r="F211" s="147">
        <f>FTIRGDepn4</f>
        <v>0</v>
      </c>
      <c r="G211" s="147">
        <f t="shared" ref="G211:M211" si="95">FTIRGDepn4</f>
        <v>0</v>
      </c>
      <c r="H211" s="147">
        <f t="shared" si="95"/>
        <v>0</v>
      </c>
      <c r="I211" s="147">
        <f t="shared" si="95"/>
        <v>0</v>
      </c>
      <c r="J211" s="147">
        <f t="shared" si="95"/>
        <v>0</v>
      </c>
      <c r="K211" s="147">
        <f t="shared" si="95"/>
        <v>0</v>
      </c>
      <c r="L211" s="147">
        <f t="shared" si="95"/>
        <v>0</v>
      </c>
      <c r="M211" s="147">
        <f t="shared" si="95"/>
        <v>0</v>
      </c>
    </row>
    <row r="212" spans="1:14">
      <c r="A212" s="145" t="s">
        <v>240</v>
      </c>
      <c r="B212" s="145" t="s">
        <v>154</v>
      </c>
      <c r="C212" s="272"/>
      <c r="F212" s="147">
        <f>AFFTIRGDepn4</f>
        <v>0</v>
      </c>
      <c r="G212" s="147">
        <f t="shared" ref="G212:M212" si="96">AFFTIRGDepn4</f>
        <v>0</v>
      </c>
      <c r="H212" s="147">
        <f t="shared" si="96"/>
        <v>0</v>
      </c>
      <c r="I212" s="147">
        <f t="shared" si="96"/>
        <v>0</v>
      </c>
      <c r="J212" s="147">
        <f t="shared" si="96"/>
        <v>0</v>
      </c>
      <c r="K212" s="147">
        <f t="shared" si="96"/>
        <v>0</v>
      </c>
      <c r="L212" s="147">
        <f t="shared" si="96"/>
        <v>0</v>
      </c>
      <c r="M212" s="147">
        <f t="shared" si="96"/>
        <v>0</v>
      </c>
      <c r="N212" s="132" t="s">
        <v>353</v>
      </c>
    </row>
    <row r="213" spans="1:14">
      <c r="A213" s="145" t="s">
        <v>158</v>
      </c>
      <c r="B213" s="145" t="s">
        <v>117</v>
      </c>
      <c r="C213" s="272" t="s">
        <v>118</v>
      </c>
      <c r="F213" s="201">
        <f t="shared" ref="F213:M213" si="97">RPIF</f>
        <v>1.163</v>
      </c>
      <c r="G213" s="201">
        <f t="shared" si="97"/>
        <v>1.2050000000000001</v>
      </c>
      <c r="H213" s="201">
        <f t="shared" si="97"/>
        <v>1.2270000000000001</v>
      </c>
      <c r="I213" s="201">
        <f t="shared" si="97"/>
        <v>1.2330000000000001</v>
      </c>
      <c r="J213" s="201">
        <f t="shared" si="97"/>
        <v>1.2709999999999999</v>
      </c>
      <c r="K213" s="201">
        <f t="shared" si="97"/>
        <v>1.228</v>
      </c>
      <c r="L213" s="201">
        <f t="shared" si="97"/>
        <v>1.2869999999999999</v>
      </c>
      <c r="M213" s="201">
        <f t="shared" si="97"/>
        <v>1.323</v>
      </c>
    </row>
    <row r="214" spans="1:14">
      <c r="B214" s="281" t="s">
        <v>166</v>
      </c>
      <c r="C214" s="272"/>
      <c r="F214" s="64">
        <f t="shared" ref="F214:M214" si="98">(F211+F212)*F213</f>
        <v>0</v>
      </c>
      <c r="G214" s="64">
        <f t="shared" si="98"/>
        <v>0</v>
      </c>
      <c r="H214" s="64">
        <f t="shared" si="98"/>
        <v>0</v>
      </c>
      <c r="I214" s="64">
        <f t="shared" si="98"/>
        <v>0</v>
      </c>
      <c r="J214" s="64">
        <f t="shared" si="98"/>
        <v>0</v>
      </c>
      <c r="K214" s="64">
        <f t="shared" si="98"/>
        <v>0</v>
      </c>
      <c r="L214" s="64">
        <f t="shared" si="98"/>
        <v>0</v>
      </c>
      <c r="M214" s="64">
        <f t="shared" si="98"/>
        <v>0</v>
      </c>
    </row>
    <row r="215" spans="1:14">
      <c r="C215" s="272"/>
      <c r="F215" s="207"/>
      <c r="G215" s="207"/>
      <c r="H215" s="207"/>
      <c r="I215" s="207"/>
      <c r="J215" s="207"/>
      <c r="K215" s="207"/>
      <c r="L215" s="207"/>
      <c r="M215" s="207"/>
    </row>
    <row r="216" spans="1:14">
      <c r="B216" s="145" t="s">
        <v>148</v>
      </c>
      <c r="C216" s="272" t="s">
        <v>1</v>
      </c>
      <c r="F216" s="64">
        <f t="shared" ref="F216:M216" si="99">F209+F214</f>
        <v>0</v>
      </c>
      <c r="G216" s="64">
        <f t="shared" si="99"/>
        <v>0</v>
      </c>
      <c r="H216" s="64">
        <f t="shared" si="99"/>
        <v>0</v>
      </c>
      <c r="I216" s="64">
        <f t="shared" si="99"/>
        <v>0</v>
      </c>
      <c r="J216" s="64">
        <f t="shared" si="99"/>
        <v>0</v>
      </c>
      <c r="K216" s="64">
        <f t="shared" si="99"/>
        <v>0</v>
      </c>
      <c r="L216" s="64">
        <f t="shared" si="99"/>
        <v>0</v>
      </c>
      <c r="M216" s="64">
        <f t="shared" si="99"/>
        <v>0</v>
      </c>
    </row>
    <row r="217" spans="1:14" ht="13.8">
      <c r="A217" s="129"/>
      <c r="C217" s="272"/>
    </row>
    <row r="218" spans="1:14" ht="13.8">
      <c r="A218" s="129"/>
      <c r="C218" s="272"/>
    </row>
    <row r="219" spans="1:14" ht="13.8">
      <c r="A219" s="157" t="s">
        <v>289</v>
      </c>
      <c r="C219" s="272"/>
    </row>
    <row r="220" spans="1:14" ht="13.8">
      <c r="A220" s="209" t="s">
        <v>359</v>
      </c>
      <c r="C220" s="272"/>
    </row>
    <row r="221" spans="1:14">
      <c r="A221" s="164" t="s">
        <v>504</v>
      </c>
      <c r="C221" s="272"/>
    </row>
    <row r="222" spans="1:14" ht="14.4">
      <c r="A222" s="129"/>
      <c r="C222" s="272"/>
      <c r="F222" s="125">
        <v>2014</v>
      </c>
      <c r="G222" s="125">
        <v>2015</v>
      </c>
      <c r="H222" s="125">
        <v>2016</v>
      </c>
      <c r="I222" s="125">
        <v>2017</v>
      </c>
      <c r="J222" s="125">
        <v>2018</v>
      </c>
      <c r="K222" s="125">
        <v>2019</v>
      </c>
      <c r="L222" s="125">
        <v>2020</v>
      </c>
      <c r="M222" s="125">
        <v>2021</v>
      </c>
    </row>
    <row r="223" spans="1:14">
      <c r="A223" s="145" t="s">
        <v>236</v>
      </c>
      <c r="B223" s="145" t="s">
        <v>143</v>
      </c>
      <c r="C223" s="275" t="s">
        <v>105</v>
      </c>
      <c r="F223" s="184">
        <f t="shared" ref="F223:M223" si="100">CCTIRG</f>
        <v>8.7999999999999995E-2</v>
      </c>
      <c r="G223" s="184">
        <f t="shared" si="100"/>
        <v>8.7999999999999995E-2</v>
      </c>
      <c r="H223" s="184">
        <f t="shared" si="100"/>
        <v>8.7999999999999995E-2</v>
      </c>
      <c r="I223" s="184">
        <f t="shared" si="100"/>
        <v>8.7999999999999995E-2</v>
      </c>
      <c r="J223" s="184">
        <f t="shared" si="100"/>
        <v>8.7999999999999995E-2</v>
      </c>
      <c r="K223" s="184">
        <f t="shared" si="100"/>
        <v>8.7999999999999995E-2</v>
      </c>
      <c r="L223" s="184">
        <f t="shared" si="100"/>
        <v>8.7999999999999995E-2</v>
      </c>
      <c r="M223" s="184">
        <f t="shared" si="100"/>
        <v>8.7999999999999995E-2</v>
      </c>
    </row>
    <row r="224" spans="1:14">
      <c r="A224" s="140" t="s">
        <v>250</v>
      </c>
      <c r="B224" s="145" t="s">
        <v>145</v>
      </c>
      <c r="C224" s="309" t="s">
        <v>1</v>
      </c>
      <c r="F224" s="147">
        <f t="shared" ref="F224:M224" si="101">ETIRGC4</f>
        <v>68.564999999999998</v>
      </c>
      <c r="G224" s="147">
        <f t="shared" si="101"/>
        <v>64.646000000000001</v>
      </c>
      <c r="H224" s="147">
        <f t="shared" si="101"/>
        <v>60.728999999999999</v>
      </c>
      <c r="I224" s="147">
        <f t="shared" si="101"/>
        <v>0</v>
      </c>
      <c r="J224" s="147">
        <f t="shared" si="101"/>
        <v>0</v>
      </c>
      <c r="K224" s="147">
        <f t="shared" si="101"/>
        <v>0</v>
      </c>
      <c r="L224" s="147">
        <f t="shared" si="101"/>
        <v>0</v>
      </c>
      <c r="M224" s="147">
        <f t="shared" si="101"/>
        <v>0</v>
      </c>
      <c r="N224" s="132" t="s">
        <v>375</v>
      </c>
    </row>
    <row r="225" spans="1:14">
      <c r="C225" s="275"/>
    </row>
    <row r="226" spans="1:14">
      <c r="A226" s="145" t="s">
        <v>243</v>
      </c>
      <c r="B226" s="145" t="s">
        <v>155</v>
      </c>
      <c r="C226" s="309" t="s">
        <v>1</v>
      </c>
      <c r="F226" s="147">
        <f t="shared" ref="F226:M226" si="102">SAFTIRG4</f>
        <v>0</v>
      </c>
      <c r="G226" s="147">
        <f t="shared" si="102"/>
        <v>0</v>
      </c>
      <c r="H226" s="147">
        <f t="shared" si="102"/>
        <v>0</v>
      </c>
      <c r="I226" s="147">
        <f t="shared" si="102"/>
        <v>0</v>
      </c>
      <c r="J226" s="147">
        <f t="shared" si="102"/>
        <v>0</v>
      </c>
      <c r="K226" s="147">
        <f t="shared" si="102"/>
        <v>0</v>
      </c>
      <c r="L226" s="147">
        <f t="shared" si="102"/>
        <v>0</v>
      </c>
      <c r="M226" s="147">
        <f t="shared" si="102"/>
        <v>0</v>
      </c>
      <c r="N226" s="132" t="s">
        <v>273</v>
      </c>
    </row>
    <row r="227" spans="1:14">
      <c r="A227" s="140" t="s">
        <v>248</v>
      </c>
      <c r="B227" s="145" t="s">
        <v>141</v>
      </c>
      <c r="C227" s="309" t="s">
        <v>1</v>
      </c>
      <c r="F227" s="147">
        <f>ETIRGORAV4</f>
        <v>0</v>
      </c>
      <c r="G227" s="147">
        <f t="shared" ref="G227:M227" si="103">ETIRGORAV4</f>
        <v>0</v>
      </c>
      <c r="H227" s="147">
        <f t="shared" si="103"/>
        <v>0</v>
      </c>
      <c r="I227" s="147">
        <f t="shared" si="103"/>
        <v>0</v>
      </c>
      <c r="J227" s="147">
        <f t="shared" si="103"/>
        <v>0</v>
      </c>
      <c r="K227" s="147">
        <f t="shared" si="103"/>
        <v>0</v>
      </c>
      <c r="L227" s="147">
        <f t="shared" si="103"/>
        <v>0</v>
      </c>
      <c r="M227" s="147">
        <f t="shared" si="103"/>
        <v>0</v>
      </c>
      <c r="N227" s="132" t="s">
        <v>395</v>
      </c>
    </row>
    <row r="228" spans="1:14">
      <c r="A228" s="145" t="s">
        <v>156</v>
      </c>
      <c r="B228" s="145" t="s">
        <v>157</v>
      </c>
      <c r="C228" s="275" t="s">
        <v>118</v>
      </c>
      <c r="F228" s="64">
        <f t="shared" ref="F228:M228" si="104">IF(F227&gt;0,F226/F227,1)</f>
        <v>1</v>
      </c>
      <c r="G228" s="64">
        <f t="shared" si="104"/>
        <v>1</v>
      </c>
      <c r="H228" s="64">
        <f t="shared" si="104"/>
        <v>1</v>
      </c>
      <c r="I228" s="64">
        <f t="shared" si="104"/>
        <v>1</v>
      </c>
      <c r="J228" s="64">
        <f t="shared" si="104"/>
        <v>1</v>
      </c>
      <c r="K228" s="64">
        <f t="shared" si="104"/>
        <v>1</v>
      </c>
      <c r="L228" s="64">
        <f t="shared" si="104"/>
        <v>1</v>
      </c>
      <c r="M228" s="64">
        <f t="shared" si="104"/>
        <v>1</v>
      </c>
    </row>
    <row r="229" spans="1:14">
      <c r="C229" s="275"/>
    </row>
    <row r="230" spans="1:14">
      <c r="A230" s="145" t="s">
        <v>158</v>
      </c>
      <c r="B230" s="145" t="s">
        <v>117</v>
      </c>
      <c r="C230" s="275" t="s">
        <v>118</v>
      </c>
      <c r="F230" s="201">
        <f t="shared" ref="F230:M230" si="105">RPIF</f>
        <v>1.163</v>
      </c>
      <c r="G230" s="201">
        <f t="shared" si="105"/>
        <v>1.2050000000000001</v>
      </c>
      <c r="H230" s="201">
        <f t="shared" si="105"/>
        <v>1.2270000000000001</v>
      </c>
      <c r="I230" s="201">
        <f t="shared" si="105"/>
        <v>1.2330000000000001</v>
      </c>
      <c r="J230" s="201">
        <f t="shared" si="105"/>
        <v>1.2709999999999999</v>
      </c>
      <c r="K230" s="201">
        <f t="shared" si="105"/>
        <v>1.228</v>
      </c>
      <c r="L230" s="201">
        <f t="shared" si="105"/>
        <v>1.2869999999999999</v>
      </c>
      <c r="M230" s="201">
        <f t="shared" si="105"/>
        <v>1.323</v>
      </c>
    </row>
    <row r="231" spans="1:14">
      <c r="C231" s="275"/>
    </row>
    <row r="232" spans="1:14">
      <c r="A232" s="145" t="s">
        <v>238</v>
      </c>
      <c r="C232" s="275" t="s">
        <v>1</v>
      </c>
      <c r="F232" s="64">
        <f>F223*(F228*F224)*F230</f>
        <v>7.0172163599999999</v>
      </c>
      <c r="G232" s="64">
        <f t="shared" ref="G232:M232" si="106">G223*(G228*G224)*G230</f>
        <v>6.8550618400000003</v>
      </c>
      <c r="H232" s="64">
        <f t="shared" si="106"/>
        <v>6.5572745039999996</v>
      </c>
      <c r="I232" s="64">
        <f t="shared" si="106"/>
        <v>0</v>
      </c>
      <c r="J232" s="64">
        <f t="shared" si="106"/>
        <v>0</v>
      </c>
      <c r="K232" s="64">
        <f t="shared" si="106"/>
        <v>0</v>
      </c>
      <c r="L232" s="64">
        <f t="shared" si="106"/>
        <v>0</v>
      </c>
      <c r="M232" s="64">
        <f t="shared" si="106"/>
        <v>0</v>
      </c>
    </row>
    <row r="233" spans="1:14">
      <c r="C233" s="272"/>
    </row>
    <row r="234" spans="1:14">
      <c r="A234" s="164" t="s">
        <v>504</v>
      </c>
      <c r="C234" s="272"/>
    </row>
    <row r="235" spans="1:14">
      <c r="C235" s="272"/>
    </row>
    <row r="236" spans="1:14">
      <c r="C236" s="272"/>
    </row>
    <row r="237" spans="1:14" ht="14.4">
      <c r="C237" s="272"/>
      <c r="F237" s="125">
        <v>2014</v>
      </c>
      <c r="G237" s="125">
        <v>2015</v>
      </c>
      <c r="H237" s="125">
        <v>2016</v>
      </c>
      <c r="I237" s="125">
        <v>2017</v>
      </c>
      <c r="J237" s="125">
        <v>2018</v>
      </c>
      <c r="K237" s="125">
        <v>2019</v>
      </c>
      <c r="L237" s="125">
        <v>2020</v>
      </c>
      <c r="M237" s="125">
        <v>2021</v>
      </c>
    </row>
    <row r="238" spans="1:14">
      <c r="A238" s="140" t="s">
        <v>249</v>
      </c>
      <c r="B238" s="145" t="s">
        <v>142</v>
      </c>
      <c r="C238" s="272" t="s">
        <v>1</v>
      </c>
      <c r="F238" s="147">
        <f t="shared" ref="F238:M238" si="107">Dep_4</f>
        <v>3.919</v>
      </c>
      <c r="G238" s="147">
        <f t="shared" si="107"/>
        <v>3.919</v>
      </c>
      <c r="H238" s="147">
        <f t="shared" si="107"/>
        <v>3.919</v>
      </c>
      <c r="I238" s="147">
        <f t="shared" si="107"/>
        <v>0</v>
      </c>
      <c r="J238" s="147">
        <f t="shared" si="107"/>
        <v>0</v>
      </c>
      <c r="K238" s="147">
        <f t="shared" si="107"/>
        <v>0</v>
      </c>
      <c r="L238" s="147">
        <f t="shared" si="107"/>
        <v>0</v>
      </c>
      <c r="M238" s="147">
        <f t="shared" si="107"/>
        <v>0</v>
      </c>
      <c r="N238" s="132" t="s">
        <v>410</v>
      </c>
    </row>
    <row r="239" spans="1:14">
      <c r="A239" s="145" t="s">
        <v>156</v>
      </c>
      <c r="B239" s="145" t="s">
        <v>157</v>
      </c>
      <c r="C239" s="272" t="s">
        <v>118</v>
      </c>
      <c r="F239" s="147">
        <f t="shared" ref="F239:M239" si="108">F228</f>
        <v>1</v>
      </c>
      <c r="G239" s="147">
        <f t="shared" si="108"/>
        <v>1</v>
      </c>
      <c r="H239" s="147">
        <f t="shared" si="108"/>
        <v>1</v>
      </c>
      <c r="I239" s="147">
        <f t="shared" si="108"/>
        <v>1</v>
      </c>
      <c r="J239" s="147">
        <f t="shared" si="108"/>
        <v>1</v>
      </c>
      <c r="K239" s="147">
        <f t="shared" si="108"/>
        <v>1</v>
      </c>
      <c r="L239" s="147">
        <f t="shared" si="108"/>
        <v>1</v>
      </c>
      <c r="M239" s="147">
        <f t="shared" si="108"/>
        <v>1</v>
      </c>
      <c r="N239" s="132" t="s">
        <v>411</v>
      </c>
    </row>
    <row r="240" spans="1:14">
      <c r="A240" s="145" t="s">
        <v>158</v>
      </c>
      <c r="B240" s="145" t="s">
        <v>117</v>
      </c>
      <c r="C240" s="272" t="s">
        <v>118</v>
      </c>
      <c r="F240" s="201">
        <f t="shared" ref="F240:M240" si="109">RPIF</f>
        <v>1.163</v>
      </c>
      <c r="G240" s="201">
        <f t="shared" si="109"/>
        <v>1.2050000000000001</v>
      </c>
      <c r="H240" s="201">
        <f t="shared" si="109"/>
        <v>1.2270000000000001</v>
      </c>
      <c r="I240" s="201">
        <f t="shared" si="109"/>
        <v>1.2330000000000001</v>
      </c>
      <c r="J240" s="201">
        <f t="shared" si="109"/>
        <v>1.2709999999999999</v>
      </c>
      <c r="K240" s="201">
        <f t="shared" si="109"/>
        <v>1.228</v>
      </c>
      <c r="L240" s="201">
        <f t="shared" si="109"/>
        <v>1.2869999999999999</v>
      </c>
      <c r="M240" s="201">
        <f t="shared" si="109"/>
        <v>1.323</v>
      </c>
      <c r="N240" s="132" t="s">
        <v>117</v>
      </c>
    </row>
    <row r="241" spans="1:14">
      <c r="A241" s="145" t="s">
        <v>189</v>
      </c>
      <c r="C241" s="272"/>
      <c r="F241" s="64">
        <f t="shared" ref="F241:M241" si="110">F238*F239*F240</f>
        <v>4.5577969999999999</v>
      </c>
      <c r="G241" s="64">
        <f t="shared" si="110"/>
        <v>4.7223950000000006</v>
      </c>
      <c r="H241" s="64">
        <f t="shared" si="110"/>
        <v>4.8086130000000002</v>
      </c>
      <c r="I241" s="64">
        <f t="shared" si="110"/>
        <v>0</v>
      </c>
      <c r="J241" s="64">
        <f t="shared" si="110"/>
        <v>0</v>
      </c>
      <c r="K241" s="64">
        <f t="shared" si="110"/>
        <v>0</v>
      </c>
      <c r="L241" s="64">
        <f t="shared" si="110"/>
        <v>0</v>
      </c>
      <c r="M241" s="64">
        <f t="shared" si="110"/>
        <v>0</v>
      </c>
    </row>
    <row r="242" spans="1:14">
      <c r="C242" s="272"/>
    </row>
    <row r="243" spans="1:14">
      <c r="B243" s="145" t="s">
        <v>149</v>
      </c>
      <c r="C243" s="272" t="s">
        <v>1</v>
      </c>
      <c r="F243" s="64">
        <f t="shared" ref="F243:M243" si="111">F232+F241</f>
        <v>11.57501336</v>
      </c>
      <c r="G243" s="64">
        <f t="shared" si="111"/>
        <v>11.57745684</v>
      </c>
      <c r="H243" s="64">
        <f t="shared" si="111"/>
        <v>11.365887504</v>
      </c>
      <c r="I243" s="64">
        <f t="shared" si="111"/>
        <v>0</v>
      </c>
      <c r="J243" s="64">
        <f t="shared" si="111"/>
        <v>0</v>
      </c>
      <c r="K243" s="64">
        <f t="shared" si="111"/>
        <v>0</v>
      </c>
      <c r="L243" s="64">
        <f t="shared" si="111"/>
        <v>0</v>
      </c>
      <c r="M243" s="64">
        <f t="shared" si="111"/>
        <v>0</v>
      </c>
      <c r="N243" s="132" t="s">
        <v>412</v>
      </c>
    </row>
    <row r="244" spans="1:14">
      <c r="C244" s="272"/>
    </row>
    <row r="245" spans="1:14">
      <c r="A245" s="145" t="s">
        <v>253</v>
      </c>
      <c r="B245" s="145" t="s">
        <v>147</v>
      </c>
      <c r="C245" s="272" t="s">
        <v>1</v>
      </c>
      <c r="F245" s="203">
        <f t="shared" ref="F245:M245" si="112">TIRGIncAdj4</f>
        <v>0</v>
      </c>
      <c r="G245" s="203">
        <f t="shared" si="112"/>
        <v>0</v>
      </c>
      <c r="H245" s="203">
        <f t="shared" si="112"/>
        <v>0</v>
      </c>
      <c r="I245" s="203">
        <f t="shared" si="112"/>
        <v>0</v>
      </c>
      <c r="J245" s="203">
        <f t="shared" si="112"/>
        <v>0</v>
      </c>
      <c r="K245" s="203">
        <f t="shared" si="112"/>
        <v>0</v>
      </c>
      <c r="L245" s="203">
        <f t="shared" si="112"/>
        <v>0</v>
      </c>
      <c r="M245" s="203">
        <f t="shared" si="112"/>
        <v>0</v>
      </c>
      <c r="N245" s="132" t="s">
        <v>354</v>
      </c>
    </row>
    <row r="246" spans="1:14">
      <c r="A246" s="145" t="s">
        <v>242</v>
      </c>
      <c r="B246" s="145" t="s">
        <v>150</v>
      </c>
      <c r="C246" s="272" t="s">
        <v>1</v>
      </c>
      <c r="F246" s="203">
        <f t="shared" ref="F246:M246" si="113">ATIRG4</f>
        <v>0</v>
      </c>
      <c r="G246" s="203">
        <f t="shared" si="113"/>
        <v>0</v>
      </c>
      <c r="H246" s="203">
        <f t="shared" si="113"/>
        <v>0</v>
      </c>
      <c r="I246" s="203">
        <f t="shared" si="113"/>
        <v>0</v>
      </c>
      <c r="J246" s="203">
        <f t="shared" si="113"/>
        <v>0</v>
      </c>
      <c r="K246" s="203">
        <f t="shared" si="113"/>
        <v>0</v>
      </c>
      <c r="L246" s="203">
        <f t="shared" si="113"/>
        <v>0</v>
      </c>
      <c r="M246" s="203">
        <f t="shared" si="113"/>
        <v>0</v>
      </c>
      <c r="N246" s="132" t="s">
        <v>355</v>
      </c>
    </row>
    <row r="247" spans="1:14">
      <c r="C247" s="272"/>
    </row>
    <row r="248" spans="1:14">
      <c r="C248" s="272"/>
    </row>
    <row r="249" spans="1:14">
      <c r="C249" s="272"/>
    </row>
    <row r="250" spans="1:14" ht="13.8">
      <c r="A250" s="157" t="s">
        <v>290</v>
      </c>
      <c r="C250" s="272"/>
    </row>
    <row r="251" spans="1:14" ht="13.8">
      <c r="A251" s="178" t="s">
        <v>360</v>
      </c>
      <c r="C251" s="272"/>
    </row>
    <row r="252" spans="1:14" ht="13.8">
      <c r="A252" s="157" t="s">
        <v>291</v>
      </c>
      <c r="C252" s="272"/>
    </row>
    <row r="253" spans="1:14">
      <c r="A253" s="164" t="s">
        <v>502</v>
      </c>
      <c r="C253" s="272"/>
    </row>
    <row r="254" spans="1:14" ht="14.4">
      <c r="A254" s="129"/>
      <c r="C254" s="272"/>
      <c r="F254" s="125">
        <v>2014</v>
      </c>
      <c r="G254" s="125">
        <v>2015</v>
      </c>
      <c r="H254" s="125">
        <v>2016</v>
      </c>
      <c r="I254" s="125">
        <v>2017</v>
      </c>
      <c r="J254" s="125">
        <v>2018</v>
      </c>
      <c r="K254" s="125">
        <v>2019</v>
      </c>
      <c r="L254" s="125">
        <v>2020</v>
      </c>
      <c r="M254" s="125">
        <v>2021</v>
      </c>
    </row>
    <row r="255" spans="1:14">
      <c r="A255" s="140" t="s">
        <v>407</v>
      </c>
      <c r="B255" s="145" t="s">
        <v>151</v>
      </c>
      <c r="C255" s="272" t="s">
        <v>1</v>
      </c>
      <c r="F255" s="147">
        <f t="shared" ref="F255:M255" si="114">CFTIRG5</f>
        <v>0</v>
      </c>
      <c r="G255" s="147">
        <f t="shared" si="114"/>
        <v>0</v>
      </c>
      <c r="H255" s="147">
        <f t="shared" si="114"/>
        <v>0</v>
      </c>
      <c r="I255" s="147">
        <f t="shared" si="114"/>
        <v>0</v>
      </c>
      <c r="J255" s="147">
        <f t="shared" si="114"/>
        <v>0</v>
      </c>
      <c r="K255" s="147">
        <f t="shared" si="114"/>
        <v>0</v>
      </c>
      <c r="L255" s="147">
        <f t="shared" si="114"/>
        <v>0</v>
      </c>
      <c r="M255" s="147">
        <f t="shared" si="114"/>
        <v>0</v>
      </c>
    </row>
    <row r="256" spans="1:14">
      <c r="A256" s="145" t="s">
        <v>158</v>
      </c>
      <c r="B256" s="145" t="s">
        <v>117</v>
      </c>
      <c r="C256" s="272" t="s">
        <v>118</v>
      </c>
      <c r="F256" s="147">
        <f t="shared" ref="F256:M256" si="115">RPIF</f>
        <v>1.163</v>
      </c>
      <c r="G256" s="147">
        <f t="shared" si="115"/>
        <v>1.2050000000000001</v>
      </c>
      <c r="H256" s="147">
        <f t="shared" si="115"/>
        <v>1.2270000000000001</v>
      </c>
      <c r="I256" s="147">
        <f t="shared" si="115"/>
        <v>1.2330000000000001</v>
      </c>
      <c r="J256" s="147">
        <f t="shared" si="115"/>
        <v>1.2709999999999999</v>
      </c>
      <c r="K256" s="147">
        <f t="shared" si="115"/>
        <v>1.228</v>
      </c>
      <c r="L256" s="147">
        <f t="shared" si="115"/>
        <v>1.2869999999999999</v>
      </c>
      <c r="M256" s="147">
        <f t="shared" si="115"/>
        <v>1.323</v>
      </c>
    </row>
    <row r="257" spans="1:14">
      <c r="C257" s="272"/>
    </row>
    <row r="258" spans="1:14" ht="13.8">
      <c r="A258" s="129" t="s">
        <v>167</v>
      </c>
      <c r="B258" s="145" t="s">
        <v>146</v>
      </c>
      <c r="C258" s="272" t="s">
        <v>1</v>
      </c>
      <c r="F258" s="64">
        <f t="shared" ref="F258:M258" si="116">F255*F256</f>
        <v>0</v>
      </c>
      <c r="G258" s="64">
        <f t="shared" si="116"/>
        <v>0</v>
      </c>
      <c r="H258" s="64">
        <f t="shared" si="116"/>
        <v>0</v>
      </c>
      <c r="I258" s="64">
        <f t="shared" si="116"/>
        <v>0</v>
      </c>
      <c r="J258" s="64">
        <f t="shared" si="116"/>
        <v>0</v>
      </c>
      <c r="K258" s="64">
        <f t="shared" si="116"/>
        <v>0</v>
      </c>
      <c r="L258" s="64">
        <f t="shared" si="116"/>
        <v>0</v>
      </c>
      <c r="M258" s="64">
        <f t="shared" si="116"/>
        <v>0</v>
      </c>
    </row>
    <row r="259" spans="1:14" ht="13.8">
      <c r="A259" s="129"/>
      <c r="C259" s="272"/>
    </row>
    <row r="260" spans="1:14" ht="13.8">
      <c r="A260" s="129"/>
      <c r="C260" s="272"/>
    </row>
    <row r="261" spans="1:14" ht="13.8">
      <c r="A261" s="157" t="s">
        <v>292</v>
      </c>
      <c r="C261" s="272"/>
    </row>
    <row r="262" spans="1:14" ht="13.8">
      <c r="A262" s="178" t="s">
        <v>360</v>
      </c>
      <c r="C262" s="272"/>
    </row>
    <row r="263" spans="1:14" ht="14.4">
      <c r="A263" s="164" t="s">
        <v>503</v>
      </c>
      <c r="C263" s="272"/>
      <c r="F263" s="125">
        <v>2014</v>
      </c>
      <c r="G263" s="125">
        <v>2015</v>
      </c>
      <c r="H263" s="125">
        <v>2016</v>
      </c>
      <c r="I263" s="125">
        <v>2017</v>
      </c>
      <c r="J263" s="125">
        <v>2018</v>
      </c>
      <c r="K263" s="125">
        <v>2019</v>
      </c>
      <c r="L263" s="125">
        <v>2020</v>
      </c>
      <c r="M263" s="125">
        <v>2021</v>
      </c>
    </row>
    <row r="264" spans="1:14">
      <c r="A264" s="145" t="s">
        <v>236</v>
      </c>
      <c r="B264" s="145" t="s">
        <v>143</v>
      </c>
      <c r="C264" s="272" t="s">
        <v>105</v>
      </c>
      <c r="F264" s="184">
        <f t="shared" ref="F264:M264" si="117">CCTIRG</f>
        <v>8.7999999999999995E-2</v>
      </c>
      <c r="G264" s="184">
        <f t="shared" si="117"/>
        <v>8.7999999999999995E-2</v>
      </c>
      <c r="H264" s="184">
        <f t="shared" si="117"/>
        <v>8.7999999999999995E-2</v>
      </c>
      <c r="I264" s="184">
        <f t="shared" si="117"/>
        <v>8.7999999999999995E-2</v>
      </c>
      <c r="J264" s="184">
        <f t="shared" si="117"/>
        <v>8.7999999999999995E-2</v>
      </c>
      <c r="K264" s="184">
        <f t="shared" si="117"/>
        <v>8.7999999999999995E-2</v>
      </c>
      <c r="L264" s="184">
        <f t="shared" si="117"/>
        <v>8.7999999999999995E-2</v>
      </c>
      <c r="M264" s="184">
        <f t="shared" si="117"/>
        <v>8.7999999999999995E-2</v>
      </c>
    </row>
    <row r="265" spans="1:14">
      <c r="A265" s="140" t="s">
        <v>246</v>
      </c>
      <c r="B265" s="145" t="s">
        <v>148</v>
      </c>
      <c r="C265" s="272"/>
      <c r="F265" s="147">
        <f t="shared" ref="F265:M265" si="118">FTIRGC5</f>
        <v>0</v>
      </c>
      <c r="G265" s="147">
        <f t="shared" si="118"/>
        <v>0</v>
      </c>
      <c r="H265" s="147">
        <f t="shared" si="118"/>
        <v>0</v>
      </c>
      <c r="I265" s="147">
        <f t="shared" si="118"/>
        <v>0</v>
      </c>
      <c r="J265" s="147">
        <f t="shared" si="118"/>
        <v>0</v>
      </c>
      <c r="K265" s="147">
        <f t="shared" si="118"/>
        <v>0</v>
      </c>
      <c r="L265" s="147">
        <f t="shared" si="118"/>
        <v>0</v>
      </c>
      <c r="M265" s="147">
        <f t="shared" si="118"/>
        <v>0</v>
      </c>
    </row>
    <row r="266" spans="1:14">
      <c r="A266" s="145" t="s">
        <v>237</v>
      </c>
      <c r="B266" s="145" t="s">
        <v>152</v>
      </c>
      <c r="C266" s="272"/>
      <c r="F266" s="147">
        <f t="shared" ref="F266:M266" si="119">AFFTIRG5</f>
        <v>0</v>
      </c>
      <c r="G266" s="147">
        <f t="shared" si="119"/>
        <v>0</v>
      </c>
      <c r="H266" s="147">
        <f t="shared" si="119"/>
        <v>0</v>
      </c>
      <c r="I266" s="147">
        <f t="shared" si="119"/>
        <v>0</v>
      </c>
      <c r="J266" s="147">
        <f t="shared" si="119"/>
        <v>0</v>
      </c>
      <c r="K266" s="147">
        <f t="shared" si="119"/>
        <v>0</v>
      </c>
      <c r="L266" s="147">
        <f t="shared" si="119"/>
        <v>0</v>
      </c>
      <c r="M266" s="147">
        <f t="shared" si="119"/>
        <v>0</v>
      </c>
      <c r="N266" s="132" t="s">
        <v>362</v>
      </c>
    </row>
    <row r="267" spans="1:14">
      <c r="A267" s="145" t="s">
        <v>158</v>
      </c>
      <c r="B267" s="145" t="s">
        <v>117</v>
      </c>
      <c r="C267" s="272" t="s">
        <v>118</v>
      </c>
      <c r="F267" s="147">
        <f t="shared" ref="F267:M267" si="120">RPIF</f>
        <v>1.163</v>
      </c>
      <c r="G267" s="147">
        <f t="shared" si="120"/>
        <v>1.2050000000000001</v>
      </c>
      <c r="H267" s="147">
        <f t="shared" si="120"/>
        <v>1.2270000000000001</v>
      </c>
      <c r="I267" s="147">
        <f t="shared" si="120"/>
        <v>1.2330000000000001</v>
      </c>
      <c r="J267" s="147">
        <f t="shared" si="120"/>
        <v>1.2709999999999999</v>
      </c>
      <c r="K267" s="147">
        <f t="shared" si="120"/>
        <v>1.228</v>
      </c>
      <c r="L267" s="147">
        <f t="shared" si="120"/>
        <v>1.2869999999999999</v>
      </c>
      <c r="M267" s="147">
        <f t="shared" si="120"/>
        <v>1.323</v>
      </c>
    </row>
    <row r="268" spans="1:14">
      <c r="B268" s="281" t="s">
        <v>165</v>
      </c>
      <c r="C268" s="272"/>
      <c r="F268" s="64">
        <f>(F265+F266)*F264*F267</f>
        <v>0</v>
      </c>
      <c r="G268" s="64">
        <f t="shared" ref="G268:M268" si="121">(G265+G266)*G264*G267</f>
        <v>0</v>
      </c>
      <c r="H268" s="64">
        <f t="shared" si="121"/>
        <v>0</v>
      </c>
      <c r="I268" s="64">
        <f t="shared" si="121"/>
        <v>0</v>
      </c>
      <c r="J268" s="64">
        <f t="shared" si="121"/>
        <v>0</v>
      </c>
      <c r="K268" s="64">
        <f t="shared" si="121"/>
        <v>0</v>
      </c>
      <c r="L268" s="64">
        <f t="shared" si="121"/>
        <v>0</v>
      </c>
      <c r="M268" s="64">
        <f t="shared" si="121"/>
        <v>0</v>
      </c>
    </row>
    <row r="269" spans="1:14" ht="13.8">
      <c r="B269" s="129"/>
      <c r="C269" s="272"/>
    </row>
    <row r="270" spans="1:14">
      <c r="A270" s="140" t="s">
        <v>247</v>
      </c>
      <c r="B270" s="145" t="s">
        <v>153</v>
      </c>
      <c r="C270" s="272"/>
      <c r="F270" s="147">
        <f t="shared" ref="F270:M270" si="122">FTIRGDEPN5</f>
        <v>0</v>
      </c>
      <c r="G270" s="147">
        <f t="shared" si="122"/>
        <v>0</v>
      </c>
      <c r="H270" s="147">
        <f t="shared" si="122"/>
        <v>0</v>
      </c>
      <c r="I270" s="147">
        <f t="shared" si="122"/>
        <v>0</v>
      </c>
      <c r="J270" s="147">
        <f t="shared" si="122"/>
        <v>0</v>
      </c>
      <c r="K270" s="147">
        <f t="shared" si="122"/>
        <v>0</v>
      </c>
      <c r="L270" s="147">
        <f t="shared" si="122"/>
        <v>0</v>
      </c>
      <c r="M270" s="147">
        <f t="shared" si="122"/>
        <v>0</v>
      </c>
    </row>
    <row r="271" spans="1:14">
      <c r="A271" s="145" t="s">
        <v>240</v>
      </c>
      <c r="B271" s="145" t="s">
        <v>154</v>
      </c>
      <c r="C271" s="272"/>
      <c r="F271" s="147">
        <f t="shared" ref="F271:M271" si="123">AFFTIRGDepn5</f>
        <v>0</v>
      </c>
      <c r="G271" s="147">
        <f t="shared" si="123"/>
        <v>0</v>
      </c>
      <c r="H271" s="147">
        <f t="shared" si="123"/>
        <v>0</v>
      </c>
      <c r="I271" s="147">
        <f t="shared" si="123"/>
        <v>0</v>
      </c>
      <c r="J271" s="147">
        <f t="shared" si="123"/>
        <v>0</v>
      </c>
      <c r="K271" s="147">
        <f t="shared" si="123"/>
        <v>0</v>
      </c>
      <c r="L271" s="147">
        <f t="shared" si="123"/>
        <v>0</v>
      </c>
      <c r="M271" s="147">
        <f t="shared" si="123"/>
        <v>0</v>
      </c>
      <c r="N271" s="132" t="s">
        <v>363</v>
      </c>
    </row>
    <row r="272" spans="1:14">
      <c r="A272" s="145" t="s">
        <v>158</v>
      </c>
      <c r="B272" s="145" t="s">
        <v>117</v>
      </c>
      <c r="C272" s="272" t="s">
        <v>118</v>
      </c>
      <c r="F272" s="201">
        <f t="shared" ref="F272:M272" si="124">RPIF</f>
        <v>1.163</v>
      </c>
      <c r="G272" s="201">
        <f t="shared" si="124"/>
        <v>1.2050000000000001</v>
      </c>
      <c r="H272" s="201">
        <f t="shared" si="124"/>
        <v>1.2270000000000001</v>
      </c>
      <c r="I272" s="201">
        <f t="shared" si="124"/>
        <v>1.2330000000000001</v>
      </c>
      <c r="J272" s="201">
        <f t="shared" si="124"/>
        <v>1.2709999999999999</v>
      </c>
      <c r="K272" s="201">
        <f t="shared" si="124"/>
        <v>1.228</v>
      </c>
      <c r="L272" s="201">
        <f t="shared" si="124"/>
        <v>1.2869999999999999</v>
      </c>
      <c r="M272" s="201">
        <f t="shared" si="124"/>
        <v>1.323</v>
      </c>
    </row>
    <row r="273" spans="1:14">
      <c r="B273" s="281" t="s">
        <v>166</v>
      </c>
      <c r="C273" s="272"/>
      <c r="F273" s="64">
        <f>(F270+F271)*F272</f>
        <v>0</v>
      </c>
      <c r="G273" s="64">
        <f t="shared" ref="G273:M273" si="125">(G270+G271)*G272</f>
        <v>0</v>
      </c>
      <c r="H273" s="64">
        <f t="shared" si="125"/>
        <v>0</v>
      </c>
      <c r="I273" s="64">
        <f t="shared" si="125"/>
        <v>0</v>
      </c>
      <c r="J273" s="64">
        <f t="shared" si="125"/>
        <v>0</v>
      </c>
      <c r="K273" s="64">
        <f t="shared" si="125"/>
        <v>0</v>
      </c>
      <c r="L273" s="64">
        <f t="shared" si="125"/>
        <v>0</v>
      </c>
      <c r="M273" s="64">
        <f t="shared" si="125"/>
        <v>0</v>
      </c>
    </row>
    <row r="274" spans="1:14">
      <c r="C274" s="272"/>
    </row>
    <row r="275" spans="1:14">
      <c r="B275" s="145" t="s">
        <v>148</v>
      </c>
      <c r="C275" s="272" t="s">
        <v>1</v>
      </c>
      <c r="F275" s="64">
        <f>F268+F273</f>
        <v>0</v>
      </c>
      <c r="G275" s="64">
        <f t="shared" ref="G275:M275" si="126">G268+G273</f>
        <v>0</v>
      </c>
      <c r="H275" s="64">
        <f t="shared" si="126"/>
        <v>0</v>
      </c>
      <c r="I275" s="64">
        <f t="shared" si="126"/>
        <v>0</v>
      </c>
      <c r="J275" s="64">
        <f t="shared" si="126"/>
        <v>0</v>
      </c>
      <c r="K275" s="64">
        <f t="shared" si="126"/>
        <v>0</v>
      </c>
      <c r="L275" s="64">
        <f t="shared" si="126"/>
        <v>0</v>
      </c>
      <c r="M275" s="64">
        <f t="shared" si="126"/>
        <v>0</v>
      </c>
    </row>
    <row r="276" spans="1:14" ht="13.8">
      <c r="A276" s="129"/>
      <c r="C276" s="272"/>
    </row>
    <row r="277" spans="1:14" ht="13.8">
      <c r="A277" s="129"/>
      <c r="C277" s="272"/>
    </row>
    <row r="278" spans="1:14" ht="13.8">
      <c r="A278" s="157" t="s">
        <v>293</v>
      </c>
      <c r="C278" s="272"/>
    </row>
    <row r="279" spans="1:14" ht="13.8">
      <c r="A279" s="178" t="s">
        <v>360</v>
      </c>
      <c r="C279" s="272"/>
    </row>
    <row r="280" spans="1:14">
      <c r="A280" s="164" t="s">
        <v>504</v>
      </c>
      <c r="C280" s="272"/>
    </row>
    <row r="281" spans="1:14" ht="14.4">
      <c r="A281" s="129"/>
      <c r="C281" s="272"/>
      <c r="F281" s="125">
        <v>2014</v>
      </c>
      <c r="G281" s="125">
        <v>2015</v>
      </c>
      <c r="H281" s="125">
        <v>2016</v>
      </c>
      <c r="I281" s="125">
        <v>2017</v>
      </c>
      <c r="J281" s="125">
        <v>2018</v>
      </c>
      <c r="K281" s="125">
        <v>2019</v>
      </c>
      <c r="L281" s="125">
        <v>2020</v>
      </c>
      <c r="M281" s="125">
        <v>2021</v>
      </c>
    </row>
    <row r="282" spans="1:14">
      <c r="A282" s="145" t="s">
        <v>236</v>
      </c>
      <c r="B282" s="145" t="s">
        <v>143</v>
      </c>
      <c r="C282" s="275" t="s">
        <v>105</v>
      </c>
      <c r="F282" s="184">
        <f t="shared" ref="F282:M282" si="127">CCTIRG</f>
        <v>8.7999999999999995E-2</v>
      </c>
      <c r="G282" s="184">
        <f t="shared" si="127"/>
        <v>8.7999999999999995E-2</v>
      </c>
      <c r="H282" s="184">
        <f t="shared" si="127"/>
        <v>8.7999999999999995E-2</v>
      </c>
      <c r="I282" s="184">
        <f t="shared" si="127"/>
        <v>8.7999999999999995E-2</v>
      </c>
      <c r="J282" s="184">
        <f t="shared" si="127"/>
        <v>8.7999999999999995E-2</v>
      </c>
      <c r="K282" s="184">
        <f t="shared" si="127"/>
        <v>8.7999999999999995E-2</v>
      </c>
      <c r="L282" s="184">
        <f t="shared" si="127"/>
        <v>8.7999999999999995E-2</v>
      </c>
      <c r="M282" s="184">
        <f t="shared" si="127"/>
        <v>8.7999999999999995E-2</v>
      </c>
    </row>
    <row r="283" spans="1:14">
      <c r="A283" s="140" t="s">
        <v>250</v>
      </c>
      <c r="B283" s="145" t="s">
        <v>145</v>
      </c>
      <c r="C283" s="309" t="s">
        <v>1</v>
      </c>
      <c r="F283" s="147">
        <f t="shared" ref="F283:M283" si="128">ETIRGC5</f>
        <v>15.977</v>
      </c>
      <c r="G283" s="147">
        <f t="shared" si="128"/>
        <v>15.007999999999999</v>
      </c>
      <c r="H283" s="147">
        <f t="shared" si="128"/>
        <v>0</v>
      </c>
      <c r="I283" s="147">
        <f t="shared" si="128"/>
        <v>0</v>
      </c>
      <c r="J283" s="147">
        <f t="shared" si="128"/>
        <v>0</v>
      </c>
      <c r="K283" s="147">
        <f t="shared" si="128"/>
        <v>0</v>
      </c>
      <c r="L283" s="147">
        <f t="shared" si="128"/>
        <v>0</v>
      </c>
      <c r="M283" s="147">
        <f t="shared" si="128"/>
        <v>0</v>
      </c>
      <c r="N283" s="132" t="s">
        <v>376</v>
      </c>
    </row>
    <row r="284" spans="1:14">
      <c r="C284" s="275"/>
    </row>
    <row r="285" spans="1:14">
      <c r="A285" s="145" t="s">
        <v>243</v>
      </c>
      <c r="B285" s="145" t="s">
        <v>155</v>
      </c>
      <c r="C285" s="309" t="s">
        <v>1</v>
      </c>
      <c r="F285" s="147">
        <f t="shared" ref="F285:M285" si="129">SAFTIRG5</f>
        <v>0</v>
      </c>
      <c r="G285" s="147">
        <f t="shared" si="129"/>
        <v>0</v>
      </c>
      <c r="H285" s="147">
        <f t="shared" si="129"/>
        <v>0</v>
      </c>
      <c r="I285" s="147">
        <f t="shared" si="129"/>
        <v>0</v>
      </c>
      <c r="J285" s="147">
        <f t="shared" si="129"/>
        <v>0</v>
      </c>
      <c r="K285" s="147">
        <f t="shared" si="129"/>
        <v>0</v>
      </c>
      <c r="L285" s="147">
        <f t="shared" si="129"/>
        <v>0</v>
      </c>
      <c r="M285" s="147">
        <f t="shared" si="129"/>
        <v>0</v>
      </c>
      <c r="N285" s="132" t="s">
        <v>364</v>
      </c>
    </row>
    <row r="286" spans="1:14">
      <c r="A286" s="140" t="s">
        <v>248</v>
      </c>
      <c r="B286" s="145" t="s">
        <v>141</v>
      </c>
      <c r="C286" s="309" t="s">
        <v>1</v>
      </c>
      <c r="F286" s="147">
        <f>ETIRGORAV5</f>
        <v>0</v>
      </c>
      <c r="G286" s="147">
        <f t="shared" ref="G286:M286" si="130">ETIRGORAV5</f>
        <v>0</v>
      </c>
      <c r="H286" s="147">
        <f t="shared" si="130"/>
        <v>0</v>
      </c>
      <c r="I286" s="147">
        <f t="shared" si="130"/>
        <v>0</v>
      </c>
      <c r="J286" s="147">
        <f t="shared" si="130"/>
        <v>0</v>
      </c>
      <c r="K286" s="147">
        <f t="shared" si="130"/>
        <v>0</v>
      </c>
      <c r="L286" s="147">
        <f t="shared" si="130"/>
        <v>0</v>
      </c>
      <c r="M286" s="147">
        <f t="shared" si="130"/>
        <v>0</v>
      </c>
      <c r="N286" s="132" t="s">
        <v>396</v>
      </c>
    </row>
    <row r="287" spans="1:14">
      <c r="A287" s="145" t="s">
        <v>156</v>
      </c>
      <c r="B287" s="145" t="s">
        <v>157</v>
      </c>
      <c r="C287" s="275" t="s">
        <v>118</v>
      </c>
      <c r="F287" s="64">
        <f>IF(F286&gt;0,F285/F286,1)</f>
        <v>1</v>
      </c>
      <c r="G287" s="64">
        <f t="shared" ref="G287:M287" si="131">IF(G286&gt;0,G285/G286,1)</f>
        <v>1</v>
      </c>
      <c r="H287" s="64">
        <f t="shared" si="131"/>
        <v>1</v>
      </c>
      <c r="I287" s="64">
        <f t="shared" si="131"/>
        <v>1</v>
      </c>
      <c r="J287" s="64">
        <f t="shared" si="131"/>
        <v>1</v>
      </c>
      <c r="K287" s="64">
        <f t="shared" si="131"/>
        <v>1</v>
      </c>
      <c r="L287" s="64">
        <f t="shared" si="131"/>
        <v>1</v>
      </c>
      <c r="M287" s="64">
        <f t="shared" si="131"/>
        <v>1</v>
      </c>
    </row>
    <row r="288" spans="1:14">
      <c r="C288" s="275"/>
    </row>
    <row r="289" spans="1:14">
      <c r="A289" s="145" t="s">
        <v>158</v>
      </c>
      <c r="B289" s="145" t="s">
        <v>117</v>
      </c>
      <c r="C289" s="275" t="s">
        <v>118</v>
      </c>
      <c r="F289" s="201">
        <f t="shared" ref="F289:M289" si="132">RPIF</f>
        <v>1.163</v>
      </c>
      <c r="G289" s="201">
        <f t="shared" si="132"/>
        <v>1.2050000000000001</v>
      </c>
      <c r="H289" s="201">
        <f t="shared" si="132"/>
        <v>1.2270000000000001</v>
      </c>
      <c r="I289" s="201">
        <f t="shared" si="132"/>
        <v>1.2330000000000001</v>
      </c>
      <c r="J289" s="201">
        <f t="shared" si="132"/>
        <v>1.2709999999999999</v>
      </c>
      <c r="K289" s="201">
        <f t="shared" si="132"/>
        <v>1.228</v>
      </c>
      <c r="L289" s="201">
        <f t="shared" si="132"/>
        <v>1.2869999999999999</v>
      </c>
      <c r="M289" s="201">
        <f t="shared" si="132"/>
        <v>1.323</v>
      </c>
    </row>
    <row r="290" spans="1:14">
      <c r="C290" s="275"/>
    </row>
    <row r="291" spans="1:14">
      <c r="A291" s="145" t="s">
        <v>238</v>
      </c>
      <c r="C291" s="275" t="s">
        <v>1</v>
      </c>
      <c r="F291" s="64">
        <f>F282*(F287*F283)*F289</f>
        <v>1.6351500879999998</v>
      </c>
      <c r="G291" s="64">
        <f t="shared" ref="G291:M291" si="133">G282*(G287*G283)*G289</f>
        <v>1.59144832</v>
      </c>
      <c r="H291" s="64">
        <f>H282*(H287*H283)*H289</f>
        <v>0</v>
      </c>
      <c r="I291" s="64">
        <f t="shared" si="133"/>
        <v>0</v>
      </c>
      <c r="J291" s="64">
        <f t="shared" si="133"/>
        <v>0</v>
      </c>
      <c r="K291" s="64">
        <f t="shared" si="133"/>
        <v>0</v>
      </c>
      <c r="L291" s="64">
        <f t="shared" si="133"/>
        <v>0</v>
      </c>
      <c r="M291" s="64">
        <f t="shared" si="133"/>
        <v>0</v>
      </c>
    </row>
    <row r="293" spans="1:14">
      <c r="A293" s="164" t="s">
        <v>504</v>
      </c>
    </row>
    <row r="296" spans="1:14" ht="14.4">
      <c r="F296" s="125">
        <v>2014</v>
      </c>
      <c r="G296" s="125">
        <v>2015</v>
      </c>
      <c r="H296" s="125">
        <v>2016</v>
      </c>
      <c r="I296" s="125">
        <v>2017</v>
      </c>
      <c r="J296" s="125">
        <v>2018</v>
      </c>
      <c r="K296" s="125">
        <v>2019</v>
      </c>
      <c r="L296" s="125">
        <v>2020</v>
      </c>
      <c r="M296" s="125">
        <v>2021</v>
      </c>
    </row>
    <row r="297" spans="1:14">
      <c r="A297" s="140" t="s">
        <v>249</v>
      </c>
      <c r="B297" s="145" t="s">
        <v>142</v>
      </c>
      <c r="C297" s="272" t="s">
        <v>1</v>
      </c>
      <c r="F297" s="147">
        <f t="shared" ref="F297:M297" si="134">Dep_5</f>
        <v>0.96827999999999981</v>
      </c>
      <c r="G297" s="147">
        <f t="shared" si="134"/>
        <v>0.96827999999999981</v>
      </c>
      <c r="H297" s="147">
        <f t="shared" si="134"/>
        <v>0</v>
      </c>
      <c r="I297" s="147">
        <f t="shared" si="134"/>
        <v>0</v>
      </c>
      <c r="J297" s="147">
        <f t="shared" si="134"/>
        <v>0</v>
      </c>
      <c r="K297" s="147">
        <f t="shared" si="134"/>
        <v>0</v>
      </c>
      <c r="L297" s="147">
        <f t="shared" si="134"/>
        <v>0</v>
      </c>
      <c r="M297" s="147">
        <f t="shared" si="134"/>
        <v>0</v>
      </c>
      <c r="N297" s="132" t="s">
        <v>392</v>
      </c>
    </row>
    <row r="298" spans="1:14">
      <c r="A298" s="145" t="s">
        <v>156</v>
      </c>
      <c r="B298" s="145" t="s">
        <v>157</v>
      </c>
      <c r="C298" s="272" t="s">
        <v>118</v>
      </c>
      <c r="F298" s="147">
        <f t="shared" ref="F298:M298" si="135">F287</f>
        <v>1</v>
      </c>
      <c r="G298" s="147">
        <f t="shared" si="135"/>
        <v>1</v>
      </c>
      <c r="H298" s="147">
        <f t="shared" si="135"/>
        <v>1</v>
      </c>
      <c r="I298" s="147">
        <f t="shared" si="135"/>
        <v>1</v>
      </c>
      <c r="J298" s="147">
        <f t="shared" si="135"/>
        <v>1</v>
      </c>
      <c r="K298" s="147">
        <f t="shared" si="135"/>
        <v>1</v>
      </c>
      <c r="L298" s="147">
        <f t="shared" si="135"/>
        <v>1</v>
      </c>
      <c r="M298" s="147">
        <f t="shared" si="135"/>
        <v>1</v>
      </c>
      <c r="N298" s="132" t="s">
        <v>397</v>
      </c>
    </row>
    <row r="299" spans="1:14">
      <c r="A299" s="145" t="s">
        <v>158</v>
      </c>
      <c r="B299" s="145" t="s">
        <v>117</v>
      </c>
      <c r="C299" s="272" t="s">
        <v>118</v>
      </c>
      <c r="F299" s="201">
        <f t="shared" ref="F299:M299" si="136">RPIF</f>
        <v>1.163</v>
      </c>
      <c r="G299" s="201">
        <f t="shared" si="136"/>
        <v>1.2050000000000001</v>
      </c>
      <c r="H299" s="201">
        <f t="shared" si="136"/>
        <v>1.2270000000000001</v>
      </c>
      <c r="I299" s="201">
        <f t="shared" si="136"/>
        <v>1.2330000000000001</v>
      </c>
      <c r="J299" s="201">
        <f t="shared" si="136"/>
        <v>1.2709999999999999</v>
      </c>
      <c r="K299" s="201">
        <f t="shared" si="136"/>
        <v>1.228</v>
      </c>
      <c r="L299" s="201">
        <f t="shared" si="136"/>
        <v>1.2869999999999999</v>
      </c>
      <c r="M299" s="201">
        <f t="shared" si="136"/>
        <v>1.323</v>
      </c>
      <c r="N299" s="132" t="s">
        <v>117</v>
      </c>
    </row>
    <row r="300" spans="1:14">
      <c r="A300" s="145" t="s">
        <v>189</v>
      </c>
      <c r="C300" s="272"/>
      <c r="F300" s="64">
        <f>F297*F298*F299</f>
        <v>1.1261096399999999</v>
      </c>
      <c r="G300" s="64">
        <f t="shared" ref="G300:M300" si="137">G297*G298*G299</f>
        <v>1.1667773999999997</v>
      </c>
      <c r="H300" s="64">
        <f t="shared" si="137"/>
        <v>0</v>
      </c>
      <c r="I300" s="64">
        <f t="shared" si="137"/>
        <v>0</v>
      </c>
      <c r="J300" s="64">
        <f t="shared" si="137"/>
        <v>0</v>
      </c>
      <c r="K300" s="64">
        <f t="shared" si="137"/>
        <v>0</v>
      </c>
      <c r="L300" s="64">
        <f t="shared" si="137"/>
        <v>0</v>
      </c>
      <c r="M300" s="64">
        <f t="shared" si="137"/>
        <v>0</v>
      </c>
    </row>
    <row r="301" spans="1:14">
      <c r="C301" s="272"/>
    </row>
    <row r="302" spans="1:14">
      <c r="B302" s="145" t="s">
        <v>149</v>
      </c>
      <c r="C302" s="309" t="s">
        <v>1</v>
      </c>
      <c r="F302" s="64">
        <f>F291+F300</f>
        <v>2.7612597279999997</v>
      </c>
      <c r="G302" s="64">
        <f t="shared" ref="G302:M302" si="138">G291+G300</f>
        <v>2.7582257199999995</v>
      </c>
      <c r="H302" s="64">
        <f t="shared" si="138"/>
        <v>0</v>
      </c>
      <c r="I302" s="64">
        <f t="shared" si="138"/>
        <v>0</v>
      </c>
      <c r="J302" s="64">
        <f t="shared" si="138"/>
        <v>0</v>
      </c>
      <c r="K302" s="64">
        <f t="shared" si="138"/>
        <v>0</v>
      </c>
      <c r="L302" s="64">
        <f t="shared" si="138"/>
        <v>0</v>
      </c>
      <c r="M302" s="64">
        <f t="shared" si="138"/>
        <v>0</v>
      </c>
    </row>
    <row r="303" spans="1:14">
      <c r="C303" s="272"/>
    </row>
    <row r="304" spans="1:14">
      <c r="A304" s="145" t="s">
        <v>253</v>
      </c>
      <c r="B304" s="145" t="s">
        <v>147</v>
      </c>
      <c r="C304" s="309" t="s">
        <v>1</v>
      </c>
      <c r="F304" s="203">
        <f t="shared" ref="F304:M304" si="139">TIRGIncAdj5</f>
        <v>0</v>
      </c>
      <c r="G304" s="203">
        <f t="shared" si="139"/>
        <v>0</v>
      </c>
      <c r="H304" s="203">
        <f t="shared" si="139"/>
        <v>0</v>
      </c>
      <c r="I304" s="203">
        <f t="shared" si="139"/>
        <v>0</v>
      </c>
      <c r="J304" s="203">
        <f t="shared" si="139"/>
        <v>0</v>
      </c>
      <c r="K304" s="203">
        <f t="shared" si="139"/>
        <v>0</v>
      </c>
      <c r="L304" s="203">
        <f t="shared" si="139"/>
        <v>0</v>
      </c>
      <c r="M304" s="203">
        <f t="shared" si="139"/>
        <v>0</v>
      </c>
      <c r="N304" s="132" t="s">
        <v>365</v>
      </c>
    </row>
    <row r="305" spans="1:14">
      <c r="A305" s="145" t="s">
        <v>242</v>
      </c>
      <c r="B305" s="145" t="s">
        <v>150</v>
      </c>
      <c r="C305" s="272" t="s">
        <v>1</v>
      </c>
      <c r="F305" s="203">
        <f t="shared" ref="F305:M305" si="140">ATIRG5</f>
        <v>0</v>
      </c>
      <c r="G305" s="203">
        <f t="shared" si="140"/>
        <v>0</v>
      </c>
      <c r="H305" s="203">
        <f t="shared" si="140"/>
        <v>0</v>
      </c>
      <c r="I305" s="203">
        <f t="shared" si="140"/>
        <v>0</v>
      </c>
      <c r="J305" s="203">
        <f t="shared" si="140"/>
        <v>0</v>
      </c>
      <c r="K305" s="203">
        <f t="shared" si="140"/>
        <v>0</v>
      </c>
      <c r="L305" s="203">
        <f t="shared" si="140"/>
        <v>0</v>
      </c>
      <c r="M305" s="203">
        <f t="shared" si="140"/>
        <v>0</v>
      </c>
      <c r="N305" s="132" t="s">
        <v>366</v>
      </c>
    </row>
    <row r="306" spans="1:14">
      <c r="C306" s="309"/>
    </row>
  </sheetData>
  <pageMargins left="0.23622047244094491" right="0.15748031496062992" top="0.35433070866141736" bottom="0.62992125984251968" header="0.15748031496062992" footer="0.27559055118110237"/>
  <pageSetup paperSize="9" scale="52" fitToHeight="3" orientation="portrait" r:id="rId1"/>
  <headerFooter>
    <oddFooter>&amp;C&amp;D&amp;R&amp;F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9997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9" defaultRowHeight="12.6"/>
  <cols>
    <col min="1" max="1" width="32.36328125" style="122" customWidth="1"/>
    <col min="2" max="2" width="6.90625" style="122" customWidth="1"/>
    <col min="3" max="4" width="9" style="122" customWidth="1"/>
    <col min="5" max="5" width="3.7265625" style="122" customWidth="1"/>
    <col min="6" max="6" width="9.6328125" style="122" customWidth="1"/>
    <col min="7" max="8" width="9.453125" style="122" customWidth="1"/>
    <col min="9" max="9" width="9.7265625" style="122" customWidth="1"/>
    <col min="10" max="11" width="9.453125" style="122" customWidth="1"/>
    <col min="12" max="12" width="9.6328125" style="122" customWidth="1"/>
    <col min="13" max="13" width="9.453125" style="122" customWidth="1"/>
    <col min="14" max="14" width="7.08984375" style="122" customWidth="1"/>
    <col min="15" max="16384" width="9" style="122"/>
  </cols>
  <sheetData>
    <row r="1" spans="1:19" s="140" customFormat="1" ht="16.2">
      <c r="A1" s="139" t="s">
        <v>116</v>
      </c>
    </row>
    <row r="2" spans="1:19" s="140" customFormat="1" ht="16.2">
      <c r="A2" s="139" t="str">
        <f>CompName</f>
        <v>Scottish Power Transmission plc</v>
      </c>
    </row>
    <row r="3" spans="1:19" s="140" customFormat="1">
      <c r="A3" s="142" t="str">
        <f>RegYr</f>
        <v>Regulatory Year ending 31 March 2017</v>
      </c>
    </row>
    <row r="4" spans="1:19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19" ht="15.6">
      <c r="A5" s="278" t="s">
        <v>489</v>
      </c>
      <c r="B5" s="122" t="s">
        <v>488</v>
      </c>
      <c r="K5" s="132"/>
    </row>
    <row r="6" spans="1:19" ht="13.8">
      <c r="B6" s="144"/>
      <c r="C6" s="144"/>
      <c r="D6" s="144"/>
      <c r="E6" s="144"/>
      <c r="F6" s="144"/>
      <c r="G6" s="144"/>
      <c r="H6" s="144"/>
      <c r="I6" s="144"/>
    </row>
    <row r="7" spans="1:19" ht="14.4">
      <c r="B7" s="129"/>
      <c r="C7" s="157"/>
      <c r="D7" s="129"/>
      <c r="E7" s="129"/>
      <c r="F7" s="125">
        <v>2014</v>
      </c>
      <c r="G7" s="125">
        <v>2015</v>
      </c>
      <c r="H7" s="125">
        <v>2016</v>
      </c>
      <c r="I7" s="125">
        <v>2017</v>
      </c>
      <c r="J7" s="125">
        <v>2018</v>
      </c>
      <c r="K7" s="125">
        <v>2019</v>
      </c>
      <c r="L7" s="125">
        <v>2020</v>
      </c>
      <c r="M7" s="125">
        <v>2021</v>
      </c>
    </row>
    <row r="8" spans="1:19" ht="13.8">
      <c r="B8" s="129"/>
      <c r="C8" s="129"/>
      <c r="D8" s="129"/>
      <c r="E8" s="129"/>
      <c r="F8" s="129"/>
      <c r="G8" s="129"/>
      <c r="H8" s="129"/>
      <c r="I8" s="129"/>
    </row>
    <row r="9" spans="1:19" ht="13.8">
      <c r="A9" s="129" t="s">
        <v>14</v>
      </c>
      <c r="B9" s="129" t="s">
        <v>328</v>
      </c>
      <c r="C9" s="310" t="s">
        <v>1</v>
      </c>
      <c r="D9" s="129"/>
      <c r="E9" s="129"/>
      <c r="F9" s="147">
        <f t="shared" ref="F9:M9" si="0">BR</f>
        <v>261.81688600000001</v>
      </c>
      <c r="G9" s="147">
        <f t="shared" si="0"/>
        <v>292.91396867050065</v>
      </c>
      <c r="H9" s="146">
        <f t="shared" si="0"/>
        <v>293.58046195096097</v>
      </c>
      <c r="I9" s="146">
        <f t="shared" si="0"/>
        <v>270.34739485714852</v>
      </c>
      <c r="J9" s="146">
        <f t="shared" si="0"/>
        <v>293.19131802961505</v>
      </c>
      <c r="K9" s="146">
        <f t="shared" si="0"/>
        <v>309.66513020409781</v>
      </c>
      <c r="L9" s="146">
        <f t="shared" si="0"/>
        <v>334.13273172821613</v>
      </c>
      <c r="M9" s="146">
        <f t="shared" si="0"/>
        <v>362.77629961779297</v>
      </c>
      <c r="N9" s="132" t="s">
        <v>328</v>
      </c>
      <c r="O9" s="132"/>
    </row>
    <row r="10" spans="1:19" ht="13.8">
      <c r="A10" s="129" t="s">
        <v>10</v>
      </c>
      <c r="B10" s="129" t="s">
        <v>329</v>
      </c>
      <c r="C10" s="310" t="s">
        <v>1</v>
      </c>
      <c r="D10" s="129"/>
      <c r="E10" s="129"/>
      <c r="F10" s="147">
        <f t="shared" ref="F10:M10" si="1">PTt</f>
        <v>0</v>
      </c>
      <c r="G10" s="147">
        <f t="shared" si="1"/>
        <v>0</v>
      </c>
      <c r="H10" s="146">
        <f t="shared" si="1"/>
        <v>-32.418754657380006</v>
      </c>
      <c r="I10" s="146">
        <f t="shared" si="1"/>
        <v>-32.512755172511255</v>
      </c>
      <c r="J10" s="146">
        <f t="shared" si="1"/>
        <v>-33.453601476598223</v>
      </c>
      <c r="K10" s="146">
        <f t="shared" si="1"/>
        <v>-32.385959101483202</v>
      </c>
      <c r="L10" s="146">
        <f t="shared" si="1"/>
        <v>-34.039766238192001</v>
      </c>
      <c r="M10" s="146">
        <f t="shared" si="1"/>
        <v>-34.991927531568003</v>
      </c>
      <c r="N10" s="132" t="s">
        <v>329</v>
      </c>
    </row>
    <row r="11" spans="1:19" ht="13.8">
      <c r="A11" s="129" t="s">
        <v>15</v>
      </c>
      <c r="B11" s="129" t="s">
        <v>330</v>
      </c>
      <c r="C11" s="310" t="s">
        <v>1</v>
      </c>
      <c r="D11" s="129"/>
      <c r="E11" s="129"/>
      <c r="F11" s="147">
        <f t="shared" ref="F11:M11" si="2">OIP</f>
        <v>1.0039499999999999</v>
      </c>
      <c r="G11" s="147">
        <f t="shared" si="2"/>
        <v>0</v>
      </c>
      <c r="H11" s="146">
        <f t="shared" si="2"/>
        <v>3.1445685392727274</v>
      </c>
      <c r="I11" s="146">
        <f t="shared" si="2"/>
        <v>3.0738462792436705</v>
      </c>
      <c r="J11" s="146">
        <f t="shared" si="2"/>
        <v>3.1232615486450621</v>
      </c>
      <c r="K11" s="146">
        <f t="shared" si="2"/>
        <v>0.52188051269823443</v>
      </c>
      <c r="L11" s="146">
        <f t="shared" si="2"/>
        <v>-0.39369790675453498</v>
      </c>
      <c r="M11" s="146">
        <f t="shared" si="2"/>
        <v>-0.45134723516487973</v>
      </c>
      <c r="N11" s="132" t="s">
        <v>330</v>
      </c>
    </row>
    <row r="12" spans="1:19" ht="13.8">
      <c r="A12" s="129" t="s">
        <v>36</v>
      </c>
      <c r="B12" s="129" t="s">
        <v>233</v>
      </c>
      <c r="C12" s="310" t="s">
        <v>1</v>
      </c>
      <c r="D12" s="129"/>
      <c r="E12" s="129"/>
      <c r="F12" s="147">
        <f t="shared" ref="F12:M12" si="3">NIA</f>
        <v>0</v>
      </c>
      <c r="G12" s="147">
        <f t="shared" si="3"/>
        <v>0</v>
      </c>
      <c r="H12" s="146">
        <f t="shared" si="3"/>
        <v>0</v>
      </c>
      <c r="I12" s="146">
        <f t="shared" si="3"/>
        <v>0</v>
      </c>
      <c r="J12" s="146">
        <f t="shared" si="3"/>
        <v>0</v>
      </c>
      <c r="K12" s="146">
        <f t="shared" si="3"/>
        <v>0</v>
      </c>
      <c r="L12" s="146">
        <f t="shared" si="3"/>
        <v>0</v>
      </c>
      <c r="M12" s="146">
        <f t="shared" si="3"/>
        <v>0</v>
      </c>
      <c r="N12" s="132" t="s">
        <v>233</v>
      </c>
    </row>
    <row r="13" spans="1:19" ht="13.8">
      <c r="A13" s="129" t="s">
        <v>16</v>
      </c>
      <c r="B13" s="129" t="s">
        <v>331</v>
      </c>
      <c r="C13" s="310" t="s">
        <v>1</v>
      </c>
      <c r="D13" s="129"/>
      <c r="E13" s="129"/>
      <c r="F13" s="147">
        <f t="shared" ref="F13:M13" si="4">TIRG</f>
        <v>26.21188008</v>
      </c>
      <c r="G13" s="147">
        <f t="shared" si="4"/>
        <v>21.199189039999997</v>
      </c>
      <c r="H13" s="146">
        <f t="shared" si="4"/>
        <v>19.893881064000002</v>
      </c>
      <c r="I13" s="146">
        <f t="shared" si="4"/>
        <v>6.6779280000000005</v>
      </c>
      <c r="J13" s="146">
        <f t="shared" si="4"/>
        <v>33.040580456000001</v>
      </c>
      <c r="K13" s="146">
        <f t="shared" si="4"/>
        <v>30.874002687999997</v>
      </c>
      <c r="L13" s="146">
        <f t="shared" si="4"/>
        <v>31.258213271999999</v>
      </c>
      <c r="M13" s="146">
        <f t="shared" si="4"/>
        <v>24.797105424000002</v>
      </c>
      <c r="N13" s="185" t="s">
        <v>331</v>
      </c>
    </row>
    <row r="14" spans="1:19" ht="13.8">
      <c r="A14" s="129" t="s">
        <v>11</v>
      </c>
      <c r="B14" s="129" t="s">
        <v>332</v>
      </c>
      <c r="C14" s="310" t="s">
        <v>118</v>
      </c>
      <c r="D14" s="129"/>
      <c r="E14" s="129"/>
      <c r="F14" s="147">
        <f t="shared" ref="F14:M14" si="5">Kt</f>
        <v>11.181499999999987</v>
      </c>
      <c r="G14" s="147">
        <f t="shared" si="5"/>
        <v>0</v>
      </c>
      <c r="H14" s="146">
        <f t="shared" si="5"/>
        <v>-286.22148396440997</v>
      </c>
      <c r="I14" s="146">
        <f t="shared" si="5"/>
        <v>-323.57581658652941</v>
      </c>
      <c r="J14" s="146">
        <f t="shared" si="5"/>
        <v>-586.68835479370421</v>
      </c>
      <c r="K14" s="146">
        <f t="shared" si="5"/>
        <v>-584.5662657769675</v>
      </c>
      <c r="L14" s="146">
        <f t="shared" si="5"/>
        <v>-900.24171161839331</v>
      </c>
      <c r="M14" s="146">
        <f t="shared" si="5"/>
        <v>-911.10614648188596</v>
      </c>
      <c r="N14" s="132" t="s">
        <v>332</v>
      </c>
    </row>
    <row r="15" spans="1:19" ht="13.8">
      <c r="A15" s="129"/>
      <c r="B15" s="129"/>
      <c r="D15" s="129"/>
      <c r="E15" s="129"/>
      <c r="F15" s="211"/>
      <c r="G15" s="211"/>
      <c r="H15" s="211"/>
      <c r="I15" s="211"/>
      <c r="J15" s="211"/>
      <c r="K15" s="211"/>
      <c r="L15" s="211"/>
      <c r="M15" s="211"/>
    </row>
    <row r="16" spans="1:19" ht="13.8">
      <c r="A16" s="129" t="s">
        <v>12</v>
      </c>
      <c r="B16" s="129" t="s">
        <v>13</v>
      </c>
      <c r="C16" s="310" t="s">
        <v>1</v>
      </c>
      <c r="D16" s="129"/>
      <c r="E16" s="129"/>
      <c r="F16" s="322">
        <f>SUM(F9:F13)-F14</f>
        <v>277.85121608000003</v>
      </c>
      <c r="G16" s="322">
        <f t="shared" ref="G16:M16" si="6">SUM(G9:G13)-G14</f>
        <v>314.11315771050067</v>
      </c>
      <c r="H16" s="66">
        <f t="shared" si="6"/>
        <v>570.42164086126365</v>
      </c>
      <c r="I16" s="66">
        <f t="shared" si="6"/>
        <v>571.16223055041041</v>
      </c>
      <c r="J16" s="66">
        <f>SUM(J9:J13)-J14</f>
        <v>882.58991335136602</v>
      </c>
      <c r="K16" s="66">
        <f t="shared" si="6"/>
        <v>893.24132008028039</v>
      </c>
      <c r="L16" s="66">
        <f t="shared" si="6"/>
        <v>1231.1991924736628</v>
      </c>
      <c r="M16" s="66">
        <f t="shared" si="6"/>
        <v>1263.2362767569462</v>
      </c>
      <c r="N16" s="185" t="s">
        <v>13</v>
      </c>
    </row>
    <row r="17" spans="4:8" ht="13.8">
      <c r="D17" s="129"/>
      <c r="E17" s="129"/>
      <c r="H17" s="132"/>
    </row>
    <row r="18" spans="4:8">
      <c r="F18" s="132"/>
    </row>
    <row r="999992" spans="1:1">
      <c r="A999992" s="122" t="s">
        <v>7</v>
      </c>
    </row>
    <row r="999993" spans="1:1">
      <c r="A999993" s="122" t="s">
        <v>2</v>
      </c>
    </row>
    <row r="999994" spans="1:1">
      <c r="A999994" s="122" t="s">
        <v>6</v>
      </c>
    </row>
    <row r="999995" spans="1:1">
      <c r="A999995" s="122" t="s">
        <v>3</v>
      </c>
    </row>
    <row r="999996" spans="1:1">
      <c r="A999996" s="122" t="s">
        <v>4</v>
      </c>
    </row>
    <row r="999997" spans="1:1">
      <c r="A999997" s="122" t="s">
        <v>5</v>
      </c>
    </row>
  </sheetData>
  <pageMargins left="0.26" right="0.18" top="0.66" bottom="0.67" header="0.31496062992125984" footer="0.31496062992125984"/>
  <pageSetup paperSize="9" scale="88" orientation="landscape" r:id="rId1"/>
  <headerFooter>
    <oddFooter>&amp;C&amp;D&amp;R&amp;F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K55"/>
  <sheetViews>
    <sheetView showGridLines="0" view="pageBreakPreview" zoomScaleNormal="60" zoomScaleSheetLayoutView="100" workbookViewId="0">
      <pane ySplit="5" topLeftCell="A6" activePane="bottomLeft" state="frozen"/>
      <selection activeCell="K19" sqref="K19"/>
      <selection pane="bottomLeft" activeCell="G51" sqref="B51:G51"/>
    </sheetView>
  </sheetViews>
  <sheetFormatPr defaultColWidth="0" defaultRowHeight="15" customHeight="1" zeroHeight="1"/>
  <cols>
    <col min="1" max="1" width="8.453125" style="212" customWidth="1"/>
    <col min="2" max="2" width="18.08984375" style="212" customWidth="1"/>
    <col min="3" max="5" width="8" style="212" customWidth="1"/>
    <col min="6" max="6" width="5.90625" style="212" customWidth="1"/>
    <col min="7" max="7" width="20.36328125" style="212" customWidth="1"/>
    <col min="8" max="8" width="2.36328125" style="212" customWidth="1"/>
    <col min="9" max="9" width="8.453125" style="212" customWidth="1"/>
    <col min="10" max="10" width="2.36328125" style="212" customWidth="1"/>
    <col min="11" max="16384" width="0" style="212" hidden="1"/>
  </cols>
  <sheetData>
    <row r="1" spans="1:8" s="140" customFormat="1" ht="16.2">
      <c r="A1" s="139" t="s">
        <v>264</v>
      </c>
      <c r="E1" s="141"/>
    </row>
    <row r="2" spans="1:8" s="140" customFormat="1" ht="16.2">
      <c r="A2" s="139" t="str">
        <f>CompName</f>
        <v>Scottish Power Transmission plc</v>
      </c>
      <c r="E2" s="141"/>
    </row>
    <row r="3" spans="1:8" s="140" customFormat="1" ht="12.6">
      <c r="A3" s="142" t="str">
        <f>RegYr</f>
        <v>Regulatory Year ending 31 March 2017</v>
      </c>
      <c r="E3" s="141"/>
    </row>
    <row r="4" spans="1:8" ht="15.75" customHeight="1"/>
    <row r="5" spans="1:8" ht="13.8">
      <c r="A5" s="140" t="s">
        <v>405</v>
      </c>
    </row>
    <row r="6" spans="1:8" ht="9" customHeight="1"/>
    <row r="7" spans="1:8" ht="13.8">
      <c r="A7" s="213" t="s">
        <v>537</v>
      </c>
    </row>
    <row r="8" spans="1:8" ht="9" customHeight="1">
      <c r="A8" s="214"/>
    </row>
    <row r="9" spans="1:8" ht="13.8">
      <c r="A9" s="215" t="s">
        <v>82</v>
      </c>
      <c r="B9" s="216"/>
      <c r="C9" s="216"/>
      <c r="D9" s="216"/>
      <c r="E9" s="216"/>
      <c r="F9" s="216"/>
      <c r="G9" s="216"/>
    </row>
    <row r="10" spans="1:8" ht="9" customHeight="1"/>
    <row r="11" spans="1:8" ht="13.8">
      <c r="G11" s="217" t="s">
        <v>8</v>
      </c>
      <c r="H11" s="218"/>
    </row>
    <row r="12" spans="1:8" ht="13.8">
      <c r="B12" s="219" t="s">
        <v>83</v>
      </c>
      <c r="G12" s="220" t="s">
        <v>1</v>
      </c>
    </row>
    <row r="13" spans="1:8" ht="15" customHeight="1">
      <c r="A13" s="217">
        <v>1</v>
      </c>
      <c r="B13" s="395"/>
      <c r="C13" s="397"/>
      <c r="D13" s="397"/>
      <c r="E13" s="397"/>
      <c r="F13" s="398"/>
      <c r="G13" s="221"/>
      <c r="H13" s="222"/>
    </row>
    <row r="14" spans="1:8" ht="13.8">
      <c r="A14" s="217">
        <v>2</v>
      </c>
      <c r="B14" s="395"/>
      <c r="C14" s="396"/>
      <c r="D14" s="396"/>
      <c r="E14" s="396"/>
      <c r="F14" s="396"/>
      <c r="G14" s="221"/>
      <c r="H14" s="222"/>
    </row>
    <row r="15" spans="1:8" ht="13.8">
      <c r="A15" s="217">
        <v>3</v>
      </c>
      <c r="B15" s="395"/>
      <c r="C15" s="396"/>
      <c r="D15" s="396"/>
      <c r="E15" s="396"/>
      <c r="F15" s="396"/>
      <c r="G15" s="221"/>
      <c r="H15" s="222"/>
    </row>
    <row r="16" spans="1:8" ht="13.8">
      <c r="A16" s="217">
        <v>4</v>
      </c>
      <c r="B16" s="395"/>
      <c r="C16" s="396"/>
      <c r="D16" s="396"/>
      <c r="E16" s="396"/>
      <c r="F16" s="396"/>
      <c r="G16" s="221"/>
      <c r="H16" s="222"/>
    </row>
    <row r="17" spans="1:8" ht="13.8">
      <c r="A17" s="217">
        <v>5</v>
      </c>
      <c r="B17" s="395"/>
      <c r="C17" s="396"/>
      <c r="D17" s="396"/>
      <c r="E17" s="396"/>
      <c r="F17" s="396"/>
      <c r="G17" s="221"/>
      <c r="H17" s="222"/>
    </row>
    <row r="18" spans="1:8" ht="13.8">
      <c r="A18" s="217">
        <v>6</v>
      </c>
      <c r="B18" s="395"/>
      <c r="C18" s="396"/>
      <c r="D18" s="396"/>
      <c r="E18" s="396"/>
      <c r="F18" s="396"/>
      <c r="G18" s="221"/>
      <c r="H18" s="222"/>
    </row>
    <row r="19" spans="1:8" ht="13.8">
      <c r="A19" s="217">
        <v>7</v>
      </c>
      <c r="B19" s="395"/>
      <c r="C19" s="396"/>
      <c r="D19" s="396"/>
      <c r="E19" s="396"/>
      <c r="F19" s="396"/>
      <c r="G19" s="221"/>
      <c r="H19" s="222"/>
    </row>
    <row r="20" spans="1:8" ht="13.8">
      <c r="A20" s="217">
        <v>8</v>
      </c>
      <c r="B20" s="395"/>
      <c r="C20" s="396"/>
      <c r="D20" s="396"/>
      <c r="E20" s="396"/>
      <c r="F20" s="396"/>
      <c r="G20" s="221"/>
      <c r="H20" s="222"/>
    </row>
    <row r="21" spans="1:8" ht="13.8">
      <c r="A21" s="217">
        <v>9</v>
      </c>
      <c r="B21" s="395"/>
      <c r="C21" s="396"/>
      <c r="D21" s="396"/>
      <c r="E21" s="396"/>
      <c r="F21" s="396"/>
      <c r="G21" s="221"/>
      <c r="H21" s="222"/>
    </row>
    <row r="22" spans="1:8" ht="13.8">
      <c r="A22" s="217">
        <v>10</v>
      </c>
      <c r="B22" s="395"/>
      <c r="C22" s="396"/>
      <c r="D22" s="396"/>
      <c r="E22" s="396"/>
      <c r="F22" s="396"/>
      <c r="G22" s="221"/>
    </row>
    <row r="23" spans="1:8" ht="13.8">
      <c r="A23" s="217">
        <v>11</v>
      </c>
      <c r="B23" s="395"/>
      <c r="C23" s="396"/>
      <c r="D23" s="396"/>
      <c r="E23" s="396"/>
      <c r="F23" s="396"/>
      <c r="G23" s="221"/>
    </row>
    <row r="24" spans="1:8" ht="13.8">
      <c r="A24" s="217">
        <v>12</v>
      </c>
      <c r="B24" s="395"/>
      <c r="C24" s="396"/>
      <c r="D24" s="396"/>
      <c r="E24" s="396"/>
      <c r="F24" s="396"/>
      <c r="G24" s="221"/>
    </row>
    <row r="25" spans="1:8" ht="13.8">
      <c r="A25" s="217">
        <v>13</v>
      </c>
      <c r="B25" s="395"/>
      <c r="C25" s="396"/>
      <c r="D25" s="396"/>
      <c r="E25" s="396"/>
      <c r="F25" s="396"/>
      <c r="G25" s="221"/>
    </row>
    <row r="26" spans="1:8" ht="13.8">
      <c r="A26" s="217">
        <v>14</v>
      </c>
      <c r="B26" s="395"/>
      <c r="C26" s="396"/>
      <c r="D26" s="396"/>
      <c r="E26" s="396"/>
      <c r="F26" s="396"/>
      <c r="G26" s="221"/>
    </row>
    <row r="27" spans="1:8" ht="13.8">
      <c r="A27" s="217">
        <v>15</v>
      </c>
      <c r="B27" s="395"/>
      <c r="C27" s="396"/>
      <c r="D27" s="396"/>
      <c r="E27" s="396"/>
      <c r="F27" s="396"/>
      <c r="G27" s="221"/>
    </row>
    <row r="28" spans="1:8" ht="9" customHeight="1">
      <c r="A28" s="223"/>
      <c r="B28" s="224"/>
      <c r="C28" s="224"/>
      <c r="D28" s="224"/>
      <c r="E28" s="224"/>
      <c r="F28" s="224"/>
      <c r="G28" s="225"/>
    </row>
    <row r="29" spans="1:8" ht="14.4" thickBot="1">
      <c r="F29" s="140" t="s">
        <v>84</v>
      </c>
      <c r="G29" s="227">
        <f>SUM(G13:G27)</f>
        <v>0</v>
      </c>
    </row>
    <row r="30" spans="1:8" ht="9" customHeight="1" thickTop="1"/>
    <row r="31" spans="1:8" ht="13.8">
      <c r="A31" s="213" t="s">
        <v>85</v>
      </c>
    </row>
    <row r="32" spans="1:8" ht="9" customHeight="1"/>
    <row r="33" spans="1:11" ht="13.8">
      <c r="A33" s="215" t="s">
        <v>86</v>
      </c>
      <c r="B33" s="216"/>
      <c r="C33" s="216"/>
      <c r="D33" s="216"/>
      <c r="E33" s="216"/>
      <c r="F33" s="216"/>
      <c r="G33" s="216"/>
    </row>
    <row r="34" spans="1:11" ht="9" customHeight="1"/>
    <row r="35" spans="1:11" ht="13.8">
      <c r="G35" s="217" t="s">
        <v>8</v>
      </c>
    </row>
    <row r="36" spans="1:11" ht="13.8">
      <c r="B36" s="219" t="s">
        <v>83</v>
      </c>
      <c r="G36" s="220" t="s">
        <v>1</v>
      </c>
    </row>
    <row r="37" spans="1:11" ht="13.8">
      <c r="A37" s="217">
        <v>1</v>
      </c>
      <c r="B37" s="395"/>
      <c r="C37" s="397"/>
      <c r="D37" s="397"/>
      <c r="E37" s="397"/>
      <c r="F37" s="398"/>
      <c r="G37" s="221"/>
    </row>
    <row r="38" spans="1:11" ht="13.8">
      <c r="A38" s="217">
        <v>2</v>
      </c>
      <c r="B38" s="395"/>
      <c r="C38" s="397"/>
      <c r="D38" s="397"/>
      <c r="E38" s="397"/>
      <c r="F38" s="398"/>
      <c r="G38" s="221"/>
      <c r="H38" s="222"/>
    </row>
    <row r="39" spans="1:11" ht="13.8">
      <c r="A39" s="217">
        <v>3</v>
      </c>
      <c r="B39" s="395"/>
      <c r="C39" s="396"/>
      <c r="D39" s="396"/>
      <c r="E39" s="396"/>
      <c r="F39" s="396"/>
      <c r="G39" s="221"/>
      <c r="H39" s="222"/>
    </row>
    <row r="40" spans="1:11" ht="13.8">
      <c r="A40" s="217">
        <v>4</v>
      </c>
      <c r="B40" s="395"/>
      <c r="C40" s="396"/>
      <c r="D40" s="396"/>
      <c r="E40" s="396"/>
      <c r="F40" s="396"/>
      <c r="G40" s="221"/>
      <c r="H40" s="222"/>
    </row>
    <row r="41" spans="1:11" ht="13.8">
      <c r="A41" s="217">
        <v>5</v>
      </c>
      <c r="B41" s="395"/>
      <c r="C41" s="396"/>
      <c r="D41" s="396"/>
      <c r="E41" s="396"/>
      <c r="F41" s="396"/>
      <c r="G41" s="221"/>
      <c r="H41" s="222"/>
    </row>
    <row r="42" spans="1:11" ht="13.8">
      <c r="A42" s="217">
        <v>6</v>
      </c>
      <c r="B42" s="395"/>
      <c r="C42" s="396"/>
      <c r="D42" s="396"/>
      <c r="E42" s="396"/>
      <c r="F42" s="396"/>
      <c r="G42" s="221"/>
      <c r="H42" s="222"/>
      <c r="K42" s="226"/>
    </row>
    <row r="43" spans="1:11" ht="13.8">
      <c r="A43" s="217">
        <v>7</v>
      </c>
      <c r="B43" s="395"/>
      <c r="C43" s="396"/>
      <c r="D43" s="396"/>
      <c r="E43" s="396"/>
      <c r="F43" s="396"/>
      <c r="G43" s="221"/>
      <c r="H43" s="222"/>
      <c r="K43" s="226"/>
    </row>
    <row r="44" spans="1:11" ht="13.8">
      <c r="A44" s="217">
        <v>8</v>
      </c>
      <c r="B44" s="395"/>
      <c r="C44" s="396"/>
      <c r="D44" s="396"/>
      <c r="E44" s="396"/>
      <c r="F44" s="396"/>
      <c r="G44" s="221"/>
      <c r="H44" s="222"/>
      <c r="K44" s="226"/>
    </row>
    <row r="45" spans="1:11" ht="13.8">
      <c r="A45" s="217">
        <v>9</v>
      </c>
      <c r="B45" s="395"/>
      <c r="C45" s="396"/>
      <c r="D45" s="396"/>
      <c r="E45" s="396"/>
      <c r="F45" s="396"/>
      <c r="G45" s="221"/>
      <c r="H45" s="222"/>
      <c r="K45" s="226"/>
    </row>
    <row r="46" spans="1:11" ht="13.8">
      <c r="A46" s="217">
        <v>10</v>
      </c>
      <c r="B46" s="395"/>
      <c r="C46" s="396"/>
      <c r="D46" s="396"/>
      <c r="E46" s="396"/>
      <c r="F46" s="396"/>
      <c r="G46" s="221"/>
      <c r="H46" s="222"/>
      <c r="K46" s="226"/>
    </row>
    <row r="47" spans="1:11" ht="13.8">
      <c r="A47" s="217">
        <v>11</v>
      </c>
      <c r="B47" s="395"/>
      <c r="C47" s="396"/>
      <c r="D47" s="396"/>
      <c r="E47" s="396"/>
      <c r="F47" s="396"/>
      <c r="G47" s="221"/>
      <c r="H47" s="222"/>
    </row>
    <row r="48" spans="1:11" ht="13.8">
      <c r="A48" s="217">
        <v>12</v>
      </c>
      <c r="B48" s="395"/>
      <c r="C48" s="396"/>
      <c r="D48" s="396"/>
      <c r="E48" s="396"/>
      <c r="F48" s="396"/>
      <c r="G48" s="221"/>
      <c r="H48" s="222"/>
    </row>
    <row r="49" spans="1:8" ht="13.8">
      <c r="A49" s="217">
        <v>13</v>
      </c>
      <c r="B49" s="395"/>
      <c r="C49" s="396"/>
      <c r="D49" s="396"/>
      <c r="E49" s="396"/>
      <c r="F49" s="396"/>
      <c r="G49" s="221"/>
      <c r="H49" s="222"/>
    </row>
    <row r="50" spans="1:8" ht="13.8">
      <c r="A50" s="217">
        <v>14</v>
      </c>
      <c r="B50" s="395"/>
      <c r="C50" s="396"/>
      <c r="D50" s="396"/>
      <c r="E50" s="396"/>
      <c r="F50" s="396"/>
      <c r="G50" s="221"/>
      <c r="H50" s="222"/>
    </row>
    <row r="51" spans="1:8" ht="13.8">
      <c r="A51" s="217">
        <v>15</v>
      </c>
      <c r="B51" s="395"/>
      <c r="C51" s="396"/>
      <c r="D51" s="396"/>
      <c r="E51" s="396"/>
      <c r="F51" s="396"/>
      <c r="G51" s="360"/>
      <c r="H51" s="222"/>
    </row>
    <row r="52" spans="1:8" ht="9" customHeight="1"/>
    <row r="53" spans="1:8" ht="14.4" thickBot="1">
      <c r="F53" s="140" t="s">
        <v>84</v>
      </c>
      <c r="G53" s="227">
        <f>SUM(G37:G51)</f>
        <v>0</v>
      </c>
    </row>
    <row r="54" spans="1:8" ht="14.4" thickTop="1"/>
    <row r="55" spans="1:8" ht="15" customHeight="1"/>
  </sheetData>
  <mergeCells count="30">
    <mergeCell ref="B27:F27"/>
    <mergeCell ref="B13:F13"/>
    <mergeCell ref="B14:F14"/>
    <mergeCell ref="B15:F15"/>
    <mergeCell ref="B19:F19"/>
    <mergeCell ref="B20:F20"/>
    <mergeCell ref="B21:F21"/>
    <mergeCell ref="B22:F22"/>
    <mergeCell ref="B23:F23"/>
    <mergeCell ref="B24:F24"/>
    <mergeCell ref="B25:F25"/>
    <mergeCell ref="B26:F26"/>
    <mergeCell ref="B16:F16"/>
    <mergeCell ref="B17:F17"/>
    <mergeCell ref="B18:F18"/>
    <mergeCell ref="B51:F51"/>
    <mergeCell ref="B37:F37"/>
    <mergeCell ref="B38:F38"/>
    <mergeCell ref="B39:F39"/>
    <mergeCell ref="B40:F40"/>
    <mergeCell ref="B41:F41"/>
    <mergeCell ref="B42:F42"/>
    <mergeCell ref="B43:F43"/>
    <mergeCell ref="B44:F44"/>
    <mergeCell ref="B48:F48"/>
    <mergeCell ref="B49:F49"/>
    <mergeCell ref="B50:F50"/>
    <mergeCell ref="B45:F45"/>
    <mergeCell ref="B46:F46"/>
    <mergeCell ref="B47:F47"/>
  </mergeCells>
  <pageMargins left="0.15748031496062992" right="0.15748031496062992" top="0.39370078740157483" bottom="0.59055118110236227" header="0.11811023622047245" footer="0.118110236220472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K58"/>
  <sheetViews>
    <sheetView showGridLines="0" view="pageBreakPreview" zoomScale="80" zoomScaleNormal="60" zoomScaleSheetLayoutView="80" workbookViewId="0">
      <pane ySplit="9" topLeftCell="A10" activePane="bottomLeft" state="frozen"/>
      <selection activeCell="K19" sqref="K19"/>
      <selection pane="bottomLeft" activeCell="I12" sqref="I12"/>
    </sheetView>
  </sheetViews>
  <sheetFormatPr defaultColWidth="0" defaultRowHeight="0" customHeight="1" zeroHeight="1"/>
  <cols>
    <col min="1" max="1" width="2.36328125" style="212" customWidth="1"/>
    <col min="2" max="6" width="8" style="212" customWidth="1"/>
    <col min="7" max="7" width="20.36328125" style="212" customWidth="1"/>
    <col min="8" max="8" width="2.36328125" style="212" customWidth="1"/>
    <col min="9" max="9" width="11.90625" style="212" bestFit="1" customWidth="1"/>
    <col min="10" max="10" width="2.36328125" style="212" customWidth="1"/>
    <col min="11" max="11" width="11.08984375" style="212" bestFit="1" customWidth="1"/>
    <col min="12" max="12" width="2.36328125" style="212" customWidth="1"/>
    <col min="13" max="16384" width="0" style="212" hidden="1"/>
  </cols>
  <sheetData>
    <row r="1" spans="1:11" s="140" customFormat="1" ht="16.2">
      <c r="A1" s="139"/>
      <c r="E1" s="141"/>
    </row>
    <row r="2" spans="1:11" s="140" customFormat="1" ht="16.2">
      <c r="A2" s="139" t="str">
        <f>CompName</f>
        <v>Scottish Power Transmission plc</v>
      </c>
      <c r="E2" s="141"/>
    </row>
    <row r="3" spans="1:11" s="140" customFormat="1" ht="12.6">
      <c r="A3" s="142"/>
      <c r="C3" s="140" t="s">
        <v>245</v>
      </c>
      <c r="E3" s="141"/>
    </row>
    <row r="4" spans="1:11" s="140" customFormat="1" ht="16.2">
      <c r="A4" s="139"/>
      <c r="E4" s="141"/>
    </row>
    <row r="5" spans="1:11" ht="5.0999999999999996" customHeight="1"/>
    <row r="6" spans="1:11" ht="13.8">
      <c r="C6" s="219" t="s">
        <v>244</v>
      </c>
      <c r="D6" s="219" t="str">
        <f>RegYr</f>
        <v>Regulatory Year ending 31 March 2017</v>
      </c>
    </row>
    <row r="7" spans="1:11" ht="5.0999999999999996" customHeight="1"/>
    <row r="8" spans="1:11" ht="13.8" hidden="1">
      <c r="A8" s="228"/>
      <c r="B8" s="228"/>
      <c r="C8" s="228"/>
      <c r="D8" s="228"/>
      <c r="E8" s="228"/>
      <c r="F8" s="229"/>
      <c r="G8" s="228"/>
      <c r="H8" s="228"/>
      <c r="I8" s="228"/>
      <c r="J8" s="228"/>
      <c r="K8" s="228"/>
    </row>
    <row r="9" spans="1:11" ht="13.8">
      <c r="A9" s="6"/>
      <c r="B9" s="6"/>
      <c r="C9" s="6"/>
      <c r="D9" s="6"/>
      <c r="E9" s="6"/>
      <c r="F9" s="230"/>
      <c r="G9" s="6"/>
      <c r="H9" s="6"/>
      <c r="I9" s="231" t="s">
        <v>1</v>
      </c>
      <c r="J9" s="6"/>
      <c r="K9" s="231" t="s">
        <v>1</v>
      </c>
    </row>
    <row r="10" spans="1:11" ht="13.8">
      <c r="A10" s="6"/>
      <c r="B10" s="232" t="s">
        <v>81</v>
      </c>
      <c r="C10" s="6"/>
      <c r="D10" s="6"/>
      <c r="E10" s="6"/>
      <c r="F10" s="230"/>
      <c r="G10" s="6"/>
      <c r="H10" s="6"/>
      <c r="I10" s="231"/>
      <c r="J10" s="6"/>
      <c r="K10" s="231"/>
    </row>
    <row r="11" spans="1:11" s="235" customFormat="1" ht="13.8">
      <c r="A11" s="6"/>
      <c r="B11" s="212" t="s">
        <v>80</v>
      </c>
      <c r="C11" s="6"/>
      <c r="D11" s="6"/>
      <c r="E11" s="6"/>
      <c r="F11" s="230"/>
      <c r="G11" s="6"/>
      <c r="H11" s="6"/>
      <c r="I11" s="147">
        <f>'R10 Correction'!I10</f>
        <v>0</v>
      </c>
      <c r="J11" s="234"/>
      <c r="K11" s="234"/>
    </row>
    <row r="12" spans="1:11" s="235" customFormat="1" ht="13.8">
      <c r="A12" s="6"/>
      <c r="B12" s="6"/>
      <c r="C12" s="6"/>
      <c r="D12" s="6"/>
      <c r="E12" s="6"/>
      <c r="F12" s="230"/>
      <c r="G12" s="230"/>
      <c r="H12" s="230"/>
      <c r="I12" s="230"/>
      <c r="J12" s="236"/>
      <c r="K12" s="237"/>
    </row>
    <row r="13" spans="1:11" s="235" customFormat="1" ht="13.8">
      <c r="A13" s="6"/>
      <c r="B13" s="6"/>
      <c r="C13" s="238"/>
      <c r="D13" s="6"/>
      <c r="E13" s="6"/>
      <c r="F13" s="230"/>
      <c r="G13" s="230"/>
      <c r="H13" s="6"/>
      <c r="I13" s="236"/>
      <c r="J13" s="236"/>
      <c r="K13" s="5">
        <f>I11</f>
        <v>0</v>
      </c>
    </row>
    <row r="14" spans="1:11" s="235" customFormat="1" ht="5.0999999999999996" customHeight="1">
      <c r="A14" s="239"/>
      <c r="B14" s="6"/>
      <c r="C14" s="6"/>
      <c r="D14" s="6"/>
      <c r="E14" s="6"/>
      <c r="F14" s="230"/>
      <c r="G14" s="230"/>
      <c r="H14" s="6"/>
      <c r="I14" s="236"/>
      <c r="J14" s="236"/>
      <c r="K14" s="236"/>
    </row>
    <row r="15" spans="1:11" s="235" customFormat="1" ht="13.8" hidden="1">
      <c r="A15" s="6"/>
      <c r="B15" s="6"/>
      <c r="C15" s="6"/>
      <c r="D15" s="6"/>
      <c r="E15" s="6"/>
      <c r="F15" s="230"/>
      <c r="G15" s="6"/>
      <c r="H15" s="6"/>
      <c r="I15" s="236"/>
      <c r="J15" s="236"/>
      <c r="K15" s="236"/>
    </row>
    <row r="16" spans="1:11" s="235" customFormat="1" ht="13.8" hidden="1">
      <c r="A16" s="6"/>
      <c r="B16" s="6"/>
      <c r="C16" s="6"/>
      <c r="D16" s="6"/>
      <c r="E16" s="6"/>
      <c r="F16" s="230"/>
      <c r="G16" s="6"/>
      <c r="H16" s="6"/>
      <c r="I16" s="236"/>
      <c r="J16" s="236"/>
      <c r="K16" s="236"/>
    </row>
    <row r="17" spans="1:11" s="235" customFormat="1" ht="13.8">
      <c r="A17" s="6"/>
      <c r="B17" s="6" t="s">
        <v>79</v>
      </c>
      <c r="C17" s="6"/>
      <c r="D17" s="6"/>
      <c r="E17" s="6"/>
      <c r="F17" s="230"/>
      <c r="G17" s="6"/>
      <c r="H17" s="6"/>
      <c r="I17" s="236"/>
      <c r="J17" s="236"/>
      <c r="K17" s="236"/>
    </row>
    <row r="18" spans="1:11" s="235" customFormat="1" ht="13.8">
      <c r="A18" s="6"/>
      <c r="B18" s="6"/>
      <c r="C18" s="6" t="s">
        <v>78</v>
      </c>
      <c r="D18" s="6"/>
      <c r="E18" s="6"/>
      <c r="F18" s="230"/>
      <c r="G18" s="6"/>
      <c r="H18" s="6"/>
      <c r="I18" s="147">
        <f>'R13 Excluded Revenue'!G29</f>
        <v>0</v>
      </c>
      <c r="J18" s="236"/>
      <c r="K18" s="236"/>
    </row>
    <row r="19" spans="1:11" s="235" customFormat="1" ht="13.8">
      <c r="A19" s="6"/>
      <c r="B19" s="6"/>
      <c r="C19" s="6" t="s">
        <v>77</v>
      </c>
      <c r="D19" s="6"/>
      <c r="E19" s="6"/>
      <c r="F19" s="230"/>
      <c r="G19" s="6"/>
      <c r="H19" s="6"/>
      <c r="I19" s="233"/>
      <c r="J19" s="236"/>
      <c r="K19" s="236"/>
    </row>
    <row r="20" spans="1:11" s="235" customFormat="1" ht="13.8">
      <c r="A20" s="6"/>
      <c r="B20" s="6"/>
      <c r="C20" s="6" t="s">
        <v>76</v>
      </c>
      <c r="D20" s="6"/>
      <c r="E20" s="6"/>
      <c r="F20" s="230"/>
      <c r="G20" s="6"/>
      <c r="H20" s="6"/>
      <c r="I20" s="147">
        <f>'R13 Excluded Revenue'!G53</f>
        <v>0</v>
      </c>
      <c r="J20" s="236"/>
      <c r="K20" s="236"/>
    </row>
    <row r="21" spans="1:11" s="235" customFormat="1" ht="13.8">
      <c r="A21" s="6"/>
      <c r="B21" s="6"/>
      <c r="C21" s="6"/>
      <c r="D21" s="6"/>
      <c r="E21" s="6"/>
      <c r="F21" s="230"/>
      <c r="G21" s="6"/>
      <c r="H21" s="6"/>
      <c r="I21" s="236"/>
      <c r="J21" s="236"/>
      <c r="K21" s="5">
        <f>SUM(I18:I20)</f>
        <v>0</v>
      </c>
    </row>
    <row r="22" spans="1:11" s="235" customFormat="1" ht="9" customHeight="1">
      <c r="A22" s="6"/>
      <c r="B22" s="6"/>
      <c r="C22" s="6"/>
      <c r="D22" s="6"/>
      <c r="E22" s="6"/>
      <c r="F22" s="230"/>
      <c r="G22" s="6"/>
      <c r="H22" s="6"/>
      <c r="I22" s="236"/>
      <c r="J22" s="236"/>
      <c r="K22" s="236"/>
    </row>
    <row r="23" spans="1:11" s="235" customFormat="1" ht="13.8">
      <c r="A23" s="6"/>
      <c r="B23" s="6" t="s">
        <v>75</v>
      </c>
      <c r="C23" s="6"/>
      <c r="D23" s="6"/>
      <c r="E23" s="6"/>
      <c r="F23" s="230"/>
      <c r="G23" s="6"/>
      <c r="H23" s="6"/>
      <c r="I23" s="236"/>
      <c r="J23" s="236"/>
      <c r="K23" s="236"/>
    </row>
    <row r="24" spans="1:11" s="235" customFormat="1" ht="13.8">
      <c r="A24" s="6"/>
      <c r="B24" s="6" t="s">
        <v>74</v>
      </c>
      <c r="C24" s="6"/>
      <c r="D24" s="6"/>
      <c r="E24" s="6"/>
      <c r="F24" s="230"/>
      <c r="G24" s="6"/>
      <c r="H24" s="6"/>
      <c r="I24" s="236"/>
      <c r="J24" s="236"/>
      <c r="K24" s="236"/>
    </row>
    <row r="25" spans="1:11" s="235" customFormat="1" ht="5.0999999999999996" customHeight="1">
      <c r="A25" s="6"/>
      <c r="B25" s="6"/>
      <c r="C25" s="6"/>
      <c r="D25" s="6"/>
      <c r="E25" s="6"/>
      <c r="F25" s="230"/>
      <c r="G25" s="6"/>
      <c r="H25" s="6"/>
      <c r="I25" s="236"/>
      <c r="J25" s="236"/>
      <c r="K25" s="236"/>
    </row>
    <row r="26" spans="1:11" s="235" customFormat="1" ht="15" customHeight="1">
      <c r="A26" s="6"/>
      <c r="B26" s="399"/>
      <c r="C26" s="400"/>
      <c r="D26" s="400"/>
      <c r="E26" s="400"/>
      <c r="F26" s="400"/>
      <c r="G26" s="400"/>
      <c r="H26" s="6"/>
      <c r="I26" s="240"/>
      <c r="J26" s="236"/>
      <c r="K26" s="236"/>
    </row>
    <row r="27" spans="1:11" s="235" customFormat="1" ht="15" customHeight="1">
      <c r="A27" s="6"/>
      <c r="B27" s="399"/>
      <c r="C27" s="400"/>
      <c r="D27" s="400"/>
      <c r="E27" s="400"/>
      <c r="F27" s="400"/>
      <c r="G27" s="400"/>
      <c r="H27" s="6"/>
      <c r="I27" s="65"/>
      <c r="J27" s="236"/>
      <c r="K27" s="236"/>
    </row>
    <row r="28" spans="1:11" s="235" customFormat="1" ht="15" customHeight="1">
      <c r="A28" s="6"/>
      <c r="B28" s="399"/>
      <c r="C28" s="400"/>
      <c r="D28" s="400"/>
      <c r="E28" s="400"/>
      <c r="F28" s="400"/>
      <c r="G28" s="400"/>
      <c r="H28" s="241"/>
      <c r="I28" s="65"/>
      <c r="J28" s="236"/>
      <c r="K28" s="236"/>
    </row>
    <row r="29" spans="1:11" s="235" customFormat="1" ht="15" customHeight="1">
      <c r="A29" s="6"/>
      <c r="B29" s="399"/>
      <c r="C29" s="402"/>
      <c r="D29" s="402"/>
      <c r="E29" s="402"/>
      <c r="F29" s="402"/>
      <c r="G29" s="402"/>
      <c r="H29" s="241"/>
      <c r="I29" s="65"/>
      <c r="J29" s="236"/>
      <c r="K29" s="236"/>
    </row>
    <row r="30" spans="1:11" s="235" customFormat="1" ht="15" customHeight="1">
      <c r="A30" s="6"/>
      <c r="B30" s="395"/>
      <c r="C30" s="396"/>
      <c r="D30" s="396"/>
      <c r="E30" s="396"/>
      <c r="F30" s="396"/>
      <c r="G30" s="401"/>
      <c r="H30" s="6"/>
      <c r="I30" s="65"/>
      <c r="J30" s="236"/>
      <c r="K30" s="236"/>
    </row>
    <row r="31" spans="1:11" s="235" customFormat="1" ht="15" customHeight="1">
      <c r="A31" s="6"/>
      <c r="B31" s="395"/>
      <c r="C31" s="396"/>
      <c r="D31" s="396"/>
      <c r="E31" s="396"/>
      <c r="F31" s="396"/>
      <c r="G31" s="401"/>
      <c r="H31" s="241"/>
      <c r="I31" s="65"/>
      <c r="J31" s="236"/>
      <c r="K31" s="236"/>
    </row>
    <row r="32" spans="1:11" s="235" customFormat="1" ht="15" customHeight="1">
      <c r="A32" s="6"/>
      <c r="B32" s="395"/>
      <c r="C32" s="396"/>
      <c r="D32" s="396"/>
      <c r="E32" s="396"/>
      <c r="F32" s="396"/>
      <c r="G32" s="401"/>
      <c r="H32" s="6"/>
      <c r="I32" s="65"/>
      <c r="J32" s="236"/>
      <c r="K32" s="236"/>
    </row>
    <row r="33" spans="1:11" s="235" customFormat="1" ht="13.8">
      <c r="A33" s="6"/>
      <c r="B33" s="395"/>
      <c r="C33" s="396"/>
      <c r="D33" s="396"/>
      <c r="E33" s="396"/>
      <c r="F33" s="396"/>
      <c r="G33" s="401"/>
      <c r="H33" s="241"/>
      <c r="I33" s="65"/>
      <c r="J33" s="236"/>
      <c r="K33" s="236"/>
    </row>
    <row r="34" spans="1:11" s="235" customFormat="1" ht="13.8">
      <c r="A34" s="6"/>
      <c r="B34" s="395"/>
      <c r="C34" s="396"/>
      <c r="D34" s="396"/>
      <c r="E34" s="396"/>
      <c r="F34" s="396"/>
      <c r="G34" s="401"/>
      <c r="H34" s="241"/>
      <c r="I34" s="65"/>
      <c r="J34" s="236"/>
      <c r="K34" s="236"/>
    </row>
    <row r="35" spans="1:11" s="235" customFormat="1" ht="15" customHeight="1">
      <c r="A35" s="6"/>
      <c r="B35" s="395"/>
      <c r="C35" s="396"/>
      <c r="D35" s="396"/>
      <c r="E35" s="396"/>
      <c r="F35" s="396"/>
      <c r="G35" s="401"/>
      <c r="H35" s="6"/>
      <c r="I35" s="65"/>
      <c r="J35" s="236"/>
      <c r="K35" s="236"/>
    </row>
    <row r="36" spans="1:11" s="235" customFormat="1" ht="13.8">
      <c r="A36" s="6"/>
      <c r="B36" s="6"/>
      <c r="C36" s="6"/>
      <c r="D36" s="6"/>
      <c r="E36" s="6"/>
      <c r="F36" s="230"/>
      <c r="G36" s="6"/>
      <c r="H36" s="6"/>
      <c r="I36" s="236"/>
      <c r="J36" s="236"/>
      <c r="K36" s="5">
        <f>SUM(I26:I35)</f>
        <v>0</v>
      </c>
    </row>
    <row r="37" spans="1:11" s="235" customFormat="1" ht="13.8">
      <c r="A37" s="6"/>
      <c r="B37" s="6"/>
      <c r="C37" s="6"/>
      <c r="D37" s="6"/>
      <c r="E37" s="6"/>
      <c r="F37" s="6"/>
      <c r="G37" s="6"/>
      <c r="H37" s="6"/>
      <c r="I37" s="234"/>
      <c r="J37" s="236"/>
      <c r="K37" s="236"/>
    </row>
    <row r="38" spans="1:11" s="235" customFormat="1" ht="14.4" thickBot="1">
      <c r="A38" s="6"/>
      <c r="B38" s="6"/>
      <c r="C38" s="232"/>
      <c r="D38" s="232"/>
      <c r="E38" s="6"/>
      <c r="F38" s="230"/>
      <c r="G38" s="242" t="s">
        <v>406</v>
      </c>
      <c r="H38" s="6"/>
      <c r="I38" s="236"/>
      <c r="J38" s="236"/>
      <c r="K38" s="4">
        <f>K13+K21+K36</f>
        <v>0</v>
      </c>
    </row>
    <row r="39" spans="1:11" s="235" customFormat="1" ht="14.4" thickTop="1">
      <c r="A39" s="6"/>
      <c r="B39" s="6"/>
      <c r="C39" s="6"/>
      <c r="D39" s="6"/>
      <c r="E39" s="6"/>
      <c r="F39" s="230"/>
      <c r="G39" s="6"/>
      <c r="H39" s="6"/>
      <c r="I39" s="243"/>
      <c r="J39" s="243"/>
      <c r="K39" s="243"/>
    </row>
    <row r="40" spans="1:11" s="235" customFormat="1" ht="13.8">
      <c r="A40" s="6"/>
      <c r="B40" s="6"/>
      <c r="C40" s="6"/>
      <c r="D40" s="6"/>
      <c r="E40" s="6"/>
      <c r="F40" s="230"/>
      <c r="G40" s="6"/>
      <c r="H40" s="244"/>
      <c r="J40" s="244"/>
      <c r="K40" s="244"/>
    </row>
    <row r="41" spans="1:11" s="235" customFormat="1" ht="13.8">
      <c r="A41" s="6"/>
      <c r="B41" s="6"/>
      <c r="C41" s="6"/>
      <c r="D41" s="6"/>
      <c r="E41" s="6"/>
      <c r="F41" s="230"/>
      <c r="G41" s="6"/>
      <c r="H41" s="6"/>
      <c r="I41" s="244"/>
      <c r="J41" s="244"/>
      <c r="K41" s="244"/>
    </row>
    <row r="42" spans="1:11" s="235" customFormat="1" ht="14.4">
      <c r="A42" s="245" t="s">
        <v>73</v>
      </c>
      <c r="B42" s="6"/>
      <c r="C42" s="6"/>
      <c r="D42" s="6"/>
      <c r="E42" s="6"/>
      <c r="F42" s="230"/>
      <c r="G42" s="6"/>
      <c r="H42" s="6"/>
      <c r="I42" s="244"/>
      <c r="J42" s="244"/>
      <c r="K42" s="244"/>
    </row>
    <row r="43" spans="1:11" ht="13.8">
      <c r="A43" s="6"/>
      <c r="B43" s="6"/>
      <c r="C43" s="6"/>
      <c r="D43" s="6"/>
      <c r="E43" s="6"/>
      <c r="F43" s="230"/>
      <c r="G43" s="6"/>
      <c r="H43" s="6"/>
      <c r="I43" s="6"/>
      <c r="J43" s="6"/>
      <c r="K43" s="6"/>
    </row>
    <row r="44" spans="1:11" ht="13.8">
      <c r="A44" s="403"/>
      <c r="B44" s="403"/>
      <c r="C44" s="403"/>
      <c r="D44" s="403"/>
      <c r="E44" s="403"/>
      <c r="F44" s="403"/>
      <c r="G44" s="404"/>
      <c r="H44" s="404"/>
      <c r="I44" s="404"/>
      <c r="J44" s="404"/>
      <c r="K44" s="405"/>
    </row>
    <row r="45" spans="1:11" ht="13.8">
      <c r="A45" s="403"/>
      <c r="B45" s="403"/>
      <c r="C45" s="403"/>
      <c r="D45" s="403"/>
      <c r="E45" s="403"/>
      <c r="F45" s="403"/>
      <c r="G45" s="404"/>
      <c r="H45" s="404"/>
      <c r="I45" s="404"/>
      <c r="J45" s="404"/>
      <c r="K45" s="405"/>
    </row>
    <row r="46" spans="1:11" ht="13.8">
      <c r="A46" s="403"/>
      <c r="B46" s="403"/>
      <c r="C46" s="403"/>
      <c r="D46" s="403"/>
      <c r="E46" s="403"/>
      <c r="F46" s="403"/>
      <c r="G46" s="404"/>
      <c r="H46" s="404"/>
      <c r="I46" s="404"/>
      <c r="J46" s="404"/>
      <c r="K46" s="405"/>
    </row>
    <row r="47" spans="1:11" ht="13.8">
      <c r="A47" s="403"/>
      <c r="B47" s="403"/>
      <c r="C47" s="403"/>
      <c r="D47" s="403"/>
      <c r="E47" s="403"/>
      <c r="F47" s="403"/>
      <c r="G47" s="404"/>
      <c r="H47" s="404"/>
      <c r="I47" s="404"/>
      <c r="J47" s="404"/>
      <c r="K47" s="405"/>
    </row>
    <row r="48" spans="1:11" ht="13.8">
      <c r="A48" s="403"/>
      <c r="B48" s="403"/>
      <c r="C48" s="403"/>
      <c r="D48" s="403"/>
      <c r="E48" s="403"/>
      <c r="F48" s="403"/>
      <c r="G48" s="404"/>
      <c r="H48" s="404"/>
      <c r="I48" s="404"/>
      <c r="J48" s="404"/>
      <c r="K48" s="405"/>
    </row>
    <row r="49" spans="1:11" ht="13.8">
      <c r="A49" s="403"/>
      <c r="B49" s="403"/>
      <c r="C49" s="403"/>
      <c r="D49" s="403"/>
      <c r="E49" s="403"/>
      <c r="F49" s="403"/>
      <c r="G49" s="404"/>
      <c r="H49" s="404"/>
      <c r="I49" s="404"/>
      <c r="J49" s="404"/>
      <c r="K49" s="405"/>
    </row>
    <row r="50" spans="1:11" ht="13.8">
      <c r="A50" s="403"/>
      <c r="B50" s="403"/>
      <c r="C50" s="403"/>
      <c r="D50" s="403"/>
      <c r="E50" s="403"/>
      <c r="F50" s="403"/>
      <c r="G50" s="404"/>
      <c r="H50" s="404"/>
      <c r="I50" s="404"/>
      <c r="J50" s="404"/>
      <c r="K50" s="405"/>
    </row>
    <row r="51" spans="1:11" ht="13.8"/>
    <row r="52" spans="1:11" ht="13.8"/>
    <row r="53" spans="1:11" ht="15" customHeight="1"/>
    <row r="54" spans="1:11" ht="15" customHeight="1"/>
    <row r="55" spans="1:11" ht="15" customHeight="1"/>
    <row r="56" spans="1:11" ht="15" customHeight="1"/>
    <row r="57" spans="1:11" ht="15" customHeight="1"/>
    <row r="58" spans="1:11" ht="15" customHeight="1"/>
  </sheetData>
  <mergeCells count="17">
    <mergeCell ref="A49:K49"/>
    <mergeCell ref="A44:K44"/>
    <mergeCell ref="A50:K50"/>
    <mergeCell ref="A45:K45"/>
    <mergeCell ref="A46:K46"/>
    <mergeCell ref="A47:K47"/>
    <mergeCell ref="A48:K48"/>
    <mergeCell ref="B26:G26"/>
    <mergeCell ref="B27:G27"/>
    <mergeCell ref="B32:G32"/>
    <mergeCell ref="B35:G35"/>
    <mergeCell ref="B31:G31"/>
    <mergeCell ref="B28:G28"/>
    <mergeCell ref="B29:G29"/>
    <mergeCell ref="B30:G30"/>
    <mergeCell ref="B33:G33"/>
    <mergeCell ref="B34:G34"/>
  </mergeCells>
  <pageMargins left="0.15748031496062992" right="0.15748031496062992" top="0.59055118110236227" bottom="0.59055118110236227" header="0.11811023622047245" footer="0.11811023622047245"/>
  <pageSetup paperSize="9" scale="98" orientation="portrait" r:id="rId1"/>
  <headerFooter alignWithMargins="0">
    <oddFooter>&amp;L&amp;F&amp;C&amp;A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81"/>
  <sheetViews>
    <sheetView zoomScale="90" zoomScaleNormal="90" workbookViewId="0">
      <pane ySplit="3" topLeftCell="A4" activePane="bottomLeft" state="frozen"/>
      <selection pane="bottomLeft" activeCell="A4" sqref="A4"/>
    </sheetView>
  </sheetViews>
  <sheetFormatPr defaultColWidth="0" defaultRowHeight="12.75" customHeight="1" zeroHeight="1"/>
  <cols>
    <col min="1" max="1" width="20.36328125" style="30" customWidth="1"/>
    <col min="2" max="4" width="9" style="30" customWidth="1"/>
    <col min="5" max="5" width="9" style="31" customWidth="1"/>
    <col min="6" max="14" width="9" style="30" customWidth="1"/>
    <col min="15" max="16384" width="9" style="30" hidden="1"/>
  </cols>
  <sheetData>
    <row r="1" spans="1:14" s="25" customFormat="1" ht="17.399999999999999">
      <c r="A1" s="24" t="s">
        <v>96</v>
      </c>
      <c r="C1" s="26"/>
      <c r="E1" s="27"/>
    </row>
    <row r="2" spans="1:14" s="25" customFormat="1" ht="17.399999999999999">
      <c r="A2" s="24" t="str">
        <f>CompName</f>
        <v>Scottish Power Transmission plc</v>
      </c>
      <c r="C2" s="26"/>
      <c r="E2" s="27"/>
    </row>
    <row r="3" spans="1:14" s="25" customFormat="1" ht="12.6">
      <c r="A3" s="11" t="str">
        <f>'R5 Input page'!F7</f>
        <v>Regulatory Year ending 31 March 2017</v>
      </c>
      <c r="E3" s="27"/>
    </row>
    <row r="4" spans="1:14" ht="12.6">
      <c r="A4" s="28"/>
      <c r="B4" s="28"/>
      <c r="C4" s="28"/>
      <c r="D4" s="28"/>
      <c r="E4" s="29"/>
      <c r="F4" s="28"/>
      <c r="G4" s="28"/>
      <c r="H4" s="28"/>
      <c r="I4" s="28"/>
      <c r="J4" s="28"/>
      <c r="K4" s="28"/>
      <c r="L4" s="28"/>
      <c r="M4" s="28"/>
      <c r="N4" s="28"/>
    </row>
    <row r="5" spans="1:14" ht="12.6">
      <c r="A5" s="28"/>
      <c r="B5" s="28"/>
      <c r="C5" s="28"/>
      <c r="D5" s="28"/>
      <c r="E5" s="29"/>
      <c r="F5" s="28"/>
      <c r="G5" s="28"/>
      <c r="H5" s="28"/>
      <c r="I5" s="28"/>
      <c r="J5" s="28"/>
      <c r="K5" s="28"/>
      <c r="L5" s="28"/>
      <c r="M5" s="28"/>
      <c r="N5" s="28"/>
    </row>
    <row r="6" spans="1:14" ht="12.6">
      <c r="A6" s="28"/>
      <c r="B6" s="28"/>
      <c r="C6" s="28"/>
      <c r="D6" s="28"/>
      <c r="E6" s="29"/>
      <c r="F6" s="28"/>
      <c r="G6" s="28"/>
      <c r="H6" s="28"/>
      <c r="I6" s="28"/>
      <c r="J6" s="28"/>
      <c r="K6" s="28"/>
      <c r="L6" s="28"/>
      <c r="M6" s="28"/>
      <c r="N6" s="28"/>
    </row>
    <row r="7" spans="1:14" ht="12.6">
      <c r="A7" s="28"/>
      <c r="B7" s="28"/>
      <c r="C7" s="28"/>
      <c r="D7" s="28"/>
      <c r="E7" s="29"/>
      <c r="F7" s="28"/>
      <c r="G7" s="28"/>
      <c r="H7" s="28"/>
      <c r="I7" s="28"/>
      <c r="J7" s="28"/>
      <c r="K7" s="28"/>
      <c r="L7" s="28"/>
      <c r="M7" s="28"/>
      <c r="N7" s="28"/>
    </row>
    <row r="8" spans="1:14" ht="12.6">
      <c r="A8" s="28"/>
      <c r="B8" s="28"/>
      <c r="C8" s="28"/>
      <c r="D8" s="28"/>
      <c r="E8" s="29"/>
      <c r="F8" s="28"/>
      <c r="G8" s="28"/>
      <c r="H8" s="28"/>
      <c r="I8" s="28"/>
      <c r="J8" s="28"/>
      <c r="K8" s="28"/>
      <c r="L8" s="28"/>
      <c r="M8" s="28"/>
      <c r="N8" s="28"/>
    </row>
    <row r="9" spans="1:14" ht="12.6">
      <c r="A9" s="28"/>
      <c r="B9" s="28"/>
      <c r="C9" s="28"/>
      <c r="D9" s="28"/>
      <c r="E9" s="29"/>
      <c r="F9" s="28"/>
      <c r="G9" s="28"/>
      <c r="H9" s="28"/>
      <c r="I9" s="28"/>
      <c r="J9" s="28"/>
      <c r="K9" s="28"/>
      <c r="L9" s="28"/>
      <c r="M9" s="28"/>
      <c r="N9" s="28"/>
    </row>
    <row r="10" spans="1:14" ht="12.6">
      <c r="A10" s="28"/>
      <c r="B10" s="28"/>
      <c r="C10" s="28"/>
      <c r="D10" s="28"/>
      <c r="E10" s="29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2.6">
      <c r="A11" s="28"/>
      <c r="B11" s="28"/>
      <c r="C11" s="28"/>
      <c r="D11" s="28"/>
      <c r="E11" s="29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2.6">
      <c r="A12" s="28"/>
      <c r="B12" s="28"/>
      <c r="C12" s="28"/>
      <c r="D12" s="28"/>
      <c r="E12" s="29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2.6">
      <c r="A13" s="28"/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2.6">
      <c r="A14" s="28"/>
      <c r="B14" s="28"/>
      <c r="C14" s="28"/>
      <c r="D14" s="28"/>
      <c r="E14" s="29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2.6">
      <c r="A15" s="28"/>
      <c r="B15" s="28"/>
      <c r="C15" s="28"/>
      <c r="D15" s="28"/>
      <c r="E15" s="29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2.6">
      <c r="A16" s="28"/>
      <c r="B16" s="28"/>
      <c r="C16" s="28"/>
      <c r="D16" s="28"/>
      <c r="E16" s="29"/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22.2">
      <c r="A17" s="28"/>
      <c r="B17" s="28"/>
      <c r="C17" s="28"/>
      <c r="D17" s="28"/>
      <c r="E17" s="29"/>
      <c r="F17" s="28"/>
      <c r="G17" s="28"/>
      <c r="H17" s="28"/>
      <c r="I17" s="28"/>
      <c r="J17" s="28"/>
      <c r="K17" s="55"/>
      <c r="L17" s="28"/>
      <c r="M17" s="28"/>
      <c r="N17" s="28"/>
    </row>
    <row r="18" spans="1:14" ht="12.6">
      <c r="A18" s="28"/>
      <c r="B18" s="28"/>
      <c r="C18" s="28"/>
      <c r="D18" s="28"/>
      <c r="E18" s="29"/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12.6">
      <c r="A19" s="28"/>
      <c r="B19" s="28"/>
      <c r="C19" s="28"/>
      <c r="D19" s="28"/>
      <c r="E19" s="29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2.6">
      <c r="A20" s="28"/>
      <c r="B20" s="28"/>
      <c r="C20" s="28"/>
      <c r="D20" s="28"/>
      <c r="E20" s="29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2.6">
      <c r="A21" s="28"/>
      <c r="B21" s="28"/>
      <c r="C21" s="28"/>
      <c r="D21" s="28"/>
      <c r="E21" s="29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2.6">
      <c r="A22" s="28"/>
      <c r="B22" s="28"/>
      <c r="C22" s="28"/>
      <c r="D22" s="28"/>
      <c r="E22" s="29"/>
      <c r="F22" s="28"/>
      <c r="G22" s="28"/>
      <c r="H22" s="28"/>
      <c r="I22" s="28"/>
      <c r="J22" s="28"/>
      <c r="K22" s="28"/>
      <c r="L22" s="28"/>
      <c r="M22" s="28"/>
      <c r="N22" s="28"/>
    </row>
    <row r="23" spans="1:14" ht="12.6">
      <c r="A23" s="28"/>
      <c r="B23" s="28"/>
      <c r="C23" s="28"/>
      <c r="D23" s="28"/>
      <c r="E23" s="29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12.6">
      <c r="A24" s="28"/>
      <c r="B24" s="28"/>
      <c r="C24" s="28"/>
      <c r="D24" s="28"/>
      <c r="E24" s="29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2.6">
      <c r="A25" s="28"/>
      <c r="B25" s="28"/>
      <c r="C25" s="28"/>
      <c r="D25" s="28"/>
      <c r="E25" s="29"/>
      <c r="F25" s="28"/>
      <c r="G25" s="28"/>
      <c r="H25" s="28"/>
      <c r="I25" s="28"/>
      <c r="J25" s="28"/>
      <c r="K25" s="28"/>
      <c r="L25" s="28"/>
      <c r="M25" s="28"/>
      <c r="N25" s="28"/>
    </row>
    <row r="26" spans="1:14" ht="12.6">
      <c r="A26" s="28"/>
      <c r="B26" s="28"/>
      <c r="C26" s="28"/>
      <c r="D26" s="28"/>
      <c r="E26" s="29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12.6">
      <c r="A27" s="28"/>
      <c r="B27" s="28"/>
      <c r="C27" s="28"/>
      <c r="D27" s="28"/>
      <c r="E27" s="29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2.6">
      <c r="A28" s="28"/>
      <c r="B28" s="28"/>
      <c r="C28" s="28"/>
      <c r="D28" s="28"/>
      <c r="E28" s="29"/>
      <c r="F28" s="28"/>
      <c r="G28" s="28"/>
      <c r="H28" s="28"/>
      <c r="I28" s="28"/>
      <c r="J28" s="28"/>
      <c r="K28" s="28"/>
      <c r="L28" s="28"/>
      <c r="M28" s="28"/>
      <c r="N28" s="28"/>
    </row>
    <row r="29" spans="1:14" ht="12.6">
      <c r="A29" s="28"/>
      <c r="B29" s="28"/>
      <c r="C29" s="28"/>
      <c r="D29" s="28"/>
      <c r="E29" s="29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12.6" hidden="1">
      <c r="A30" s="28"/>
      <c r="B30" s="28"/>
      <c r="C30" s="28"/>
      <c r="D30" s="28"/>
      <c r="E30" s="29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2.6" hidden="1">
      <c r="A31" s="28"/>
      <c r="B31" s="28"/>
      <c r="C31" s="28"/>
      <c r="D31" s="28"/>
      <c r="E31" s="29"/>
      <c r="F31" s="28"/>
      <c r="G31" s="28"/>
      <c r="H31" s="28"/>
      <c r="I31" s="28"/>
      <c r="J31" s="28"/>
      <c r="K31" s="28"/>
      <c r="L31" s="28"/>
      <c r="M31" s="28"/>
      <c r="N31" s="28"/>
    </row>
    <row r="32" spans="1:14" ht="12.6" hidden="1">
      <c r="A32" s="28"/>
      <c r="B32" s="28"/>
      <c r="C32" s="28"/>
      <c r="D32" s="28"/>
      <c r="E32" s="29"/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12.6" hidden="1">
      <c r="A33" s="28"/>
      <c r="B33" s="28"/>
      <c r="C33" s="28"/>
      <c r="D33" s="28"/>
      <c r="E33" s="29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2.6" hidden="1">
      <c r="A34" s="28"/>
      <c r="B34" s="28"/>
      <c r="C34" s="28"/>
      <c r="D34" s="28"/>
      <c r="E34" s="29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12.6" hidden="1">
      <c r="A35" s="28"/>
      <c r="B35" s="28"/>
      <c r="C35" s="28"/>
      <c r="D35" s="28"/>
      <c r="E35" s="29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2.6" hidden="1">
      <c r="A36" s="28"/>
      <c r="B36" s="28"/>
      <c r="C36" s="28"/>
      <c r="D36" s="28"/>
      <c r="E36" s="29"/>
      <c r="F36" s="28"/>
      <c r="G36" s="28"/>
      <c r="H36" s="28"/>
      <c r="I36" s="28"/>
      <c r="J36" s="28"/>
      <c r="K36" s="28"/>
      <c r="L36" s="28"/>
      <c r="M36" s="28"/>
      <c r="N36" s="28"/>
    </row>
    <row r="37" spans="1:14" ht="12.6" hidden="1">
      <c r="A37" s="28"/>
      <c r="B37" s="28"/>
      <c r="C37" s="28"/>
      <c r="D37" s="28"/>
      <c r="E37" s="29"/>
      <c r="F37" s="28"/>
      <c r="G37" s="28"/>
      <c r="H37" s="28"/>
      <c r="I37" s="28"/>
      <c r="J37" s="28"/>
      <c r="K37" s="28"/>
      <c r="L37" s="28"/>
      <c r="M37" s="28"/>
      <c r="N37" s="28"/>
    </row>
    <row r="38" spans="1:14" ht="12.6" hidden="1">
      <c r="A38" s="28"/>
      <c r="B38" s="28"/>
      <c r="C38" s="28"/>
      <c r="D38" s="28"/>
      <c r="E38" s="29"/>
      <c r="F38" s="28"/>
      <c r="G38" s="28"/>
      <c r="H38" s="28"/>
      <c r="I38" s="28"/>
      <c r="J38" s="28"/>
      <c r="K38" s="28"/>
      <c r="L38" s="28"/>
      <c r="M38" s="28"/>
      <c r="N38" s="28"/>
    </row>
    <row r="39" spans="1:14" ht="12.6" hidden="1">
      <c r="A39" s="28"/>
      <c r="B39" s="28"/>
      <c r="C39" s="28"/>
      <c r="D39" s="28"/>
      <c r="E39" s="29"/>
      <c r="F39" s="28"/>
      <c r="G39" s="28"/>
      <c r="H39" s="28"/>
      <c r="I39" s="28"/>
      <c r="J39" s="28"/>
      <c r="K39" s="28"/>
      <c r="L39" s="28"/>
      <c r="M39" s="28"/>
      <c r="N39" s="28"/>
    </row>
    <row r="40" spans="1:14" ht="12.6" hidden="1">
      <c r="A40" s="28"/>
      <c r="B40" s="28"/>
      <c r="C40" s="28"/>
      <c r="D40" s="28"/>
      <c r="E40" s="29"/>
      <c r="F40" s="28"/>
      <c r="G40" s="28"/>
      <c r="H40" s="28"/>
      <c r="I40" s="28"/>
      <c r="J40" s="28"/>
      <c r="K40" s="28"/>
      <c r="L40" s="28"/>
      <c r="M40" s="28"/>
      <c r="N40" s="28"/>
    </row>
    <row r="41" spans="1:14" ht="12.6" hidden="1">
      <c r="A41" s="28"/>
      <c r="B41" s="28"/>
      <c r="C41" s="28"/>
      <c r="D41" s="28"/>
      <c r="E41" s="29"/>
      <c r="F41" s="28"/>
      <c r="G41" s="28"/>
      <c r="H41" s="28"/>
      <c r="I41" s="28"/>
      <c r="J41" s="28"/>
      <c r="K41" s="28"/>
      <c r="L41" s="28"/>
      <c r="M41" s="28"/>
      <c r="N41" s="28"/>
    </row>
    <row r="42" spans="1:14" ht="12.6" hidden="1">
      <c r="A42" s="28"/>
      <c r="B42" s="28"/>
      <c r="C42" s="28"/>
      <c r="D42" s="28"/>
      <c r="E42" s="29"/>
      <c r="F42" s="28"/>
      <c r="G42" s="28"/>
      <c r="H42" s="28"/>
      <c r="I42" s="28"/>
      <c r="J42" s="28"/>
      <c r="K42" s="28"/>
      <c r="L42" s="28"/>
      <c r="M42" s="28"/>
      <c r="N42" s="28"/>
    </row>
    <row r="43" spans="1:14" ht="12.6" hidden="1">
      <c r="A43" s="28"/>
      <c r="B43" s="28"/>
      <c r="C43" s="28"/>
      <c r="D43" s="28"/>
      <c r="E43" s="29"/>
      <c r="F43" s="28"/>
      <c r="G43" s="28"/>
      <c r="H43" s="28"/>
      <c r="I43" s="28"/>
      <c r="J43" s="28"/>
      <c r="K43" s="28"/>
      <c r="L43" s="28"/>
      <c r="M43" s="28"/>
      <c r="N43" s="28"/>
    </row>
    <row r="44" spans="1:14" ht="12.6" hidden="1">
      <c r="A44" s="28"/>
      <c r="B44" s="28"/>
      <c r="C44" s="28"/>
      <c r="D44" s="28"/>
      <c r="E44" s="29"/>
      <c r="F44" s="28"/>
      <c r="G44" s="28"/>
      <c r="H44" s="28"/>
      <c r="I44" s="28"/>
      <c r="J44" s="28"/>
      <c r="K44" s="28"/>
      <c r="L44" s="28"/>
      <c r="M44" s="28"/>
      <c r="N44" s="28"/>
    </row>
    <row r="45" spans="1:14" ht="12.6" hidden="1">
      <c r="A45" s="28"/>
      <c r="B45" s="28"/>
      <c r="C45" s="28"/>
      <c r="D45" s="28"/>
      <c r="E45" s="29"/>
      <c r="F45" s="28"/>
      <c r="G45" s="28"/>
      <c r="H45" s="28"/>
      <c r="I45" s="28"/>
      <c r="J45" s="28"/>
      <c r="K45" s="28"/>
      <c r="L45" s="28"/>
      <c r="M45" s="28"/>
      <c r="N45" s="28"/>
    </row>
    <row r="46" spans="1:14" ht="12.6" hidden="1">
      <c r="A46" s="28"/>
      <c r="B46" s="28"/>
      <c r="C46" s="28"/>
      <c r="D46" s="28"/>
      <c r="E46" s="29"/>
      <c r="F46" s="28"/>
      <c r="G46" s="28"/>
      <c r="H46" s="28"/>
      <c r="I46" s="28"/>
      <c r="J46" s="28"/>
      <c r="K46" s="28"/>
      <c r="L46" s="28"/>
      <c r="M46" s="28"/>
      <c r="N46" s="28"/>
    </row>
    <row r="47" spans="1:14" ht="12.6" hidden="1">
      <c r="A47" s="28"/>
      <c r="B47" s="28"/>
      <c r="C47" s="28"/>
      <c r="D47" s="28"/>
      <c r="E47" s="29"/>
      <c r="F47" s="28"/>
      <c r="G47" s="28"/>
      <c r="H47" s="28"/>
      <c r="I47" s="28"/>
      <c r="J47" s="28"/>
      <c r="K47" s="28"/>
      <c r="L47" s="28"/>
      <c r="M47" s="28"/>
      <c r="N47" s="28"/>
    </row>
    <row r="48" spans="1:14" ht="12.6" hidden="1">
      <c r="A48" s="28"/>
      <c r="B48" s="28"/>
      <c r="C48" s="28"/>
      <c r="D48" s="28"/>
      <c r="E48" s="29"/>
      <c r="F48" s="28"/>
      <c r="G48" s="28"/>
      <c r="H48" s="28"/>
      <c r="I48" s="28"/>
      <c r="J48" s="28"/>
      <c r="K48" s="28"/>
      <c r="L48" s="28"/>
      <c r="M48" s="28"/>
      <c r="N48" s="28"/>
    </row>
    <row r="49" spans="1:14" ht="12.6" hidden="1">
      <c r="A49" s="28"/>
      <c r="B49" s="28"/>
      <c r="C49" s="28"/>
      <c r="D49" s="28"/>
      <c r="E49" s="29"/>
      <c r="F49" s="28"/>
      <c r="G49" s="28"/>
      <c r="H49" s="28"/>
      <c r="I49" s="28"/>
      <c r="J49" s="28"/>
      <c r="K49" s="28"/>
      <c r="L49" s="28"/>
      <c r="M49" s="28"/>
      <c r="N49" s="28"/>
    </row>
    <row r="50" spans="1:14" ht="12.6" hidden="1">
      <c r="A50" s="28"/>
      <c r="B50" s="28"/>
      <c r="C50" s="28"/>
      <c r="D50" s="28"/>
      <c r="E50" s="29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2.6" hidden="1">
      <c r="A51" s="28"/>
      <c r="B51" s="28"/>
      <c r="C51" s="28"/>
      <c r="D51" s="28"/>
      <c r="E51" s="29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2.6" hidden="1">
      <c r="A52" s="28"/>
      <c r="B52" s="28"/>
      <c r="C52" s="28"/>
      <c r="D52" s="28"/>
      <c r="E52" s="29"/>
      <c r="F52" s="28"/>
      <c r="G52" s="28"/>
      <c r="H52" s="28"/>
      <c r="I52" s="28"/>
      <c r="J52" s="28"/>
      <c r="K52" s="28"/>
      <c r="L52" s="28"/>
      <c r="M52" s="28"/>
      <c r="N52" s="28"/>
    </row>
    <row r="53" spans="1:14" ht="12.6" hidden="1">
      <c r="A53" s="28"/>
      <c r="B53" s="28"/>
      <c r="C53" s="28"/>
      <c r="D53" s="28"/>
      <c r="E53" s="29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2.6" hidden="1">
      <c r="A54" s="28"/>
      <c r="B54" s="28"/>
      <c r="C54" s="28"/>
      <c r="D54" s="28"/>
      <c r="E54" s="29"/>
      <c r="F54" s="28"/>
      <c r="G54" s="28"/>
      <c r="H54" s="28"/>
      <c r="I54" s="28"/>
      <c r="J54" s="28"/>
      <c r="K54" s="28"/>
      <c r="L54" s="28"/>
      <c r="M54" s="28"/>
      <c r="N54" s="28"/>
    </row>
    <row r="55" spans="1:14" ht="12.6" hidden="1">
      <c r="A55" s="28"/>
      <c r="B55" s="28"/>
      <c r="C55" s="28"/>
      <c r="D55" s="28"/>
      <c r="E55" s="29"/>
      <c r="F55" s="28"/>
      <c r="G55" s="28"/>
      <c r="H55" s="28"/>
      <c r="I55" s="28"/>
      <c r="J55" s="28"/>
      <c r="K55" s="28"/>
      <c r="L55" s="28"/>
      <c r="M55" s="28"/>
      <c r="N55" s="28"/>
    </row>
    <row r="56" spans="1:14" ht="12.6" hidden="1">
      <c r="A56" s="28"/>
      <c r="B56" s="28"/>
      <c r="C56" s="28"/>
      <c r="D56" s="28"/>
      <c r="E56" s="29"/>
      <c r="F56" s="28"/>
      <c r="G56" s="28"/>
      <c r="H56" s="28"/>
      <c r="I56" s="28"/>
      <c r="J56" s="28"/>
      <c r="K56" s="28"/>
      <c r="L56" s="28"/>
      <c r="M56" s="28"/>
      <c r="N56" s="28"/>
    </row>
    <row r="57" spans="1:14" ht="12.6" hidden="1">
      <c r="A57" s="28"/>
      <c r="B57" s="28"/>
      <c r="C57" s="28"/>
      <c r="D57" s="28"/>
      <c r="E57" s="29"/>
      <c r="F57" s="28"/>
      <c r="G57" s="28"/>
      <c r="H57" s="28"/>
      <c r="I57" s="28"/>
      <c r="J57" s="28"/>
      <c r="K57" s="28"/>
      <c r="L57" s="28"/>
      <c r="M57" s="28"/>
      <c r="N57" s="28"/>
    </row>
    <row r="58" spans="1:14" ht="12.6" hidden="1">
      <c r="A58" s="28"/>
      <c r="B58" s="28"/>
      <c r="C58" s="28"/>
      <c r="D58" s="28"/>
      <c r="E58" s="29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2.6" hidden="1">
      <c r="A59" s="28"/>
      <c r="B59" s="28"/>
      <c r="C59" s="28"/>
      <c r="D59" s="28"/>
      <c r="E59" s="29"/>
      <c r="F59" s="28"/>
      <c r="G59" s="28"/>
      <c r="H59" s="28"/>
      <c r="I59" s="28"/>
      <c r="J59" s="28"/>
      <c r="K59" s="28"/>
      <c r="L59" s="28"/>
      <c r="M59" s="28"/>
      <c r="N59" s="28"/>
    </row>
    <row r="60" spans="1:14" ht="12.6" hidden="1">
      <c r="A60" s="28"/>
      <c r="B60" s="28"/>
      <c r="C60" s="28"/>
      <c r="D60" s="28"/>
      <c r="E60" s="29"/>
      <c r="F60" s="28"/>
      <c r="G60" s="28"/>
      <c r="H60" s="28"/>
      <c r="I60" s="28"/>
      <c r="J60" s="28"/>
      <c r="K60" s="28"/>
      <c r="L60" s="28"/>
      <c r="M60" s="28"/>
      <c r="N60" s="28"/>
    </row>
    <row r="61" spans="1:14" ht="12.6" hidden="1">
      <c r="A61" s="28"/>
      <c r="B61" s="28"/>
      <c r="C61" s="28"/>
      <c r="D61" s="28"/>
      <c r="E61" s="29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12.6" hidden="1">
      <c r="A62" s="28"/>
      <c r="B62" s="28"/>
      <c r="C62" s="28"/>
      <c r="D62" s="28"/>
      <c r="E62" s="29"/>
      <c r="F62" s="28"/>
      <c r="G62" s="28"/>
      <c r="H62" s="28"/>
      <c r="I62" s="28"/>
      <c r="J62" s="28"/>
      <c r="K62" s="28"/>
      <c r="L62" s="28"/>
      <c r="M62" s="28"/>
      <c r="N62" s="28"/>
    </row>
    <row r="63" spans="1:14" ht="12.6" hidden="1">
      <c r="A63" s="28"/>
      <c r="B63" s="28"/>
      <c r="C63" s="28"/>
      <c r="D63" s="28"/>
      <c r="E63" s="29"/>
      <c r="F63" s="28"/>
      <c r="G63" s="28"/>
      <c r="H63" s="28"/>
      <c r="I63" s="28"/>
      <c r="J63" s="28"/>
      <c r="K63" s="28"/>
      <c r="L63" s="28"/>
      <c r="M63" s="28"/>
      <c r="N63" s="28"/>
    </row>
    <row r="64" spans="1:14" ht="12.6" hidden="1">
      <c r="A64" s="28"/>
      <c r="B64" s="28"/>
      <c r="C64" s="28"/>
      <c r="D64" s="28"/>
      <c r="E64" s="29"/>
      <c r="F64" s="28"/>
      <c r="G64" s="28"/>
      <c r="H64" s="28"/>
      <c r="I64" s="28"/>
      <c r="J64" s="28"/>
      <c r="K64" s="28"/>
      <c r="L64" s="28"/>
      <c r="M64" s="28"/>
      <c r="N64" s="28"/>
    </row>
    <row r="65" spans="1:14" ht="12.6" hidden="1">
      <c r="A65" s="28"/>
      <c r="B65" s="28"/>
      <c r="C65" s="28"/>
      <c r="D65" s="28"/>
      <c r="E65" s="29"/>
      <c r="F65" s="28"/>
      <c r="G65" s="28"/>
      <c r="H65" s="28"/>
      <c r="I65" s="28"/>
      <c r="J65" s="28"/>
      <c r="K65" s="28"/>
      <c r="L65" s="28"/>
      <c r="M65" s="28"/>
      <c r="N65" s="28"/>
    </row>
    <row r="66" spans="1:14" ht="12.6" hidden="1">
      <c r="A66" s="28"/>
      <c r="B66" s="28"/>
      <c r="C66" s="28"/>
      <c r="D66" s="28"/>
      <c r="E66" s="29"/>
      <c r="F66" s="28"/>
      <c r="G66" s="28"/>
      <c r="H66" s="28"/>
      <c r="I66" s="28"/>
      <c r="J66" s="28"/>
      <c r="K66" s="28"/>
      <c r="L66" s="28"/>
      <c r="M66" s="28"/>
      <c r="N66" s="28"/>
    </row>
    <row r="67" spans="1:14" ht="12.6" hidden="1">
      <c r="A67" s="28"/>
      <c r="B67" s="28"/>
      <c r="C67" s="28"/>
      <c r="D67" s="28"/>
      <c r="E67" s="29"/>
      <c r="F67" s="28"/>
      <c r="G67" s="28"/>
      <c r="H67" s="28"/>
      <c r="I67" s="28"/>
      <c r="J67" s="28"/>
      <c r="K67" s="28"/>
      <c r="L67" s="28"/>
      <c r="M67" s="28"/>
      <c r="N67" s="28"/>
    </row>
    <row r="68" spans="1:14" ht="12.6" hidden="1">
      <c r="A68" s="28"/>
      <c r="B68" s="28"/>
      <c r="C68" s="28"/>
      <c r="D68" s="28"/>
      <c r="E68" s="29"/>
      <c r="F68" s="28"/>
      <c r="G68" s="28"/>
      <c r="H68" s="28"/>
      <c r="I68" s="28"/>
      <c r="J68" s="28"/>
      <c r="K68" s="28"/>
      <c r="L68" s="28"/>
      <c r="M68" s="28"/>
      <c r="N68" s="28"/>
    </row>
    <row r="69" spans="1:14" ht="12.6" hidden="1">
      <c r="A69" s="28"/>
      <c r="B69" s="28"/>
      <c r="C69" s="28"/>
      <c r="D69" s="28"/>
      <c r="E69" s="29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6" hidden="1">
      <c r="A70" s="28"/>
      <c r="B70" s="28"/>
      <c r="C70" s="28"/>
      <c r="D70" s="28"/>
      <c r="E70" s="29"/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6" hidden="1">
      <c r="A71" s="28"/>
      <c r="B71" s="28"/>
      <c r="C71" s="28"/>
      <c r="D71" s="28"/>
      <c r="E71" s="29"/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6" hidden="1">
      <c r="A72" s="28"/>
      <c r="B72" s="28"/>
      <c r="C72" s="28"/>
      <c r="D72" s="28"/>
      <c r="E72" s="29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12.6" hidden="1">
      <c r="A73" s="28"/>
      <c r="B73" s="28"/>
      <c r="C73" s="28"/>
      <c r="D73" s="28"/>
      <c r="E73" s="29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6" hidden="1">
      <c r="A74" s="28"/>
      <c r="B74" s="28"/>
      <c r="C74" s="28"/>
      <c r="D74" s="28"/>
      <c r="E74" s="29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6" hidden="1">
      <c r="A75" s="28"/>
      <c r="B75" s="28"/>
      <c r="C75" s="28"/>
      <c r="D75" s="28"/>
      <c r="E75" s="29"/>
      <c r="F75" s="28"/>
      <c r="G75" s="28"/>
      <c r="H75" s="28"/>
      <c r="I75" s="28"/>
      <c r="J75" s="28"/>
      <c r="K75" s="28"/>
      <c r="L75" s="28"/>
      <c r="M75" s="28"/>
      <c r="N75" s="28"/>
    </row>
    <row r="76" spans="1:14" ht="12.6" hidden="1">
      <c r="A76" s="28"/>
      <c r="B76" s="28"/>
      <c r="C76" s="28"/>
      <c r="D76" s="28"/>
      <c r="E76" s="29"/>
      <c r="F76" s="28"/>
      <c r="G76" s="28"/>
      <c r="H76" s="28"/>
      <c r="I76" s="28"/>
      <c r="J76" s="28"/>
      <c r="K76" s="28"/>
      <c r="L76" s="28"/>
      <c r="M76" s="28"/>
      <c r="N76" s="28"/>
    </row>
    <row r="77" spans="1:14" ht="12.6" hidden="1">
      <c r="A77" s="28"/>
      <c r="B77" s="28"/>
      <c r="C77" s="28"/>
      <c r="D77" s="28"/>
      <c r="E77" s="29"/>
      <c r="F77" s="28"/>
      <c r="G77" s="28"/>
      <c r="H77" s="28"/>
      <c r="I77" s="28"/>
      <c r="J77" s="28"/>
      <c r="K77" s="28"/>
      <c r="L77" s="28"/>
      <c r="M77" s="28"/>
      <c r="N77" s="28"/>
    </row>
    <row r="78" spans="1:14" ht="12.6" hidden="1">
      <c r="A78" s="28"/>
      <c r="B78" s="28"/>
      <c r="C78" s="28"/>
      <c r="D78" s="28"/>
      <c r="E78" s="29"/>
      <c r="F78" s="28"/>
      <c r="G78" s="28"/>
      <c r="H78" s="28"/>
      <c r="I78" s="28"/>
      <c r="J78" s="28"/>
      <c r="K78" s="28"/>
      <c r="L78" s="28"/>
      <c r="M78" s="28"/>
      <c r="N78" s="28"/>
    </row>
    <row r="79" spans="1:14" ht="12.6" hidden="1">
      <c r="A79" s="28"/>
      <c r="B79" s="28"/>
      <c r="C79" s="28"/>
      <c r="D79" s="28"/>
      <c r="E79" s="29"/>
      <c r="F79" s="28"/>
      <c r="G79" s="28"/>
      <c r="H79" s="28"/>
      <c r="I79" s="28"/>
      <c r="J79" s="28"/>
      <c r="K79" s="28"/>
      <c r="L79" s="28"/>
      <c r="M79" s="28"/>
      <c r="N79" s="28"/>
    </row>
    <row r="80" spans="1:14" ht="12.6" hidden="1">
      <c r="A80" s="28"/>
      <c r="B80" s="28"/>
      <c r="C80" s="28"/>
      <c r="D80" s="28"/>
      <c r="E80" s="29"/>
      <c r="F80" s="28"/>
      <c r="G80" s="28"/>
      <c r="H80" s="28"/>
      <c r="I80" s="28"/>
      <c r="J80" s="28"/>
      <c r="K80" s="28"/>
      <c r="L80" s="28"/>
      <c r="M80" s="28"/>
      <c r="N80" s="28"/>
    </row>
    <row r="81" spans="1:14" ht="12.6" hidden="1">
      <c r="A81" s="28"/>
      <c r="B81" s="28"/>
      <c r="C81" s="28"/>
      <c r="D81" s="28"/>
      <c r="E81" s="29"/>
      <c r="F81" s="28"/>
      <c r="G81" s="28"/>
      <c r="H81" s="28"/>
      <c r="I81" s="28"/>
      <c r="J81" s="28"/>
      <c r="K81" s="28"/>
      <c r="L81" s="28"/>
      <c r="M81" s="28"/>
      <c r="N81" s="28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21"/>
  <sheetViews>
    <sheetView tabSelected="1" workbookViewId="0">
      <selection activeCell="C12" sqref="C12"/>
    </sheetView>
  </sheetViews>
  <sheetFormatPr defaultColWidth="0" defaultRowHeight="12.75" customHeight="1" zeroHeight="1"/>
  <cols>
    <col min="1" max="1" width="10.36328125" style="30" bestFit="1" customWidth="1"/>
    <col min="2" max="2" width="9.36328125" style="30" bestFit="1" customWidth="1"/>
    <col min="3" max="3" width="80.6328125" style="30" customWidth="1"/>
    <col min="4" max="4" width="2.6328125" style="28" customWidth="1"/>
    <col min="5" max="5" width="9" style="31" hidden="1" customWidth="1"/>
    <col min="6" max="16384" width="9" style="30" hidden="1"/>
  </cols>
  <sheetData>
    <row r="1" spans="1:5" s="24" customFormat="1" ht="16.2">
      <c r="A1" s="24" t="s">
        <v>97</v>
      </c>
      <c r="E1" s="32"/>
    </row>
    <row r="2" spans="1:5" s="24" customFormat="1" ht="16.2">
      <c r="A2" s="24" t="str">
        <f>CompName</f>
        <v>Scottish Power Transmission plc</v>
      </c>
      <c r="E2" s="32"/>
    </row>
    <row r="3" spans="1:5" s="24" customFormat="1" ht="16.2">
      <c r="A3" s="11" t="str">
        <f>'R5 Input page'!F7</f>
        <v>Regulatory Year ending 31 March 2017</v>
      </c>
      <c r="B3" s="33"/>
      <c r="C3" s="33"/>
      <c r="D3" s="33"/>
      <c r="E3" s="32"/>
    </row>
    <row r="4" spans="1:5" s="24" customFormat="1" ht="16.2">
      <c r="A4" s="33"/>
      <c r="B4" s="33"/>
      <c r="C4" s="33"/>
      <c r="D4" s="33"/>
      <c r="E4" s="32"/>
    </row>
    <row r="5" spans="1:5" s="24" customFormat="1" ht="16.2">
      <c r="A5" s="33"/>
      <c r="B5" s="33"/>
      <c r="C5" s="33"/>
      <c r="D5" s="33"/>
      <c r="E5" s="32"/>
    </row>
    <row r="6" spans="1:5" s="24" customFormat="1" ht="16.2">
      <c r="A6" s="24" t="s">
        <v>98</v>
      </c>
      <c r="B6" s="24" t="s">
        <v>99</v>
      </c>
      <c r="C6" s="24" t="s">
        <v>100</v>
      </c>
      <c r="E6" s="32"/>
    </row>
    <row r="7" spans="1:5" ht="50.4">
      <c r="A7" s="317">
        <v>42788</v>
      </c>
      <c r="B7" s="22" t="s">
        <v>446</v>
      </c>
      <c r="C7" s="350" t="s">
        <v>597</v>
      </c>
    </row>
    <row r="8" spans="1:5" ht="63">
      <c r="A8" s="317">
        <v>42837</v>
      </c>
      <c r="B8" s="22" t="s">
        <v>599</v>
      </c>
      <c r="C8" s="350" t="s">
        <v>600</v>
      </c>
    </row>
    <row r="9" spans="1:5" ht="12.6">
      <c r="A9" s="317"/>
      <c r="B9" s="22"/>
      <c r="C9" s="350"/>
    </row>
    <row r="10" spans="1:5" ht="12.6">
      <c r="A10" s="317"/>
      <c r="B10" s="22"/>
      <c r="C10" s="350"/>
    </row>
    <row r="11" spans="1:5" ht="12.6">
      <c r="A11" s="317"/>
      <c r="B11" s="22"/>
      <c r="C11" s="350"/>
    </row>
    <row r="12" spans="1:5" ht="12.6">
      <c r="A12" s="317"/>
      <c r="B12" s="367"/>
      <c r="C12" s="34"/>
    </row>
    <row r="13" spans="1:5" ht="12.6">
      <c r="A13" s="317"/>
      <c r="B13" s="367"/>
      <c r="C13" s="372"/>
    </row>
    <row r="14" spans="1:5" ht="12.6">
      <c r="A14" s="22"/>
      <c r="B14" s="22"/>
      <c r="C14" s="34"/>
    </row>
    <row r="15" spans="1:5" ht="12.6">
      <c r="A15" s="22"/>
      <c r="B15" s="22"/>
      <c r="C15" s="34"/>
    </row>
    <row r="16" spans="1:5" ht="12.6">
      <c r="A16" s="22"/>
      <c r="B16" s="22"/>
      <c r="C16" s="34"/>
    </row>
    <row r="17" spans="1:5" s="28" customFormat="1" ht="12.6">
      <c r="E17" s="29"/>
    </row>
    <row r="20" spans="1:5" ht="12.6" hidden="1">
      <c r="A20" s="28"/>
    </row>
    <row r="21" spans="1:5" ht="12.75" customHeight="1"/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&amp;L&amp;D&amp;T&amp;C&amp;Z&amp;R&amp;F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312"/>
  <sheetViews>
    <sheetView showGridLines="0" topLeftCell="A109" zoomScale="70" zoomScaleNormal="70" zoomScaleSheetLayoutView="100" workbookViewId="0">
      <selection activeCell="L32" sqref="L32"/>
    </sheetView>
  </sheetViews>
  <sheetFormatPr defaultColWidth="0" defaultRowHeight="12.75" customHeight="1" zeroHeight="1"/>
  <cols>
    <col min="1" max="1" width="45.6328125" style="35" customWidth="1"/>
    <col min="2" max="2" width="12.08984375" style="35" customWidth="1"/>
    <col min="3" max="3" width="6.6328125" style="36" bestFit="1" customWidth="1"/>
    <col min="4" max="4" width="7" style="47" customWidth="1"/>
    <col min="5" max="5" width="8.08984375" style="47" customWidth="1"/>
    <col min="6" max="6" width="9.7265625" style="35" customWidth="1"/>
    <col min="7" max="13" width="8.26953125" style="40" customWidth="1"/>
    <col min="14" max="14" width="13.36328125" style="40" bestFit="1" customWidth="1"/>
    <col min="15" max="15" width="9" style="40" hidden="1" customWidth="1"/>
    <col min="16" max="27" width="0" style="40" hidden="1" customWidth="1"/>
    <col min="28" max="16384" width="9" style="40" hidden="1"/>
  </cols>
  <sheetData>
    <row r="1" spans="1:17" s="35" customFormat="1" ht="16.2">
      <c r="A1" s="88" t="s">
        <v>101</v>
      </c>
      <c r="C1" s="36"/>
      <c r="D1" s="36"/>
      <c r="E1" s="36"/>
    </row>
    <row r="2" spans="1:17" s="35" customFormat="1" ht="16.2">
      <c r="A2" s="88" t="str">
        <f>CompName</f>
        <v>Scottish Power Transmission plc</v>
      </c>
      <c r="C2" s="36"/>
      <c r="D2" s="36"/>
      <c r="E2" s="36"/>
    </row>
    <row r="3" spans="1:17" s="35" customFormat="1" ht="12.6">
      <c r="A3" s="89" t="str">
        <f>'R5 Input page'!F7</f>
        <v>Regulatory Year ending 31 March 2017</v>
      </c>
      <c r="C3" s="36"/>
      <c r="D3" s="36"/>
      <c r="E3" s="36"/>
    </row>
    <row r="4" spans="1:17" ht="16.2">
      <c r="A4" s="88"/>
      <c r="C4" s="38"/>
      <c r="D4" s="38"/>
      <c r="E4" s="38"/>
      <c r="F4" s="38"/>
      <c r="G4" s="38"/>
      <c r="H4" s="38"/>
      <c r="I4" s="382" t="s">
        <v>102</v>
      </c>
      <c r="J4" s="382"/>
      <c r="K4" s="383"/>
      <c r="L4" s="38"/>
      <c r="M4" s="38"/>
      <c r="N4" s="39"/>
    </row>
    <row r="5" spans="1:17" ht="16.2">
      <c r="A5" s="88" t="s">
        <v>103</v>
      </c>
      <c r="C5" s="38" t="s">
        <v>0</v>
      </c>
      <c r="D5" s="51">
        <v>2012</v>
      </c>
      <c r="E5" s="51">
        <v>2013</v>
      </c>
      <c r="F5" s="51">
        <v>2014</v>
      </c>
      <c r="G5" s="51">
        <v>2015</v>
      </c>
      <c r="H5" s="51">
        <v>2016</v>
      </c>
      <c r="I5" s="51">
        <v>2017</v>
      </c>
      <c r="J5" s="51">
        <v>2018</v>
      </c>
      <c r="K5" s="51">
        <v>2019</v>
      </c>
      <c r="L5" s="51">
        <v>2020</v>
      </c>
      <c r="M5" s="51">
        <v>2021</v>
      </c>
      <c r="N5" s="39" t="s">
        <v>104</v>
      </c>
    </row>
    <row r="6" spans="1:17" s="43" customFormat="1" ht="12.6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  <c r="Q6" s="41"/>
    </row>
    <row r="7" spans="1:17" ht="13.8">
      <c r="B7" s="44"/>
      <c r="C7" s="45"/>
      <c r="D7" s="45"/>
      <c r="E7" s="45"/>
      <c r="F7" s="44"/>
      <c r="G7" s="44"/>
      <c r="I7" s="38"/>
      <c r="J7" s="38"/>
      <c r="K7" s="38"/>
      <c r="L7" s="38"/>
      <c r="M7" s="38"/>
      <c r="N7" s="39"/>
    </row>
    <row r="8" spans="1:17" ht="16.2">
      <c r="A8" s="88" t="s">
        <v>106</v>
      </c>
      <c r="B8" s="44"/>
      <c r="C8" s="45"/>
      <c r="D8" s="45"/>
      <c r="E8" s="45"/>
      <c r="F8" s="44"/>
      <c r="G8" s="44"/>
      <c r="I8" s="38"/>
      <c r="J8" s="38"/>
      <c r="K8" s="38"/>
      <c r="L8" s="38"/>
      <c r="M8" s="38"/>
      <c r="N8" s="39"/>
    </row>
    <row r="9" spans="1:17" ht="12.6">
      <c r="A9" s="35" t="s">
        <v>524</v>
      </c>
      <c r="B9" s="35" t="s">
        <v>107</v>
      </c>
      <c r="C9" s="328" t="s">
        <v>538</v>
      </c>
      <c r="D9" s="36"/>
      <c r="E9" s="36"/>
      <c r="F9" s="74">
        <v>225.12200000000001</v>
      </c>
      <c r="G9" s="74">
        <v>236.95</v>
      </c>
      <c r="H9" s="74">
        <v>258.63299999999998</v>
      </c>
      <c r="I9" s="74">
        <v>244.655</v>
      </c>
      <c r="J9" s="74">
        <v>249.43899999999999</v>
      </c>
      <c r="K9" s="74">
        <v>253.065</v>
      </c>
      <c r="L9" s="74">
        <v>256.44499999999999</v>
      </c>
      <c r="M9" s="74">
        <v>254.238</v>
      </c>
      <c r="N9" s="39" t="s">
        <v>107</v>
      </c>
      <c r="O9" s="37"/>
      <c r="P9" s="37"/>
      <c r="Q9" s="37"/>
    </row>
    <row r="10" spans="1:17" ht="12.6">
      <c r="F10" s="36"/>
      <c r="G10" s="47"/>
      <c r="H10" s="47"/>
      <c r="I10" s="47"/>
      <c r="J10" s="47"/>
      <c r="K10" s="47"/>
      <c r="L10" s="47"/>
      <c r="M10" s="47"/>
      <c r="N10" s="47"/>
    </row>
    <row r="11" spans="1:17" ht="16.2">
      <c r="A11" s="88" t="s">
        <v>108</v>
      </c>
      <c r="D11" s="36"/>
      <c r="E11" s="36"/>
      <c r="G11" s="35"/>
      <c r="H11" s="35"/>
      <c r="I11" s="35"/>
      <c r="J11" s="35"/>
      <c r="K11" s="35"/>
      <c r="L11" s="35"/>
      <c r="M11" s="35"/>
      <c r="N11" s="39"/>
    </row>
    <row r="12" spans="1:17" ht="12.6">
      <c r="A12" s="35" t="s">
        <v>525</v>
      </c>
      <c r="B12" s="35" t="s">
        <v>122</v>
      </c>
      <c r="C12" s="328" t="s">
        <v>538</v>
      </c>
      <c r="F12" s="74">
        <v>24.1</v>
      </c>
      <c r="G12" s="74">
        <v>24.1</v>
      </c>
      <c r="H12" s="74">
        <v>24.1</v>
      </c>
      <c r="I12" s="74">
        <v>24.1</v>
      </c>
      <c r="J12" s="74">
        <v>24.1</v>
      </c>
      <c r="K12" s="74">
        <v>24.1</v>
      </c>
      <c r="L12" s="74">
        <v>24.1</v>
      </c>
      <c r="M12" s="74">
        <v>24.1</v>
      </c>
      <c r="N12" s="39" t="s">
        <v>122</v>
      </c>
    </row>
    <row r="13" spans="1:17" ht="12.6" hidden="1">
      <c r="C13" s="48"/>
      <c r="F13" s="46"/>
      <c r="G13" s="46"/>
      <c r="H13" s="46"/>
      <c r="I13" s="46"/>
      <c r="J13" s="46"/>
      <c r="K13" s="46"/>
      <c r="L13" s="46"/>
      <c r="M13" s="46"/>
      <c r="N13" s="39"/>
    </row>
    <row r="14" spans="1:17" ht="12.6" hidden="1">
      <c r="C14" s="48"/>
      <c r="F14" s="46"/>
      <c r="G14" s="46"/>
      <c r="H14" s="46"/>
      <c r="I14" s="46"/>
      <c r="J14" s="46"/>
      <c r="K14" s="46"/>
      <c r="L14" s="46"/>
      <c r="M14" s="46"/>
      <c r="N14" s="39"/>
    </row>
    <row r="15" spans="1:17" ht="12.6" hidden="1">
      <c r="A15" s="41"/>
      <c r="C15" s="48"/>
      <c r="F15" s="46"/>
      <c r="G15" s="46"/>
      <c r="H15" s="46"/>
      <c r="I15" s="46"/>
      <c r="J15" s="46"/>
      <c r="K15" s="46"/>
      <c r="L15" s="46"/>
      <c r="M15" s="46"/>
      <c r="N15" s="39"/>
    </row>
    <row r="16" spans="1:17" ht="12.6" hidden="1">
      <c r="G16" s="35"/>
      <c r="H16" s="35"/>
      <c r="I16" s="35"/>
      <c r="J16" s="35"/>
      <c r="K16" s="35"/>
      <c r="L16" s="35"/>
      <c r="M16" s="35"/>
      <c r="N16" s="39"/>
    </row>
    <row r="17" spans="1:17" ht="12.6" hidden="1">
      <c r="B17" s="49"/>
      <c r="G17" s="35"/>
      <c r="H17" s="35"/>
      <c r="I17" s="35"/>
      <c r="J17" s="35"/>
      <c r="K17" s="35"/>
      <c r="L17" s="35"/>
      <c r="M17" s="35"/>
      <c r="N17" s="39"/>
    </row>
    <row r="18" spans="1:17" ht="12.75" customHeight="1"/>
    <row r="19" spans="1:17" ht="12.75" customHeight="1">
      <c r="A19" s="90" t="s">
        <v>195</v>
      </c>
    </row>
    <row r="20" spans="1:17" ht="12.75" customHeight="1"/>
    <row r="21" spans="1:17" ht="12.75" customHeight="1">
      <c r="A21" s="89" t="s">
        <v>196</v>
      </c>
    </row>
    <row r="22" spans="1:17" ht="12.75" customHeight="1">
      <c r="A22" s="35" t="s">
        <v>526</v>
      </c>
      <c r="B22" s="35" t="s">
        <v>197</v>
      </c>
      <c r="C22" s="36" t="s">
        <v>1</v>
      </c>
      <c r="F22" s="75">
        <v>1.6E-2</v>
      </c>
      <c r="G22" s="75">
        <v>1.6E-2</v>
      </c>
      <c r="H22" s="75">
        <v>1.6E-2</v>
      </c>
      <c r="I22" s="75">
        <v>1.6E-2</v>
      </c>
      <c r="J22" s="75">
        <v>1.6E-2</v>
      </c>
      <c r="K22" s="75">
        <v>1.6E-2</v>
      </c>
      <c r="L22" s="75">
        <v>1.6E-2</v>
      </c>
      <c r="M22" s="75">
        <v>1.6E-2</v>
      </c>
      <c r="N22" s="58" t="s">
        <v>197</v>
      </c>
    </row>
    <row r="23" spans="1:17" s="53" customFormat="1" ht="12.6">
      <c r="A23" s="56" t="s">
        <v>527</v>
      </c>
      <c r="B23" s="56" t="s">
        <v>199</v>
      </c>
      <c r="C23" s="54" t="s">
        <v>198</v>
      </c>
      <c r="D23" s="47"/>
      <c r="E23" s="47"/>
      <c r="F23" s="76">
        <v>225</v>
      </c>
      <c r="G23" s="76">
        <v>225</v>
      </c>
      <c r="H23" s="76">
        <v>225</v>
      </c>
      <c r="I23" s="76">
        <v>225</v>
      </c>
      <c r="J23" s="76">
        <v>225</v>
      </c>
      <c r="K23" s="76">
        <v>225</v>
      </c>
      <c r="L23" s="76">
        <v>225</v>
      </c>
      <c r="M23" s="76">
        <v>225</v>
      </c>
      <c r="N23" s="61" t="s">
        <v>199</v>
      </c>
      <c r="O23" s="50"/>
      <c r="P23" s="50"/>
      <c r="Q23" s="50"/>
    </row>
    <row r="24" spans="1:17" s="53" customFormat="1" ht="12.6">
      <c r="A24" s="56" t="s">
        <v>528</v>
      </c>
      <c r="B24" s="56" t="s">
        <v>200</v>
      </c>
      <c r="C24" s="54" t="s">
        <v>105</v>
      </c>
      <c r="D24" s="47"/>
      <c r="E24" s="47"/>
      <c r="F24" s="77">
        <v>0.03</v>
      </c>
      <c r="G24" s="77">
        <v>0.03</v>
      </c>
      <c r="H24" s="77">
        <v>0.03</v>
      </c>
      <c r="I24" s="77">
        <v>0.03</v>
      </c>
      <c r="J24" s="77">
        <v>0.03</v>
      </c>
      <c r="K24" s="77">
        <v>0.03</v>
      </c>
      <c r="L24" s="77">
        <v>0.03</v>
      </c>
      <c r="M24" s="77">
        <v>0.03</v>
      </c>
      <c r="N24" s="61" t="s">
        <v>200</v>
      </c>
      <c r="O24" s="50"/>
      <c r="P24" s="50"/>
      <c r="Q24" s="50"/>
    </row>
    <row r="25" spans="1:17" ht="12.75" customHeight="1"/>
    <row r="26" spans="1:17" ht="12.75" hidden="1" customHeight="1"/>
    <row r="27" spans="1:17" ht="12.75" hidden="1" customHeight="1"/>
    <row r="28" spans="1:17" ht="12.75" customHeight="1"/>
    <row r="29" spans="1:17" s="1" customFormat="1" ht="13.8">
      <c r="A29" s="91" t="s">
        <v>428</v>
      </c>
      <c r="C29" s="269"/>
      <c r="D29" s="84"/>
      <c r="E29" s="85"/>
      <c r="F29" s="86"/>
      <c r="G29" s="86"/>
      <c r="P29" s="87"/>
    </row>
    <row r="30" spans="1:17" s="1" customFormat="1" ht="13.8">
      <c r="C30" s="269"/>
      <c r="D30" s="84"/>
      <c r="E30" s="85"/>
      <c r="F30" s="86"/>
      <c r="G30" s="86"/>
      <c r="H30" s="86"/>
      <c r="I30" s="86"/>
      <c r="J30" s="86"/>
      <c r="K30" s="86"/>
      <c r="P30" s="87"/>
    </row>
    <row r="31" spans="1:17" s="1" customFormat="1" ht="13.8">
      <c r="A31" s="57" t="s">
        <v>429</v>
      </c>
      <c r="B31" s="92" t="s">
        <v>424</v>
      </c>
      <c r="C31" s="270" t="s">
        <v>430</v>
      </c>
      <c r="D31" s="83"/>
      <c r="E31" s="83"/>
      <c r="F31" s="95">
        <v>8</v>
      </c>
      <c r="G31" s="86"/>
      <c r="H31" s="86"/>
      <c r="I31" s="86"/>
      <c r="J31" s="86"/>
      <c r="K31" s="86"/>
      <c r="P31" s="87" t="s">
        <v>424</v>
      </c>
    </row>
    <row r="32" spans="1:17" s="1" customFormat="1" ht="13.8">
      <c r="A32" s="57" t="s">
        <v>431</v>
      </c>
      <c r="B32" s="92" t="s">
        <v>421</v>
      </c>
      <c r="C32" s="270" t="s">
        <v>430</v>
      </c>
      <c r="D32" s="83"/>
      <c r="E32" s="83"/>
      <c r="F32" s="95">
        <v>10</v>
      </c>
      <c r="G32" s="86"/>
      <c r="H32" s="86"/>
      <c r="I32" s="86"/>
      <c r="J32" s="86"/>
      <c r="K32" s="86"/>
      <c r="P32" s="87" t="s">
        <v>421</v>
      </c>
    </row>
    <row r="33" spans="1:16" s="1" customFormat="1" ht="13.8">
      <c r="A33" s="93"/>
      <c r="B33" s="94"/>
      <c r="C33" s="270"/>
      <c r="D33" s="83"/>
      <c r="E33" s="83"/>
      <c r="F33" s="57"/>
      <c r="G33" s="86"/>
      <c r="H33" s="86"/>
      <c r="I33" s="86"/>
      <c r="J33" s="86"/>
      <c r="K33" s="86"/>
      <c r="P33" s="87"/>
    </row>
    <row r="34" spans="1:16" s="1" customFormat="1" ht="13.8">
      <c r="A34" s="57" t="s">
        <v>432</v>
      </c>
      <c r="B34" s="92" t="s">
        <v>420</v>
      </c>
      <c r="C34" s="270" t="s">
        <v>105</v>
      </c>
      <c r="D34" s="83"/>
      <c r="E34" s="83"/>
      <c r="F34" s="101">
        <v>5.0000000000000001E-3</v>
      </c>
      <c r="G34" s="86"/>
      <c r="H34" s="86"/>
      <c r="I34" s="86"/>
      <c r="J34" s="86"/>
      <c r="K34" s="86"/>
      <c r="P34" s="87" t="s">
        <v>420</v>
      </c>
    </row>
    <row r="35" spans="1:16" s="1" customFormat="1" ht="13.8">
      <c r="A35" s="57" t="s">
        <v>433</v>
      </c>
      <c r="B35" s="92" t="s">
        <v>200</v>
      </c>
      <c r="C35" s="270" t="s">
        <v>105</v>
      </c>
      <c r="D35" s="83"/>
      <c r="E35" s="83"/>
      <c r="F35" s="101">
        <v>-7.4999999999999997E-3</v>
      </c>
      <c r="G35" s="86"/>
      <c r="H35" s="86"/>
      <c r="I35" s="86"/>
      <c r="J35" s="86"/>
      <c r="K35" s="86"/>
      <c r="P35" s="87" t="s">
        <v>200</v>
      </c>
    </row>
    <row r="36" spans="1:16" s="1" customFormat="1" ht="13.8">
      <c r="A36" s="57"/>
      <c r="B36" s="94"/>
      <c r="C36" s="270"/>
      <c r="D36" s="83"/>
      <c r="E36" s="83"/>
      <c r="F36" s="57"/>
      <c r="G36" s="86"/>
      <c r="H36" s="86"/>
      <c r="I36" s="86"/>
      <c r="J36" s="86"/>
      <c r="K36" s="86"/>
      <c r="P36" s="87"/>
    </row>
    <row r="37" spans="1:16" s="1" customFormat="1" ht="13.8">
      <c r="A37" s="57" t="s">
        <v>434</v>
      </c>
      <c r="B37" s="92" t="s">
        <v>422</v>
      </c>
      <c r="C37" s="270" t="s">
        <v>430</v>
      </c>
      <c r="D37" s="83"/>
      <c r="E37" s="83"/>
      <c r="F37" s="95">
        <v>22</v>
      </c>
      <c r="G37" s="86"/>
      <c r="H37" s="86"/>
      <c r="I37" s="86"/>
      <c r="J37" s="86"/>
      <c r="K37" s="86"/>
      <c r="P37" s="87" t="s">
        <v>422</v>
      </c>
    </row>
    <row r="38" spans="1:16" ht="12.75" customHeight="1"/>
    <row r="39" spans="1:16" ht="12.75" customHeight="1"/>
    <row r="40" spans="1:16" ht="12.75" customHeight="1">
      <c r="A40" s="35" t="s">
        <v>529</v>
      </c>
      <c r="B40" s="35" t="s">
        <v>211</v>
      </c>
      <c r="C40" s="36" t="s">
        <v>105</v>
      </c>
      <c r="F40" s="77">
        <v>0.5</v>
      </c>
      <c r="G40" s="77">
        <v>0.5</v>
      </c>
      <c r="H40" s="77">
        <v>0.5</v>
      </c>
      <c r="I40" s="77">
        <v>0.5</v>
      </c>
      <c r="J40" s="77">
        <v>0.5</v>
      </c>
      <c r="K40" s="77">
        <v>0.5</v>
      </c>
      <c r="L40" s="77">
        <v>0.5</v>
      </c>
      <c r="M40" s="77">
        <v>0.5</v>
      </c>
      <c r="N40" s="58" t="s">
        <v>211</v>
      </c>
    </row>
    <row r="41" spans="1:16" ht="12.75" customHeight="1"/>
    <row r="42" spans="1:16" ht="12.75" customHeight="1">
      <c r="A42" s="56" t="s">
        <v>530</v>
      </c>
      <c r="B42" s="56" t="s">
        <v>56</v>
      </c>
      <c r="C42" s="270" t="s">
        <v>105</v>
      </c>
      <c r="D42"/>
      <c r="E42"/>
      <c r="F42" s="77">
        <v>5.0000000000000001E-3</v>
      </c>
      <c r="G42" s="77">
        <v>5.0000000000000001E-3</v>
      </c>
      <c r="H42" s="77">
        <v>5.0000000000000001E-3</v>
      </c>
      <c r="I42" s="77">
        <v>5.0000000000000001E-3</v>
      </c>
      <c r="J42" s="77">
        <v>5.0000000000000001E-3</v>
      </c>
      <c r="K42" s="77">
        <v>5.0000000000000001E-3</v>
      </c>
      <c r="L42" s="77">
        <v>5.0000000000000001E-3</v>
      </c>
      <c r="M42" s="77">
        <v>5.0000000000000001E-3</v>
      </c>
      <c r="N42" s="58" t="s">
        <v>56</v>
      </c>
    </row>
    <row r="43" spans="1:16" ht="12.75" customHeight="1">
      <c r="A43" s="56"/>
      <c r="B43" s="56"/>
      <c r="C43" s="270"/>
      <c r="D43"/>
      <c r="E43"/>
      <c r="F43" s="71"/>
      <c r="G43" s="71"/>
      <c r="H43" s="71"/>
      <c r="I43" s="71"/>
      <c r="J43" s="71"/>
      <c r="K43" s="71"/>
      <c r="L43" s="71"/>
      <c r="M43" s="71"/>
      <c r="N43" s="58"/>
    </row>
    <row r="44" spans="1:16" ht="12.75" customHeight="1">
      <c r="A44" s="62" t="s">
        <v>216</v>
      </c>
      <c r="B44" s="56"/>
      <c r="C44" s="270"/>
      <c r="D44"/>
      <c r="E44"/>
      <c r="F44" s="71"/>
      <c r="G44" s="71"/>
      <c r="H44" s="71"/>
      <c r="I44" s="71"/>
      <c r="J44" s="71"/>
      <c r="K44" s="71"/>
      <c r="L44" s="71"/>
      <c r="M44" s="71"/>
      <c r="N44" s="58"/>
    </row>
    <row r="45" spans="1:16" s="67" customFormat="1" ht="12.6">
      <c r="A45" s="56" t="s">
        <v>531</v>
      </c>
      <c r="B45" s="56" t="s">
        <v>44</v>
      </c>
      <c r="C45" s="270" t="s">
        <v>118</v>
      </c>
      <c r="F45" s="96">
        <v>23.9</v>
      </c>
      <c r="G45" s="96">
        <v>23.9</v>
      </c>
      <c r="H45" s="96">
        <v>23.9</v>
      </c>
      <c r="I45" s="96">
        <v>23.9</v>
      </c>
      <c r="J45" s="96">
        <v>23.9</v>
      </c>
      <c r="K45" s="96">
        <v>23.9</v>
      </c>
      <c r="L45" s="96">
        <v>23.9</v>
      </c>
      <c r="M45" s="96">
        <v>23.9</v>
      </c>
      <c r="N45" s="2" t="s">
        <v>44</v>
      </c>
    </row>
    <row r="46" spans="1:16" ht="12.75" customHeight="1">
      <c r="A46" s="35" t="s">
        <v>532</v>
      </c>
      <c r="B46" s="82" t="s">
        <v>223</v>
      </c>
      <c r="C46" s="54" t="s">
        <v>401</v>
      </c>
      <c r="D46" s="73"/>
      <c r="E46" s="73"/>
      <c r="F46" s="97">
        <v>50</v>
      </c>
      <c r="G46" s="97">
        <v>51</v>
      </c>
      <c r="H46" s="97">
        <v>52</v>
      </c>
      <c r="I46" s="97">
        <v>53</v>
      </c>
      <c r="J46" s="97">
        <v>54</v>
      </c>
      <c r="K46" s="97">
        <v>55</v>
      </c>
      <c r="L46" s="97">
        <v>56</v>
      </c>
      <c r="M46" s="97">
        <v>57</v>
      </c>
      <c r="N46" s="61" t="s">
        <v>223</v>
      </c>
    </row>
    <row r="47" spans="1:16" ht="12.75" customHeight="1">
      <c r="A47" s="375"/>
      <c r="B47" s="56"/>
      <c r="C47" s="270"/>
      <c r="D47"/>
      <c r="E47"/>
      <c r="F47" s="71"/>
      <c r="G47" s="71"/>
      <c r="H47" s="71"/>
      <c r="I47" s="71"/>
      <c r="J47" s="71"/>
      <c r="K47" s="71"/>
      <c r="L47" s="71"/>
      <c r="M47" s="71"/>
      <c r="N47" s="58"/>
    </row>
    <row r="48" spans="1:16" ht="12.75" customHeight="1">
      <c r="A48" s="376" t="s">
        <v>399</v>
      </c>
      <c r="B48" s="56"/>
      <c r="C48" s="270"/>
      <c r="D48"/>
      <c r="E48"/>
      <c r="F48" s="71"/>
      <c r="G48" s="71"/>
      <c r="H48" s="71"/>
      <c r="I48" s="71"/>
      <c r="J48" s="71"/>
      <c r="K48" s="71"/>
      <c r="L48" s="71"/>
      <c r="M48" s="71"/>
      <c r="N48" s="58"/>
    </row>
    <row r="49" spans="1:14" ht="12.75" customHeight="1">
      <c r="A49" s="377" t="s">
        <v>560</v>
      </c>
      <c r="B49" s="59" t="s">
        <v>567</v>
      </c>
      <c r="C49" s="36" t="s">
        <v>561</v>
      </c>
      <c r="E49"/>
      <c r="F49" s="336">
        <v>0</v>
      </c>
      <c r="G49" s="336">
        <v>0</v>
      </c>
      <c r="H49" s="336">
        <v>0</v>
      </c>
      <c r="I49" s="336">
        <v>7.4</v>
      </c>
      <c r="J49" s="336">
        <v>7.4</v>
      </c>
      <c r="K49" s="336">
        <v>7.4</v>
      </c>
      <c r="L49" s="336">
        <v>7.4</v>
      </c>
      <c r="M49" s="336">
        <v>7.4</v>
      </c>
      <c r="N49" s="58" t="s">
        <v>567</v>
      </c>
    </row>
    <row r="50" spans="1:14" ht="12.75" customHeight="1">
      <c r="A50" s="377" t="s">
        <v>562</v>
      </c>
      <c r="B50" s="59" t="s">
        <v>568</v>
      </c>
      <c r="C50" s="36" t="s">
        <v>561</v>
      </c>
      <c r="E50"/>
      <c r="F50" s="336">
        <v>0</v>
      </c>
      <c r="G50" s="336">
        <v>0</v>
      </c>
      <c r="H50" s="336">
        <v>0</v>
      </c>
      <c r="I50" s="336">
        <v>9</v>
      </c>
      <c r="J50" s="336">
        <v>9</v>
      </c>
      <c r="K50" s="336">
        <v>9</v>
      </c>
      <c r="L50" s="336">
        <v>9</v>
      </c>
      <c r="M50" s="336">
        <v>9</v>
      </c>
      <c r="N50" s="58" t="s">
        <v>568</v>
      </c>
    </row>
    <row r="51" spans="1:14" ht="12.75" customHeight="1">
      <c r="A51" s="377" t="s">
        <v>564</v>
      </c>
      <c r="B51" s="59" t="s">
        <v>570</v>
      </c>
      <c r="C51" s="36" t="s">
        <v>561</v>
      </c>
      <c r="E51"/>
      <c r="F51" s="336">
        <v>0</v>
      </c>
      <c r="G51" s="336">
        <v>0</v>
      </c>
      <c r="H51" s="336">
        <v>0</v>
      </c>
      <c r="I51" s="336">
        <v>5.8</v>
      </c>
      <c r="J51" s="336">
        <v>5.8</v>
      </c>
      <c r="K51" s="336">
        <v>5.8</v>
      </c>
      <c r="L51" s="336">
        <v>5.8</v>
      </c>
      <c r="M51" s="336">
        <v>5.8</v>
      </c>
      <c r="N51" s="58" t="s">
        <v>570</v>
      </c>
    </row>
    <row r="52" spans="1:14" ht="12.75" customHeight="1">
      <c r="A52" s="377" t="s">
        <v>563</v>
      </c>
      <c r="B52" s="59" t="s">
        <v>569</v>
      </c>
      <c r="C52" s="36" t="s">
        <v>595</v>
      </c>
      <c r="E52"/>
      <c r="F52" s="369">
        <v>1</v>
      </c>
      <c r="G52" s="369">
        <v>1</v>
      </c>
      <c r="H52" s="369">
        <v>1</v>
      </c>
      <c r="I52" s="369">
        <v>1</v>
      </c>
      <c r="J52" s="369">
        <v>1</v>
      </c>
      <c r="K52" s="369">
        <v>1</v>
      </c>
      <c r="L52" s="369">
        <v>1</v>
      </c>
      <c r="M52" s="369">
        <v>1</v>
      </c>
      <c r="N52" s="58" t="s">
        <v>569</v>
      </c>
    </row>
    <row r="53" spans="1:14" ht="12.75" customHeight="1">
      <c r="A53" s="377" t="s">
        <v>565</v>
      </c>
      <c r="B53" s="59" t="s">
        <v>571</v>
      </c>
      <c r="C53" s="36" t="s">
        <v>596</v>
      </c>
      <c r="E53"/>
      <c r="F53" s="369">
        <v>-1</v>
      </c>
      <c r="G53" s="369">
        <v>-1</v>
      </c>
      <c r="H53" s="369">
        <v>-1</v>
      </c>
      <c r="I53" s="369">
        <v>-1</v>
      </c>
      <c r="J53" s="369">
        <v>-1</v>
      </c>
      <c r="K53" s="369">
        <v>-1</v>
      </c>
      <c r="L53" s="369">
        <v>-1</v>
      </c>
      <c r="M53" s="369">
        <v>-1</v>
      </c>
      <c r="N53" s="58" t="s">
        <v>571</v>
      </c>
    </row>
    <row r="54" spans="1:14" ht="12.75" customHeight="1">
      <c r="A54" s="375" t="s">
        <v>398</v>
      </c>
      <c r="B54" s="366" t="s">
        <v>574</v>
      </c>
      <c r="C54" s="36" t="s">
        <v>1</v>
      </c>
      <c r="E54"/>
      <c r="F54" s="96">
        <v>5.0000000000000001E-3</v>
      </c>
      <c r="G54" s="96">
        <v>5.0000000000000001E-3</v>
      </c>
      <c r="H54" s="96">
        <v>5.0000000000000001E-3</v>
      </c>
      <c r="I54" s="96">
        <v>5.0000000000000001E-3</v>
      </c>
      <c r="J54" s="96">
        <v>5.0000000000000001E-3</v>
      </c>
      <c r="K54" s="96">
        <v>5.0000000000000001E-3</v>
      </c>
      <c r="L54" s="96">
        <v>5.0000000000000001E-3</v>
      </c>
      <c r="M54" s="96">
        <v>5.0000000000000001E-3</v>
      </c>
      <c r="N54" s="58" t="s">
        <v>573</v>
      </c>
    </row>
    <row r="55" spans="1:14" ht="12.75" customHeight="1">
      <c r="A55" s="375" t="s">
        <v>572</v>
      </c>
      <c r="B55" s="35" t="s">
        <v>549</v>
      </c>
      <c r="C55" s="36" t="s">
        <v>105</v>
      </c>
      <c r="F55" s="77">
        <v>0</v>
      </c>
      <c r="G55" s="77">
        <v>0</v>
      </c>
      <c r="H55" s="77">
        <v>0</v>
      </c>
      <c r="I55" s="77">
        <v>0.6</v>
      </c>
      <c r="J55" s="77">
        <v>0.6</v>
      </c>
      <c r="K55" s="77">
        <v>0.6</v>
      </c>
      <c r="L55" s="77">
        <v>0.6</v>
      </c>
      <c r="M55" s="77">
        <v>0.6</v>
      </c>
      <c r="N55" s="58" t="s">
        <v>549</v>
      </c>
    </row>
    <row r="56" spans="1:14" ht="12.75" customHeight="1">
      <c r="A56" s="375"/>
      <c r="F56" s="98"/>
      <c r="G56" s="98"/>
      <c r="H56" s="98"/>
      <c r="I56" s="98"/>
      <c r="J56" s="98"/>
      <c r="K56" s="98"/>
      <c r="L56" s="98"/>
      <c r="M56" s="98"/>
    </row>
    <row r="57" spans="1:14" ht="12.75" customHeight="1">
      <c r="A57" s="375"/>
      <c r="F57" s="98"/>
      <c r="G57" s="98"/>
      <c r="H57" s="98"/>
      <c r="I57" s="98"/>
      <c r="J57" s="98"/>
      <c r="K57" s="98"/>
      <c r="L57" s="98"/>
      <c r="M57" s="98"/>
    </row>
    <row r="58" spans="1:14" ht="12.75" customHeight="1">
      <c r="A58" s="373" t="s">
        <v>581</v>
      </c>
      <c r="B58" s="140" t="s">
        <v>580</v>
      </c>
      <c r="C58" s="36" t="s">
        <v>561</v>
      </c>
      <c r="F58" s="336">
        <v>0</v>
      </c>
      <c r="G58" s="336">
        <v>0</v>
      </c>
      <c r="H58" s="336">
        <v>0</v>
      </c>
      <c r="I58" s="336">
        <v>69</v>
      </c>
      <c r="J58" s="336">
        <v>69</v>
      </c>
      <c r="K58" s="336">
        <v>69</v>
      </c>
      <c r="L58" s="336">
        <v>69</v>
      </c>
      <c r="M58" s="336">
        <v>69</v>
      </c>
      <c r="N58" s="365" t="s">
        <v>580</v>
      </c>
    </row>
    <row r="59" spans="1:14" ht="12.75" customHeight="1">
      <c r="A59" s="373" t="s">
        <v>587</v>
      </c>
      <c r="B59" s="140" t="s">
        <v>582</v>
      </c>
      <c r="C59" s="36" t="s">
        <v>561</v>
      </c>
      <c r="F59" s="336">
        <v>0</v>
      </c>
      <c r="G59" s="336">
        <v>0</v>
      </c>
      <c r="H59" s="336">
        <v>0</v>
      </c>
      <c r="I59" s="336">
        <v>85</v>
      </c>
      <c r="J59" s="336">
        <v>85</v>
      </c>
      <c r="K59" s="336">
        <v>85</v>
      </c>
      <c r="L59" s="336">
        <v>85</v>
      </c>
      <c r="M59" s="336">
        <v>85</v>
      </c>
      <c r="N59" s="365" t="s">
        <v>582</v>
      </c>
    </row>
    <row r="60" spans="1:14" ht="12.75" customHeight="1">
      <c r="A60" s="373" t="s">
        <v>588</v>
      </c>
      <c r="B60" s="344" t="s">
        <v>583</v>
      </c>
      <c r="C60" s="36" t="s">
        <v>595</v>
      </c>
      <c r="F60" s="369">
        <v>1</v>
      </c>
      <c r="G60" s="369">
        <v>1</v>
      </c>
      <c r="H60" s="369">
        <v>1</v>
      </c>
      <c r="I60" s="369">
        <v>1</v>
      </c>
      <c r="J60" s="369">
        <v>1</v>
      </c>
      <c r="K60" s="369">
        <v>1</v>
      </c>
      <c r="L60" s="369">
        <v>1</v>
      </c>
      <c r="M60" s="369">
        <v>1</v>
      </c>
      <c r="N60" s="132" t="s">
        <v>583</v>
      </c>
    </row>
    <row r="61" spans="1:14" ht="12.75" customHeight="1">
      <c r="A61" s="373" t="s">
        <v>589</v>
      </c>
      <c r="B61" s="140" t="s">
        <v>584</v>
      </c>
      <c r="C61" s="36" t="s">
        <v>561</v>
      </c>
      <c r="F61" s="336">
        <v>0</v>
      </c>
      <c r="G61" s="336">
        <v>0</v>
      </c>
      <c r="H61" s="336">
        <v>0</v>
      </c>
      <c r="I61" s="336">
        <v>53</v>
      </c>
      <c r="J61" s="336">
        <v>53</v>
      </c>
      <c r="K61" s="336">
        <v>53</v>
      </c>
      <c r="L61" s="336">
        <v>53</v>
      </c>
      <c r="M61" s="336">
        <v>53</v>
      </c>
      <c r="N61" s="365" t="s">
        <v>584</v>
      </c>
    </row>
    <row r="62" spans="1:14" ht="12.75" customHeight="1">
      <c r="A62" s="373" t="s">
        <v>590</v>
      </c>
      <c r="B62" s="140" t="s">
        <v>585</v>
      </c>
      <c r="C62" s="36" t="s">
        <v>595</v>
      </c>
      <c r="F62" s="369">
        <v>-1</v>
      </c>
      <c r="G62" s="369">
        <v>-1</v>
      </c>
      <c r="H62" s="369">
        <v>-1</v>
      </c>
      <c r="I62" s="369">
        <v>-1</v>
      </c>
      <c r="J62" s="369">
        <v>-1</v>
      </c>
      <c r="K62" s="369">
        <v>-1</v>
      </c>
      <c r="L62" s="369">
        <v>-1</v>
      </c>
      <c r="M62" s="369">
        <v>-1</v>
      </c>
      <c r="N62" s="365" t="s">
        <v>585</v>
      </c>
    </row>
    <row r="63" spans="1:14" ht="12.75" customHeight="1">
      <c r="A63" s="373" t="s">
        <v>592</v>
      </c>
      <c r="B63" s="140" t="s">
        <v>551</v>
      </c>
      <c r="C63" s="36" t="s">
        <v>105</v>
      </c>
      <c r="F63" s="77">
        <v>0</v>
      </c>
      <c r="G63" s="77">
        <v>0</v>
      </c>
      <c r="H63" s="77">
        <v>0</v>
      </c>
      <c r="I63" s="77">
        <v>0.3</v>
      </c>
      <c r="J63" s="77">
        <v>0.3</v>
      </c>
      <c r="K63" s="77">
        <v>0.3</v>
      </c>
      <c r="L63" s="77">
        <v>0.3</v>
      </c>
      <c r="M63" s="77">
        <v>0.3</v>
      </c>
      <c r="N63" s="365" t="s">
        <v>551</v>
      </c>
    </row>
    <row r="64" spans="1:14" ht="12.75" customHeight="1">
      <c r="A64" s="375"/>
      <c r="F64" s="98"/>
      <c r="G64" s="98"/>
      <c r="H64" s="98"/>
      <c r="I64" s="98"/>
      <c r="J64" s="98"/>
      <c r="K64" s="98"/>
      <c r="L64" s="98"/>
      <c r="M64" s="98"/>
    </row>
    <row r="65" spans="1:14" ht="12.75" customHeight="1">
      <c r="A65" s="375" t="s">
        <v>594</v>
      </c>
      <c r="B65" s="35" t="s">
        <v>552</v>
      </c>
      <c r="C65" s="36" t="s">
        <v>105</v>
      </c>
      <c r="F65" s="77">
        <v>0.1</v>
      </c>
      <c r="G65" s="77">
        <v>0.1</v>
      </c>
      <c r="H65" s="77">
        <v>0.1</v>
      </c>
      <c r="I65" s="77">
        <v>0.1</v>
      </c>
      <c r="J65" s="77">
        <v>0.1</v>
      </c>
      <c r="K65" s="77">
        <v>0.1</v>
      </c>
      <c r="L65" s="77">
        <v>0.1</v>
      </c>
      <c r="M65" s="77">
        <v>0.1</v>
      </c>
      <c r="N65" s="58" t="s">
        <v>552</v>
      </c>
    </row>
    <row r="66" spans="1:14" ht="12.75" customHeight="1">
      <c r="A66" s="375"/>
      <c r="F66" s="98"/>
      <c r="G66" s="98"/>
      <c r="H66" s="98"/>
      <c r="I66" s="98"/>
      <c r="J66" s="98"/>
      <c r="K66" s="98"/>
      <c r="L66" s="98"/>
      <c r="M66" s="98"/>
    </row>
    <row r="67" spans="1:14" ht="12.75" customHeight="1">
      <c r="A67" s="375"/>
      <c r="F67" s="98"/>
      <c r="G67" s="98"/>
      <c r="H67" s="98"/>
      <c r="I67" s="98"/>
      <c r="J67" s="98"/>
      <c r="K67" s="98"/>
      <c r="L67" s="98"/>
      <c r="M67" s="98"/>
    </row>
    <row r="68" spans="1:14" ht="12.75" customHeight="1">
      <c r="A68" s="56"/>
      <c r="F68" s="98"/>
      <c r="G68" s="98"/>
      <c r="H68" s="98"/>
      <c r="I68" s="98"/>
      <c r="J68" s="98"/>
      <c r="K68" s="98"/>
      <c r="L68" s="98"/>
      <c r="M68" s="98"/>
    </row>
    <row r="69" spans="1:14" ht="12.75" customHeight="1">
      <c r="A69" s="3" t="s">
        <v>400</v>
      </c>
      <c r="F69" s="98"/>
      <c r="G69" s="98"/>
      <c r="H69" s="98"/>
      <c r="I69" s="98"/>
      <c r="J69" s="98"/>
      <c r="K69" s="98"/>
      <c r="L69" s="98"/>
      <c r="M69" s="98"/>
    </row>
    <row r="70" spans="1:14" s="67" customFormat="1" ht="12.6">
      <c r="A70" s="56" t="s">
        <v>533</v>
      </c>
      <c r="B70" s="56" t="s">
        <v>54</v>
      </c>
      <c r="C70" s="56" t="s">
        <v>118</v>
      </c>
      <c r="F70" s="99">
        <v>0.9</v>
      </c>
      <c r="G70" s="99">
        <f t="shared" ref="G70:M70" si="0">F70</f>
        <v>0.9</v>
      </c>
      <c r="H70" s="99">
        <f t="shared" si="0"/>
        <v>0.9</v>
      </c>
      <c r="I70" s="99">
        <f t="shared" si="0"/>
        <v>0.9</v>
      </c>
      <c r="J70" s="99">
        <f t="shared" si="0"/>
        <v>0.9</v>
      </c>
      <c r="K70" s="99">
        <f t="shared" si="0"/>
        <v>0.9</v>
      </c>
      <c r="L70" s="99">
        <f t="shared" si="0"/>
        <v>0.9</v>
      </c>
      <c r="M70" s="99">
        <f t="shared" si="0"/>
        <v>0.9</v>
      </c>
    </row>
    <row r="71" spans="1:14" ht="12.75" customHeight="1">
      <c r="A71" s="56"/>
      <c r="E71" s="68"/>
      <c r="F71" s="98"/>
      <c r="G71" s="69"/>
      <c r="H71" s="69"/>
      <c r="I71" s="69"/>
      <c r="J71" s="69"/>
      <c r="K71" s="69"/>
      <c r="L71" s="69"/>
      <c r="M71" s="69"/>
    </row>
    <row r="72" spans="1:14" ht="20.25" customHeight="1">
      <c r="A72" s="329" t="s">
        <v>513</v>
      </c>
    </row>
    <row r="73" spans="1:14" ht="12.75" customHeight="1">
      <c r="A73" s="90" t="s">
        <v>368</v>
      </c>
    </row>
    <row r="74" spans="1:14" ht="12.75" customHeight="1">
      <c r="A74" s="35" t="s">
        <v>356</v>
      </c>
    </row>
    <row r="75" spans="1:14" ht="12.75" customHeight="1">
      <c r="A75" s="35" t="s">
        <v>407</v>
      </c>
      <c r="B75" s="35" t="s">
        <v>151</v>
      </c>
      <c r="C75" s="48" t="s">
        <v>1</v>
      </c>
      <c r="F75" s="331">
        <v>0</v>
      </c>
      <c r="G75" s="331">
        <v>0</v>
      </c>
      <c r="H75" s="331">
        <v>0</v>
      </c>
      <c r="I75" s="331">
        <v>0</v>
      </c>
      <c r="J75" s="331">
        <v>0</v>
      </c>
      <c r="K75" s="331">
        <v>0</v>
      </c>
      <c r="L75" s="331">
        <v>0</v>
      </c>
      <c r="M75" s="331">
        <v>0</v>
      </c>
      <c r="N75" s="58" t="s">
        <v>144</v>
      </c>
    </row>
    <row r="76" spans="1:14" ht="12.75" customHeight="1">
      <c r="A76" s="35" t="s">
        <v>246</v>
      </c>
      <c r="B76" s="35" t="s">
        <v>139</v>
      </c>
      <c r="C76" s="48" t="s">
        <v>1</v>
      </c>
      <c r="F76" s="330">
        <v>53.652000000000001</v>
      </c>
      <c r="G76" s="331">
        <v>0</v>
      </c>
      <c r="H76" s="331">
        <v>0</v>
      </c>
      <c r="I76" s="331">
        <v>0</v>
      </c>
      <c r="J76" s="331">
        <v>0</v>
      </c>
      <c r="K76" s="331">
        <v>0</v>
      </c>
      <c r="L76" s="331">
        <v>0</v>
      </c>
      <c r="M76" s="331">
        <v>0</v>
      </c>
      <c r="N76" s="58" t="s">
        <v>139</v>
      </c>
    </row>
    <row r="77" spans="1:14" ht="12.75" customHeight="1">
      <c r="A77" s="35" t="s">
        <v>247</v>
      </c>
      <c r="B77" s="35" t="s">
        <v>153</v>
      </c>
      <c r="C77" s="48" t="s">
        <v>1</v>
      </c>
      <c r="F77" s="330">
        <v>2.855</v>
      </c>
      <c r="G77" s="331">
        <v>0</v>
      </c>
      <c r="H77" s="331">
        <v>0</v>
      </c>
      <c r="I77" s="331">
        <v>0</v>
      </c>
      <c r="J77" s="331">
        <v>0</v>
      </c>
      <c r="K77" s="331">
        <v>0</v>
      </c>
      <c r="L77" s="331">
        <v>0</v>
      </c>
      <c r="M77" s="331">
        <v>0</v>
      </c>
      <c r="N77" s="58" t="s">
        <v>153</v>
      </c>
    </row>
    <row r="78" spans="1:14" ht="12.75" customHeight="1">
      <c r="A78" s="35" t="s">
        <v>248</v>
      </c>
      <c r="B78" s="35" t="s">
        <v>141</v>
      </c>
      <c r="C78" s="48" t="s">
        <v>1</v>
      </c>
      <c r="F78" s="331">
        <v>0</v>
      </c>
      <c r="G78" s="338">
        <v>0</v>
      </c>
      <c r="H78" s="338">
        <v>0</v>
      </c>
      <c r="I78" s="338">
        <v>0</v>
      </c>
      <c r="J78" s="348">
        <v>152.88</v>
      </c>
      <c r="K78" s="338">
        <v>0</v>
      </c>
      <c r="L78" s="338">
        <v>0</v>
      </c>
      <c r="M78" s="338">
        <v>0</v>
      </c>
      <c r="N78" s="58" t="s">
        <v>141</v>
      </c>
    </row>
    <row r="79" spans="1:14" ht="12.75" customHeight="1">
      <c r="A79" s="35" t="s">
        <v>249</v>
      </c>
      <c r="B79" s="35" t="s">
        <v>142</v>
      </c>
      <c r="C79" s="48" t="s">
        <v>1</v>
      </c>
      <c r="F79" s="331">
        <v>0</v>
      </c>
      <c r="G79" s="338">
        <v>0</v>
      </c>
      <c r="H79" s="338">
        <v>0</v>
      </c>
      <c r="I79" s="338">
        <v>0</v>
      </c>
      <c r="J79" s="348">
        <v>7.6440000000000001</v>
      </c>
      <c r="K79" s="348">
        <v>7.6440000000000001</v>
      </c>
      <c r="L79" s="348">
        <v>7.6440000000000001</v>
      </c>
      <c r="M79" s="348">
        <v>7.6440000000000001</v>
      </c>
      <c r="N79" s="58" t="s">
        <v>142</v>
      </c>
    </row>
    <row r="80" spans="1:14" ht="12.75" customHeight="1">
      <c r="A80" s="35" t="s">
        <v>250</v>
      </c>
      <c r="B80" s="35" t="s">
        <v>145</v>
      </c>
      <c r="C80" s="48" t="s">
        <v>1</v>
      </c>
      <c r="F80" s="331">
        <v>0</v>
      </c>
      <c r="G80" s="338">
        <v>0</v>
      </c>
      <c r="H80" s="338">
        <v>0</v>
      </c>
      <c r="I80" s="338">
        <v>0</v>
      </c>
      <c r="J80" s="348">
        <v>149.05799999999999</v>
      </c>
      <c r="K80" s="348">
        <v>141.41399999999999</v>
      </c>
      <c r="L80" s="348">
        <v>133.77000000000001</v>
      </c>
      <c r="M80" s="348">
        <v>126.126</v>
      </c>
      <c r="N80" s="58" t="s">
        <v>145</v>
      </c>
    </row>
    <row r="81" spans="1:14" ht="12.75" customHeight="1"/>
    <row r="82" spans="1:14" ht="12.75" customHeight="1">
      <c r="A82" s="35" t="s">
        <v>159</v>
      </c>
      <c r="B82" s="35" t="s">
        <v>143</v>
      </c>
      <c r="C82" s="36" t="s">
        <v>105</v>
      </c>
      <c r="F82" s="77">
        <v>8.7999999999999995E-2</v>
      </c>
      <c r="G82" s="77">
        <v>8.7999999999999995E-2</v>
      </c>
      <c r="H82" s="77">
        <v>8.7999999999999995E-2</v>
      </c>
      <c r="I82" s="77">
        <v>8.7999999999999995E-2</v>
      </c>
      <c r="J82" s="77">
        <v>8.7999999999999995E-2</v>
      </c>
      <c r="K82" s="77">
        <v>8.7999999999999995E-2</v>
      </c>
      <c r="L82" s="77">
        <v>8.7999999999999995E-2</v>
      </c>
      <c r="M82" s="77">
        <v>8.7999999999999995E-2</v>
      </c>
      <c r="N82" s="58" t="s">
        <v>143</v>
      </c>
    </row>
    <row r="83" spans="1:14" ht="12.75" customHeight="1"/>
    <row r="84" spans="1:14" ht="12.75" customHeight="1">
      <c r="A84" s="90" t="s">
        <v>369</v>
      </c>
    </row>
    <row r="85" spans="1:14" ht="12.75" customHeight="1">
      <c r="A85" s="35" t="s">
        <v>357</v>
      </c>
    </row>
    <row r="86" spans="1:14" ht="12.75" customHeight="1">
      <c r="A86" s="35" t="s">
        <v>407</v>
      </c>
      <c r="B86" s="35" t="s">
        <v>151</v>
      </c>
      <c r="C86" s="48" t="s">
        <v>1</v>
      </c>
      <c r="F86" s="338">
        <v>0</v>
      </c>
      <c r="G86" s="338">
        <v>0</v>
      </c>
      <c r="H86" s="338">
        <v>0</v>
      </c>
      <c r="I86" s="332">
        <v>0</v>
      </c>
      <c r="J86" s="332">
        <v>0</v>
      </c>
      <c r="K86" s="332">
        <v>0</v>
      </c>
      <c r="L86" s="332">
        <v>0</v>
      </c>
      <c r="M86" s="332">
        <v>0</v>
      </c>
      <c r="N86" s="58" t="s">
        <v>144</v>
      </c>
    </row>
    <row r="87" spans="1:14" ht="12.75" customHeight="1">
      <c r="A87" s="35" t="s">
        <v>246</v>
      </c>
      <c r="B87" s="35" t="s">
        <v>148</v>
      </c>
      <c r="C87" s="48" t="s">
        <v>1</v>
      </c>
      <c r="F87" s="338">
        <v>0</v>
      </c>
      <c r="G87" s="338">
        <v>0</v>
      </c>
      <c r="H87" s="338">
        <v>0</v>
      </c>
      <c r="I87" s="332">
        <v>0</v>
      </c>
      <c r="J87" s="332">
        <v>0</v>
      </c>
      <c r="K87" s="332">
        <v>0</v>
      </c>
      <c r="L87" s="332">
        <v>0</v>
      </c>
      <c r="M87" s="332">
        <v>0</v>
      </c>
      <c r="N87" s="58" t="s">
        <v>148</v>
      </c>
    </row>
    <row r="88" spans="1:14" ht="12.75" customHeight="1">
      <c r="A88" s="35" t="s">
        <v>247</v>
      </c>
      <c r="B88" s="35" t="s">
        <v>140</v>
      </c>
      <c r="C88" s="48" t="s">
        <v>1</v>
      </c>
      <c r="F88" s="338">
        <v>0</v>
      </c>
      <c r="G88" s="338">
        <v>0</v>
      </c>
      <c r="H88" s="338">
        <v>0</v>
      </c>
      <c r="I88" s="332">
        <v>0</v>
      </c>
      <c r="J88" s="332">
        <v>0</v>
      </c>
      <c r="K88" s="332">
        <v>0</v>
      </c>
      <c r="L88" s="332">
        <v>0</v>
      </c>
      <c r="M88" s="332">
        <v>0</v>
      </c>
      <c r="N88" s="58" t="s">
        <v>379</v>
      </c>
    </row>
    <row r="89" spans="1:14" ht="12.75" customHeight="1">
      <c r="A89" s="35" t="s">
        <v>248</v>
      </c>
      <c r="B89" s="35" t="s">
        <v>141</v>
      </c>
      <c r="C89" s="48" t="s">
        <v>1</v>
      </c>
      <c r="F89" s="338">
        <v>0</v>
      </c>
      <c r="G89" s="338">
        <v>0</v>
      </c>
      <c r="H89" s="338">
        <v>0</v>
      </c>
      <c r="I89" s="332">
        <v>0</v>
      </c>
      <c r="J89" s="332">
        <v>0</v>
      </c>
      <c r="K89" s="332">
        <v>0</v>
      </c>
      <c r="L89" s="332">
        <v>0</v>
      </c>
      <c r="M89" s="332">
        <v>0</v>
      </c>
      <c r="N89" s="58" t="s">
        <v>380</v>
      </c>
    </row>
    <row r="90" spans="1:14" ht="12.75" customHeight="1">
      <c r="A90" s="35" t="s">
        <v>249</v>
      </c>
      <c r="B90" s="35" t="s">
        <v>142</v>
      </c>
      <c r="C90" s="48" t="s">
        <v>1</v>
      </c>
      <c r="F90" s="336">
        <v>0.57199999999999995</v>
      </c>
      <c r="G90" s="336">
        <v>0.57199999999999995</v>
      </c>
      <c r="H90" s="336">
        <v>0.57199999999999995</v>
      </c>
      <c r="I90" s="332">
        <v>0</v>
      </c>
      <c r="J90" s="332">
        <v>0</v>
      </c>
      <c r="K90" s="332">
        <v>0</v>
      </c>
      <c r="L90" s="332">
        <v>0</v>
      </c>
      <c r="M90" s="332">
        <v>0</v>
      </c>
      <c r="N90" s="58" t="s">
        <v>373</v>
      </c>
    </row>
    <row r="91" spans="1:14" ht="12.75" customHeight="1">
      <c r="A91" s="35" t="s">
        <v>250</v>
      </c>
      <c r="B91" s="35" t="s">
        <v>145</v>
      </c>
      <c r="C91" s="48" t="s">
        <v>1</v>
      </c>
      <c r="F91" s="336">
        <v>10.019</v>
      </c>
      <c r="G91" s="336">
        <v>9.4469999999999992</v>
      </c>
      <c r="H91" s="336">
        <v>8.8740000000000006</v>
      </c>
      <c r="I91" s="332">
        <v>0</v>
      </c>
      <c r="J91" s="332">
        <v>0</v>
      </c>
      <c r="K91" s="332">
        <v>0</v>
      </c>
      <c r="L91" s="332">
        <v>0</v>
      </c>
      <c r="M91" s="332">
        <v>0</v>
      </c>
      <c r="N91" s="58" t="s">
        <v>374</v>
      </c>
    </row>
    <row r="92" spans="1:14" ht="12.75" customHeight="1"/>
    <row r="93" spans="1:14" ht="12.75" customHeight="1"/>
    <row r="94" spans="1:14" ht="12.75" customHeight="1">
      <c r="A94" s="90" t="s">
        <v>370</v>
      </c>
    </row>
    <row r="95" spans="1:14" ht="12.75" customHeight="1">
      <c r="A95" s="35" t="s">
        <v>367</v>
      </c>
    </row>
    <row r="96" spans="1:14" ht="12.75" customHeight="1">
      <c r="A96" s="35" t="s">
        <v>407</v>
      </c>
      <c r="B96" s="35" t="s">
        <v>151</v>
      </c>
      <c r="C96" s="48" t="s">
        <v>1</v>
      </c>
      <c r="F96" s="333">
        <v>0</v>
      </c>
      <c r="G96" s="333">
        <v>0</v>
      </c>
      <c r="H96" s="333">
        <v>0</v>
      </c>
      <c r="I96" s="333">
        <v>0</v>
      </c>
      <c r="J96" s="333">
        <v>0</v>
      </c>
      <c r="K96" s="333">
        <v>0</v>
      </c>
      <c r="L96" s="333">
        <v>0</v>
      </c>
      <c r="M96" s="333">
        <v>0</v>
      </c>
      <c r="N96" s="58" t="s">
        <v>144</v>
      </c>
    </row>
    <row r="97" spans="1:14" ht="12.75" customHeight="1">
      <c r="A97" s="35" t="s">
        <v>246</v>
      </c>
      <c r="B97" s="35" t="s">
        <v>139</v>
      </c>
      <c r="C97" s="48" t="s">
        <v>1</v>
      </c>
      <c r="F97" s="334">
        <v>13.297000000000001</v>
      </c>
      <c r="G97" s="334">
        <v>33.79</v>
      </c>
      <c r="H97" s="333">
        <v>0</v>
      </c>
      <c r="I97" s="333">
        <v>0</v>
      </c>
      <c r="J97" s="333">
        <v>0</v>
      </c>
      <c r="K97" s="333">
        <v>0</v>
      </c>
      <c r="L97" s="333">
        <v>0</v>
      </c>
      <c r="M97" s="333">
        <v>0</v>
      </c>
      <c r="N97" s="58" t="s">
        <v>383</v>
      </c>
    </row>
    <row r="98" spans="1:14" ht="12.75" customHeight="1">
      <c r="A98" s="35" t="s">
        <v>247</v>
      </c>
      <c r="B98" s="35" t="s">
        <v>140</v>
      </c>
      <c r="C98" s="48" t="s">
        <v>1</v>
      </c>
      <c r="F98" s="334">
        <v>1.0999999999999999E-2</v>
      </c>
      <c r="G98" s="334">
        <v>1.319</v>
      </c>
      <c r="H98" s="333">
        <v>0</v>
      </c>
      <c r="I98" s="333">
        <v>0</v>
      </c>
      <c r="J98" s="333">
        <v>0</v>
      </c>
      <c r="K98" s="333">
        <v>0</v>
      </c>
      <c r="L98" s="333">
        <v>0</v>
      </c>
      <c r="M98" s="333">
        <v>0</v>
      </c>
      <c r="N98" s="58" t="s">
        <v>389</v>
      </c>
    </row>
    <row r="99" spans="1:14" ht="12.75" customHeight="1">
      <c r="A99" s="35" t="s">
        <v>248</v>
      </c>
      <c r="B99" s="35" t="s">
        <v>141</v>
      </c>
      <c r="C99" s="48" t="s">
        <v>1</v>
      </c>
      <c r="F99" s="335">
        <v>0</v>
      </c>
      <c r="G99" s="333">
        <v>0</v>
      </c>
      <c r="H99" s="334">
        <v>41.215000000000003</v>
      </c>
      <c r="I99" s="334">
        <v>0</v>
      </c>
      <c r="J99" s="334">
        <v>0</v>
      </c>
      <c r="K99" s="334">
        <v>0</v>
      </c>
      <c r="L99" s="334">
        <v>0</v>
      </c>
      <c r="M99" s="334">
        <v>0</v>
      </c>
      <c r="N99" s="58" t="s">
        <v>141</v>
      </c>
    </row>
    <row r="100" spans="1:14" ht="12.75" customHeight="1">
      <c r="A100" s="35" t="s">
        <v>249</v>
      </c>
      <c r="B100" s="35" t="s">
        <v>142</v>
      </c>
      <c r="C100" s="48" t="s">
        <v>1</v>
      </c>
      <c r="F100" s="333">
        <v>0</v>
      </c>
      <c r="G100" s="333">
        <v>0</v>
      </c>
      <c r="H100" s="334">
        <v>2.0609999999999999</v>
      </c>
      <c r="I100" s="334">
        <v>2.0609999999999999</v>
      </c>
      <c r="J100" s="334">
        <v>2.0609999999999999</v>
      </c>
      <c r="K100" s="334">
        <v>2.0609999999999999</v>
      </c>
      <c r="L100" s="334">
        <v>2.0609999999999999</v>
      </c>
      <c r="M100" s="334">
        <v>0</v>
      </c>
      <c r="N100" s="58" t="s">
        <v>390</v>
      </c>
    </row>
    <row r="101" spans="1:14" ht="12.75" customHeight="1">
      <c r="A101" s="35" t="s">
        <v>250</v>
      </c>
      <c r="B101" s="35" t="s">
        <v>145</v>
      </c>
      <c r="C101" s="48" t="s">
        <v>1</v>
      </c>
      <c r="F101" s="333">
        <v>0</v>
      </c>
      <c r="G101" s="333">
        <v>0</v>
      </c>
      <c r="H101" s="334">
        <v>40.186</v>
      </c>
      <c r="I101" s="334">
        <v>38.125</v>
      </c>
      <c r="J101" s="334">
        <v>36.064</v>
      </c>
      <c r="K101" s="334">
        <v>34.003</v>
      </c>
      <c r="L101" s="334">
        <v>31.942</v>
      </c>
      <c r="M101" s="334">
        <v>0</v>
      </c>
      <c r="N101" s="58" t="s">
        <v>145</v>
      </c>
    </row>
    <row r="102" spans="1:14" ht="12.75" customHeight="1"/>
    <row r="103" spans="1:14" ht="12.75" customHeight="1"/>
    <row r="104" spans="1:14" ht="12.75" customHeight="1">
      <c r="A104" s="90" t="s">
        <v>371</v>
      </c>
    </row>
    <row r="105" spans="1:14" ht="12.75" customHeight="1">
      <c r="A105" s="35" t="s">
        <v>359</v>
      </c>
    </row>
    <row r="106" spans="1:14" ht="12.75" customHeight="1">
      <c r="A106" s="35" t="s">
        <v>407</v>
      </c>
      <c r="B106" s="35" t="s">
        <v>151</v>
      </c>
      <c r="C106" s="48" t="s">
        <v>1</v>
      </c>
      <c r="F106" s="337">
        <v>0</v>
      </c>
      <c r="G106" s="337">
        <v>0</v>
      </c>
      <c r="H106" s="337">
        <v>0</v>
      </c>
      <c r="I106" s="337">
        <v>0</v>
      </c>
      <c r="J106" s="337">
        <v>0</v>
      </c>
      <c r="K106" s="337">
        <v>0</v>
      </c>
      <c r="L106" s="337">
        <v>0</v>
      </c>
      <c r="M106" s="337">
        <v>0</v>
      </c>
      <c r="N106" s="58" t="s">
        <v>144</v>
      </c>
    </row>
    <row r="107" spans="1:14" ht="12.75" customHeight="1">
      <c r="A107" s="35" t="s">
        <v>246</v>
      </c>
      <c r="B107" s="35" t="s">
        <v>139</v>
      </c>
      <c r="C107" s="48" t="s">
        <v>1</v>
      </c>
      <c r="F107" s="337">
        <v>0</v>
      </c>
      <c r="G107" s="337">
        <v>0</v>
      </c>
      <c r="H107" s="337">
        <v>0</v>
      </c>
      <c r="I107" s="337">
        <v>0</v>
      </c>
      <c r="J107" s="337">
        <v>0</v>
      </c>
      <c r="K107" s="337">
        <v>0</v>
      </c>
      <c r="L107" s="337">
        <v>0</v>
      </c>
      <c r="M107" s="337">
        <v>0</v>
      </c>
      <c r="N107" s="58" t="s">
        <v>393</v>
      </c>
    </row>
    <row r="108" spans="1:14" ht="12.75" customHeight="1">
      <c r="A108" s="35" t="s">
        <v>247</v>
      </c>
      <c r="B108" s="35" t="s">
        <v>140</v>
      </c>
      <c r="C108" s="48" t="s">
        <v>1</v>
      </c>
      <c r="F108" s="337">
        <v>0</v>
      </c>
      <c r="G108" s="337">
        <v>0</v>
      </c>
      <c r="H108" s="337">
        <v>0</v>
      </c>
      <c r="I108" s="337">
        <v>0</v>
      </c>
      <c r="J108" s="337">
        <v>0</v>
      </c>
      <c r="K108" s="337">
        <v>0</v>
      </c>
      <c r="L108" s="337">
        <v>0</v>
      </c>
      <c r="M108" s="337">
        <v>0</v>
      </c>
      <c r="N108" s="58" t="s">
        <v>394</v>
      </c>
    </row>
    <row r="109" spans="1:14" ht="12.75" customHeight="1">
      <c r="A109" s="35" t="s">
        <v>248</v>
      </c>
      <c r="B109" s="35" t="s">
        <v>141</v>
      </c>
      <c r="C109" s="48" t="s">
        <v>1</v>
      </c>
      <c r="F109" s="337">
        <v>0</v>
      </c>
      <c r="G109" s="337">
        <v>0</v>
      </c>
      <c r="H109" s="337">
        <v>0</v>
      </c>
      <c r="I109" s="337">
        <v>0</v>
      </c>
      <c r="J109" s="337">
        <v>0</v>
      </c>
      <c r="K109" s="337">
        <v>0</v>
      </c>
      <c r="L109" s="337">
        <v>0</v>
      </c>
      <c r="M109" s="337">
        <v>0</v>
      </c>
      <c r="N109" s="58" t="s">
        <v>395</v>
      </c>
    </row>
    <row r="110" spans="1:14" ht="12.75" customHeight="1">
      <c r="A110" s="35" t="s">
        <v>249</v>
      </c>
      <c r="B110" s="35" t="s">
        <v>142</v>
      </c>
      <c r="C110" s="48" t="s">
        <v>1</v>
      </c>
      <c r="F110" s="336">
        <v>3.919</v>
      </c>
      <c r="G110" s="336">
        <v>3.919</v>
      </c>
      <c r="H110" s="336">
        <v>3.919</v>
      </c>
      <c r="I110" s="337">
        <v>0</v>
      </c>
      <c r="J110" s="337">
        <v>0</v>
      </c>
      <c r="K110" s="337">
        <v>0</v>
      </c>
      <c r="L110" s="337">
        <v>0</v>
      </c>
      <c r="M110" s="337">
        <v>0</v>
      </c>
      <c r="N110" s="58" t="s">
        <v>391</v>
      </c>
    </row>
    <row r="111" spans="1:14" ht="12.75" customHeight="1">
      <c r="A111" s="35" t="s">
        <v>250</v>
      </c>
      <c r="B111" s="35" t="s">
        <v>145</v>
      </c>
      <c r="C111" s="48" t="s">
        <v>1</v>
      </c>
      <c r="F111" s="336">
        <v>68.564999999999998</v>
      </c>
      <c r="G111" s="336">
        <v>64.646000000000001</v>
      </c>
      <c r="H111" s="336">
        <v>60.728999999999999</v>
      </c>
      <c r="I111" s="337">
        <v>0</v>
      </c>
      <c r="J111" s="337">
        <v>0</v>
      </c>
      <c r="K111" s="337">
        <v>0</v>
      </c>
      <c r="L111" s="337">
        <v>0</v>
      </c>
      <c r="M111" s="337">
        <v>0</v>
      </c>
      <c r="N111" s="58" t="s">
        <v>375</v>
      </c>
    </row>
    <row r="112" spans="1:14" ht="12.75" customHeight="1"/>
    <row r="113" spans="1:14" ht="12.75" customHeight="1">
      <c r="C113" s="35"/>
      <c r="G113" s="59"/>
      <c r="H113" s="59"/>
      <c r="I113" s="59"/>
      <c r="J113" s="59"/>
      <c r="K113" s="59"/>
      <c r="L113" s="59"/>
      <c r="M113" s="59"/>
      <c r="N113" s="58"/>
    </row>
    <row r="114" spans="1:14" ht="12.75" customHeight="1">
      <c r="A114" s="90" t="s">
        <v>372</v>
      </c>
    </row>
    <row r="115" spans="1:14" ht="12.75" customHeight="1">
      <c r="A115" s="35" t="s">
        <v>360</v>
      </c>
    </row>
    <row r="116" spans="1:14" ht="12.75" customHeight="1">
      <c r="A116" s="35" t="s">
        <v>407</v>
      </c>
      <c r="B116" s="35" t="s">
        <v>151</v>
      </c>
      <c r="C116" s="48" t="s">
        <v>1</v>
      </c>
      <c r="F116" s="338">
        <v>0</v>
      </c>
      <c r="G116" s="338">
        <v>0</v>
      </c>
      <c r="H116" s="338">
        <v>0</v>
      </c>
      <c r="I116" s="338">
        <v>0</v>
      </c>
      <c r="J116" s="338">
        <v>0</v>
      </c>
      <c r="K116" s="338">
        <v>0</v>
      </c>
      <c r="L116" s="338">
        <v>0</v>
      </c>
      <c r="M116" s="338">
        <v>0</v>
      </c>
      <c r="N116" s="58" t="s">
        <v>144</v>
      </c>
    </row>
    <row r="117" spans="1:14" ht="12.75" customHeight="1">
      <c r="A117" s="35" t="s">
        <v>246</v>
      </c>
      <c r="B117" s="35" t="s">
        <v>139</v>
      </c>
      <c r="C117" s="48" t="s">
        <v>1</v>
      </c>
      <c r="F117" s="338">
        <v>0</v>
      </c>
      <c r="G117" s="338">
        <v>0</v>
      </c>
      <c r="H117" s="338">
        <v>0</v>
      </c>
      <c r="I117" s="338">
        <v>0</v>
      </c>
      <c r="J117" s="338">
        <v>0</v>
      </c>
      <c r="K117" s="338">
        <v>0</v>
      </c>
      <c r="L117" s="338">
        <v>0</v>
      </c>
      <c r="M117" s="338">
        <v>0</v>
      </c>
      <c r="N117" s="58" t="s">
        <v>139</v>
      </c>
    </row>
    <row r="118" spans="1:14" ht="12.75" customHeight="1">
      <c r="A118" s="35" t="s">
        <v>247</v>
      </c>
      <c r="B118" s="35" t="s">
        <v>140</v>
      </c>
      <c r="C118" s="48" t="s">
        <v>1</v>
      </c>
      <c r="F118" s="338">
        <v>0</v>
      </c>
      <c r="G118" s="338">
        <v>0</v>
      </c>
      <c r="H118" s="338">
        <v>0</v>
      </c>
      <c r="I118" s="338">
        <v>0</v>
      </c>
      <c r="J118" s="338">
        <v>0</v>
      </c>
      <c r="K118" s="338">
        <v>0</v>
      </c>
      <c r="L118" s="338">
        <v>0</v>
      </c>
      <c r="M118" s="338">
        <v>0</v>
      </c>
      <c r="N118" s="58" t="s">
        <v>140</v>
      </c>
    </row>
    <row r="119" spans="1:14" ht="12.75" customHeight="1">
      <c r="A119" s="35" t="s">
        <v>248</v>
      </c>
      <c r="B119" s="35" t="s">
        <v>141</v>
      </c>
      <c r="C119" s="48" t="s">
        <v>1</v>
      </c>
      <c r="F119" s="338">
        <v>0</v>
      </c>
      <c r="G119" s="338">
        <v>0</v>
      </c>
      <c r="H119" s="338">
        <v>0</v>
      </c>
      <c r="I119" s="338">
        <v>0</v>
      </c>
      <c r="J119" s="338">
        <v>0</v>
      </c>
      <c r="K119" s="338">
        <v>0</v>
      </c>
      <c r="L119" s="338">
        <v>0</v>
      </c>
      <c r="M119" s="338">
        <v>0</v>
      </c>
      <c r="N119" s="58" t="s">
        <v>141</v>
      </c>
    </row>
    <row r="120" spans="1:14" ht="12.75" customHeight="1">
      <c r="A120" s="35" t="s">
        <v>249</v>
      </c>
      <c r="B120" s="35" t="s">
        <v>142</v>
      </c>
      <c r="C120" s="48" t="s">
        <v>1</v>
      </c>
      <c r="F120" s="336">
        <v>0.96827999999999981</v>
      </c>
      <c r="G120" s="336">
        <v>0.96827999999999981</v>
      </c>
      <c r="H120" s="338">
        <v>0</v>
      </c>
      <c r="I120" s="338">
        <v>0</v>
      </c>
      <c r="J120" s="338">
        <v>0</v>
      </c>
      <c r="K120" s="338">
        <v>0</v>
      </c>
      <c r="L120" s="338">
        <v>0</v>
      </c>
      <c r="M120" s="338">
        <v>0</v>
      </c>
      <c r="N120" s="58" t="s">
        <v>392</v>
      </c>
    </row>
    <row r="121" spans="1:14" ht="12.75" customHeight="1">
      <c r="A121" s="35" t="s">
        <v>250</v>
      </c>
      <c r="B121" s="35" t="s">
        <v>145</v>
      </c>
      <c r="C121" s="48" t="s">
        <v>1</v>
      </c>
      <c r="F121" s="336">
        <v>15.977</v>
      </c>
      <c r="G121" s="336">
        <v>15.007999999999999</v>
      </c>
      <c r="H121" s="338">
        <v>0</v>
      </c>
      <c r="I121" s="338">
        <v>0</v>
      </c>
      <c r="J121" s="338">
        <v>0</v>
      </c>
      <c r="K121" s="338">
        <v>0</v>
      </c>
      <c r="L121" s="338">
        <v>0</v>
      </c>
      <c r="M121" s="338">
        <v>0</v>
      </c>
      <c r="N121" s="58" t="s">
        <v>376</v>
      </c>
    </row>
    <row r="122" spans="1:14" ht="12.75" customHeight="1"/>
    <row r="123" spans="1:14" ht="12.75" customHeight="1"/>
    <row r="124" spans="1:14" ht="12.75" customHeight="1"/>
    <row r="125" spans="1:14" ht="12.75" customHeight="1"/>
    <row r="126" spans="1:14" ht="12.75" customHeight="1"/>
    <row r="127" spans="1:14" ht="12.75" customHeight="1"/>
    <row r="128" spans="1:14" ht="12.75" customHeight="1"/>
    <row r="129" spans="3:5" ht="12.75" customHeight="1"/>
    <row r="130" spans="3:5" ht="12.75" customHeight="1"/>
    <row r="131" spans="3:5" ht="12.75" customHeight="1">
      <c r="C131" s="35"/>
      <c r="D131" s="40"/>
      <c r="E131" s="40"/>
    </row>
    <row r="132" spans="3:5" ht="12.75" customHeight="1">
      <c r="C132" s="35"/>
      <c r="D132" s="40"/>
      <c r="E132" s="40"/>
    </row>
    <row r="133" spans="3:5" ht="12.75" customHeight="1">
      <c r="C133" s="35"/>
      <c r="D133" s="40"/>
      <c r="E133" s="40"/>
    </row>
    <row r="134" spans="3:5" ht="12.75" customHeight="1">
      <c r="C134" s="35"/>
      <c r="D134" s="40"/>
      <c r="E134" s="40"/>
    </row>
    <row r="135" spans="3:5" ht="12.75" customHeight="1">
      <c r="C135" s="35"/>
      <c r="D135" s="40"/>
      <c r="E135" s="40"/>
    </row>
    <row r="136" spans="3:5" ht="12.75" customHeight="1">
      <c r="C136" s="35"/>
      <c r="D136" s="40"/>
      <c r="E136" s="40"/>
    </row>
    <row r="137" spans="3:5" ht="12.75" customHeight="1">
      <c r="C137" s="35"/>
      <c r="D137" s="40"/>
      <c r="E137" s="40"/>
    </row>
    <row r="138" spans="3:5" ht="12.75" customHeight="1">
      <c r="C138" s="35"/>
      <c r="D138" s="40"/>
      <c r="E138" s="40"/>
    </row>
    <row r="139" spans="3:5" ht="12.75" customHeight="1">
      <c r="C139" s="35"/>
      <c r="D139" s="40"/>
      <c r="E139" s="40"/>
    </row>
    <row r="140" spans="3:5" ht="12.75" customHeight="1">
      <c r="C140" s="35"/>
      <c r="D140" s="40"/>
      <c r="E140" s="40"/>
    </row>
    <row r="141" spans="3:5" ht="12.75" customHeight="1">
      <c r="C141" s="35"/>
      <c r="D141" s="40"/>
      <c r="E141" s="40"/>
    </row>
    <row r="142" spans="3:5" ht="12.75" customHeight="1">
      <c r="C142" s="35"/>
      <c r="D142" s="40"/>
      <c r="E142" s="40"/>
    </row>
    <row r="143" spans="3:5" ht="12.75" customHeight="1">
      <c r="C143" s="35"/>
      <c r="D143" s="40"/>
      <c r="E143" s="40"/>
    </row>
    <row r="144" spans="3:5" ht="12.75" customHeight="1">
      <c r="C144" s="35"/>
      <c r="D144" s="40"/>
      <c r="E144" s="40"/>
    </row>
    <row r="145" spans="3:5" ht="12.75" customHeight="1">
      <c r="C145" s="35"/>
      <c r="D145" s="40"/>
      <c r="E145" s="40"/>
    </row>
    <row r="146" spans="3:5" ht="12.75" customHeight="1">
      <c r="C146" s="35"/>
      <c r="D146" s="40"/>
      <c r="E146" s="40"/>
    </row>
    <row r="147" spans="3:5" ht="12.75" customHeight="1">
      <c r="C147" s="35"/>
      <c r="D147" s="40"/>
      <c r="E147" s="40"/>
    </row>
    <row r="148" spans="3:5" ht="12.75" customHeight="1">
      <c r="C148" s="35"/>
      <c r="D148" s="40"/>
      <c r="E148" s="40"/>
    </row>
    <row r="149" spans="3:5" ht="12.75" customHeight="1">
      <c r="C149" s="35"/>
      <c r="D149" s="40"/>
      <c r="E149" s="40"/>
    </row>
    <row r="150" spans="3:5" ht="12.75" customHeight="1">
      <c r="C150" s="35"/>
      <c r="D150" s="40"/>
      <c r="E150" s="40"/>
    </row>
    <row r="151" spans="3:5" ht="12.75" customHeight="1">
      <c r="C151" s="35"/>
      <c r="D151" s="40"/>
      <c r="E151" s="40"/>
    </row>
    <row r="152" spans="3:5" ht="12.75" customHeight="1">
      <c r="C152" s="35"/>
      <c r="D152" s="40"/>
      <c r="E152" s="40"/>
    </row>
    <row r="153" spans="3:5" ht="12.75" customHeight="1">
      <c r="C153" s="35"/>
      <c r="D153" s="40"/>
      <c r="E153" s="40"/>
    </row>
    <row r="154" spans="3:5" ht="12.75" customHeight="1">
      <c r="C154" s="35"/>
      <c r="D154" s="40"/>
      <c r="E154" s="40"/>
    </row>
    <row r="155" spans="3:5" ht="12.75" customHeight="1">
      <c r="C155" s="35"/>
      <c r="D155" s="40"/>
      <c r="E155" s="40"/>
    </row>
    <row r="156" spans="3:5" ht="12.75" customHeight="1">
      <c r="C156" s="35"/>
      <c r="D156" s="40"/>
      <c r="E156" s="40"/>
    </row>
    <row r="157" spans="3:5" ht="12.75" customHeight="1">
      <c r="C157" s="35"/>
      <c r="D157" s="40"/>
      <c r="E157" s="40"/>
    </row>
    <row r="158" spans="3:5" ht="12.75" customHeight="1">
      <c r="C158" s="35"/>
      <c r="D158" s="40"/>
      <c r="E158" s="40"/>
    </row>
    <row r="159" spans="3:5" ht="12.75" customHeight="1">
      <c r="C159" s="35"/>
      <c r="D159" s="40"/>
      <c r="E159" s="40"/>
    </row>
    <row r="160" spans="3:5" ht="12.75" customHeight="1">
      <c r="C160" s="35"/>
      <c r="D160" s="40"/>
      <c r="E160" s="40"/>
    </row>
    <row r="161" spans="3:5" ht="12.75" customHeight="1">
      <c r="C161" s="35"/>
      <c r="D161" s="40"/>
      <c r="E161" s="40"/>
    </row>
    <row r="162" spans="3:5" ht="12.75" customHeight="1">
      <c r="C162" s="35"/>
      <c r="D162" s="40"/>
      <c r="E162" s="40"/>
    </row>
    <row r="163" spans="3:5" ht="12.75" customHeight="1">
      <c r="C163" s="35"/>
      <c r="D163" s="40"/>
      <c r="E163" s="40"/>
    </row>
    <row r="164" spans="3:5" ht="12.75" customHeight="1">
      <c r="C164" s="35"/>
      <c r="D164" s="40"/>
      <c r="E164" s="40"/>
    </row>
    <row r="165" spans="3:5" ht="12.75" customHeight="1">
      <c r="C165" s="35"/>
      <c r="D165" s="40"/>
      <c r="E165" s="40"/>
    </row>
    <row r="166" spans="3:5" ht="12.75" customHeight="1">
      <c r="C166" s="35"/>
      <c r="D166" s="40"/>
      <c r="E166" s="40"/>
    </row>
    <row r="167" spans="3:5" ht="12.75" customHeight="1">
      <c r="C167" s="35"/>
      <c r="D167" s="40"/>
      <c r="E167" s="40"/>
    </row>
    <row r="168" spans="3:5" ht="12.75" customHeight="1">
      <c r="C168" s="35"/>
      <c r="D168" s="40"/>
      <c r="E168" s="40"/>
    </row>
    <row r="169" spans="3:5" ht="12.75" customHeight="1">
      <c r="C169" s="35"/>
      <c r="D169" s="40"/>
      <c r="E169" s="40"/>
    </row>
    <row r="170" spans="3:5" ht="12.75" customHeight="1">
      <c r="C170" s="35"/>
      <c r="D170" s="40"/>
      <c r="E170" s="40"/>
    </row>
    <row r="171" spans="3:5" ht="12.75" customHeight="1">
      <c r="C171" s="35"/>
      <c r="D171" s="40"/>
      <c r="E171" s="40"/>
    </row>
    <row r="172" spans="3:5" ht="12.75" customHeight="1">
      <c r="C172" s="35"/>
      <c r="D172" s="40"/>
      <c r="E172" s="40"/>
    </row>
    <row r="173" spans="3:5" ht="12.75" customHeight="1">
      <c r="C173" s="35"/>
      <c r="D173" s="40"/>
      <c r="E173" s="40"/>
    </row>
    <row r="174" spans="3:5" ht="12.75" customHeight="1">
      <c r="C174" s="35"/>
      <c r="D174" s="40"/>
      <c r="E174" s="40"/>
    </row>
    <row r="175" spans="3:5" ht="12.75" customHeight="1">
      <c r="C175" s="35"/>
      <c r="D175" s="40"/>
      <c r="E175" s="40"/>
    </row>
    <row r="176" spans="3:5" ht="12.75" customHeight="1">
      <c r="C176" s="35"/>
      <c r="D176" s="40"/>
      <c r="E176" s="40"/>
    </row>
    <row r="177" spans="3:5" ht="12.75" customHeight="1">
      <c r="C177" s="35"/>
      <c r="D177" s="40"/>
      <c r="E177" s="40"/>
    </row>
    <row r="178" spans="3:5" ht="12.75" customHeight="1">
      <c r="C178" s="35"/>
      <c r="D178" s="40"/>
      <c r="E178" s="40"/>
    </row>
    <row r="179" spans="3:5" ht="12.75" customHeight="1">
      <c r="C179" s="35"/>
      <c r="D179" s="40"/>
      <c r="E179" s="40"/>
    </row>
    <row r="180" spans="3:5" ht="12.75" customHeight="1">
      <c r="C180" s="35"/>
      <c r="D180" s="40"/>
      <c r="E180" s="40"/>
    </row>
    <row r="181" spans="3:5" ht="12.75" customHeight="1">
      <c r="C181" s="35"/>
      <c r="D181" s="40"/>
      <c r="E181" s="40"/>
    </row>
    <row r="182" spans="3:5" ht="12.75" customHeight="1">
      <c r="C182" s="35"/>
      <c r="D182" s="40"/>
      <c r="E182" s="40"/>
    </row>
    <row r="183" spans="3:5" ht="12.75" customHeight="1">
      <c r="C183" s="35"/>
      <c r="D183" s="40"/>
      <c r="E183" s="40"/>
    </row>
    <row r="184" spans="3:5" ht="12.75" customHeight="1">
      <c r="C184" s="35"/>
      <c r="D184" s="40"/>
      <c r="E184" s="40"/>
    </row>
    <row r="185" spans="3:5" ht="12.75" customHeight="1">
      <c r="C185" s="35"/>
      <c r="D185" s="40"/>
      <c r="E185" s="40"/>
    </row>
    <row r="186" spans="3:5" ht="12.75" customHeight="1">
      <c r="C186" s="35"/>
      <c r="D186" s="40"/>
      <c r="E186" s="40"/>
    </row>
    <row r="187" spans="3:5" ht="12.75" customHeight="1">
      <c r="C187" s="35"/>
      <c r="D187" s="40"/>
      <c r="E187" s="40"/>
    </row>
    <row r="188" spans="3:5" ht="12.75" customHeight="1">
      <c r="C188" s="35"/>
      <c r="D188" s="40"/>
      <c r="E188" s="40"/>
    </row>
    <row r="189" spans="3:5" ht="12.75" customHeight="1">
      <c r="C189" s="35"/>
      <c r="D189" s="40"/>
      <c r="E189" s="40"/>
    </row>
    <row r="190" spans="3:5" ht="12.75" customHeight="1">
      <c r="C190" s="35"/>
      <c r="D190" s="40"/>
      <c r="E190" s="40"/>
    </row>
    <row r="191" spans="3:5" ht="12.75" customHeight="1">
      <c r="C191" s="35"/>
      <c r="D191" s="40"/>
      <c r="E191" s="40"/>
    </row>
    <row r="192" spans="3:5" ht="12.75" customHeight="1">
      <c r="C192" s="35"/>
      <c r="D192" s="40"/>
      <c r="E192" s="40"/>
    </row>
    <row r="193" spans="3:5" ht="12.75" customHeight="1">
      <c r="C193" s="35"/>
      <c r="D193" s="40"/>
      <c r="E193" s="40"/>
    </row>
    <row r="194" spans="3:5" ht="12.75" customHeight="1">
      <c r="C194" s="35"/>
      <c r="D194" s="40"/>
      <c r="E194" s="40"/>
    </row>
    <row r="195" spans="3:5" ht="12.75" customHeight="1">
      <c r="C195" s="35"/>
      <c r="D195" s="40"/>
      <c r="E195" s="40"/>
    </row>
    <row r="196" spans="3:5" ht="12.75" customHeight="1">
      <c r="C196" s="35"/>
      <c r="D196" s="40"/>
      <c r="E196" s="40"/>
    </row>
    <row r="197" spans="3:5" ht="12.75" customHeight="1">
      <c r="C197" s="35"/>
      <c r="D197" s="40"/>
      <c r="E197" s="40"/>
    </row>
    <row r="198" spans="3:5" ht="12.75" customHeight="1">
      <c r="C198" s="35"/>
      <c r="D198" s="40"/>
      <c r="E198" s="40"/>
    </row>
    <row r="199" spans="3:5" ht="12.75" customHeight="1">
      <c r="C199" s="35"/>
      <c r="D199" s="40"/>
      <c r="E199" s="40"/>
    </row>
    <row r="200" spans="3:5" ht="12.75" customHeight="1">
      <c r="C200" s="35"/>
      <c r="D200" s="40"/>
      <c r="E200" s="40"/>
    </row>
    <row r="201" spans="3:5" ht="12.75" customHeight="1">
      <c r="C201" s="35"/>
      <c r="D201" s="40"/>
      <c r="E201" s="40"/>
    </row>
    <row r="202" spans="3:5" ht="12.75" customHeight="1">
      <c r="C202" s="35"/>
      <c r="D202" s="40"/>
      <c r="E202" s="40"/>
    </row>
    <row r="203" spans="3:5" ht="12.75" customHeight="1">
      <c r="C203" s="35"/>
      <c r="D203" s="40"/>
      <c r="E203" s="40"/>
    </row>
    <row r="204" spans="3:5" ht="12.75" customHeight="1">
      <c r="C204" s="35"/>
      <c r="D204" s="40"/>
      <c r="E204" s="40"/>
    </row>
    <row r="205" spans="3:5" ht="12.75" customHeight="1">
      <c r="C205" s="35"/>
      <c r="D205" s="40"/>
      <c r="E205" s="40"/>
    </row>
    <row r="206" spans="3:5" ht="12.75" customHeight="1">
      <c r="C206" s="35"/>
      <c r="D206" s="40"/>
      <c r="E206" s="40"/>
    </row>
    <row r="207" spans="3:5" ht="12.75" customHeight="1">
      <c r="C207" s="35"/>
      <c r="D207" s="40"/>
      <c r="E207" s="40"/>
    </row>
    <row r="208" spans="3:5" ht="12.75" customHeight="1">
      <c r="C208" s="35"/>
      <c r="D208" s="40"/>
      <c r="E208" s="40"/>
    </row>
    <row r="209" spans="3:5" ht="12.75" customHeight="1">
      <c r="C209" s="35"/>
      <c r="D209" s="40"/>
      <c r="E209" s="40"/>
    </row>
    <row r="210" spans="3:5" ht="12.75" customHeight="1">
      <c r="C210" s="35"/>
      <c r="D210" s="40"/>
      <c r="E210" s="40"/>
    </row>
    <row r="211" spans="3:5" ht="12.75" customHeight="1">
      <c r="C211" s="35"/>
      <c r="D211" s="40"/>
      <c r="E211" s="40"/>
    </row>
    <row r="212" spans="3:5" ht="12.75" customHeight="1">
      <c r="C212" s="35"/>
      <c r="D212" s="40"/>
      <c r="E212" s="40"/>
    </row>
    <row r="213" spans="3:5" ht="12.75" customHeight="1">
      <c r="C213" s="35"/>
      <c r="D213" s="40"/>
      <c r="E213" s="40"/>
    </row>
    <row r="214" spans="3:5" ht="12.75" customHeight="1">
      <c r="C214" s="35"/>
      <c r="D214" s="40"/>
      <c r="E214" s="40"/>
    </row>
    <row r="215" spans="3:5" ht="12.75" customHeight="1">
      <c r="C215" s="35"/>
      <c r="D215" s="40"/>
      <c r="E215" s="40"/>
    </row>
    <row r="216" spans="3:5" ht="12.75" customHeight="1">
      <c r="C216" s="35"/>
      <c r="D216" s="40"/>
      <c r="E216" s="40"/>
    </row>
    <row r="217" spans="3:5" ht="12.75" customHeight="1">
      <c r="C217" s="35"/>
      <c r="D217" s="40"/>
      <c r="E217" s="40"/>
    </row>
    <row r="218" spans="3:5" ht="12.75" customHeight="1">
      <c r="C218" s="35"/>
      <c r="D218" s="40"/>
      <c r="E218" s="40"/>
    </row>
    <row r="219" spans="3:5" ht="12.75" customHeight="1">
      <c r="C219" s="35"/>
      <c r="D219" s="40"/>
      <c r="E219" s="40"/>
    </row>
    <row r="220" spans="3:5" ht="12.75" customHeight="1">
      <c r="C220" s="35"/>
      <c r="D220" s="40"/>
      <c r="E220" s="40"/>
    </row>
    <row r="221" spans="3:5" ht="12.75" customHeight="1">
      <c r="C221" s="35"/>
      <c r="D221" s="40"/>
      <c r="E221" s="40"/>
    </row>
    <row r="222" spans="3:5" ht="12.75" customHeight="1">
      <c r="C222" s="35"/>
      <c r="D222" s="40"/>
      <c r="E222" s="40"/>
    </row>
    <row r="223" spans="3:5" ht="12.75" customHeight="1">
      <c r="C223" s="35"/>
      <c r="D223" s="40"/>
      <c r="E223" s="40"/>
    </row>
    <row r="224" spans="3:5" ht="12.75" customHeight="1">
      <c r="C224" s="35"/>
      <c r="D224" s="40"/>
      <c r="E224" s="40"/>
    </row>
    <row r="225" spans="3:5" ht="12.75" customHeight="1">
      <c r="C225" s="35"/>
      <c r="D225" s="40"/>
      <c r="E225" s="40"/>
    </row>
    <row r="226" spans="3:5" ht="12.75" customHeight="1">
      <c r="C226" s="35"/>
      <c r="D226" s="40"/>
      <c r="E226" s="40"/>
    </row>
    <row r="227" spans="3:5" ht="12.75" customHeight="1">
      <c r="C227" s="35"/>
      <c r="D227" s="40"/>
      <c r="E227" s="40"/>
    </row>
    <row r="228" spans="3:5" ht="12.75" customHeight="1">
      <c r="C228" s="35"/>
      <c r="D228" s="40"/>
      <c r="E228" s="40"/>
    </row>
    <row r="229" spans="3:5" ht="12.75" customHeight="1">
      <c r="C229" s="35"/>
      <c r="D229" s="40"/>
      <c r="E229" s="40"/>
    </row>
    <row r="230" spans="3:5" ht="12.75" customHeight="1">
      <c r="C230" s="35"/>
      <c r="D230" s="40"/>
      <c r="E230" s="40"/>
    </row>
    <row r="231" spans="3:5" ht="12.75" customHeight="1">
      <c r="C231" s="35"/>
      <c r="D231" s="40"/>
      <c r="E231" s="40"/>
    </row>
    <row r="232" spans="3:5" ht="12.75" customHeight="1">
      <c r="C232" s="35"/>
      <c r="D232" s="40"/>
      <c r="E232" s="40"/>
    </row>
    <row r="233" spans="3:5" ht="12.75" customHeight="1">
      <c r="C233" s="35"/>
      <c r="D233" s="40"/>
      <c r="E233" s="40"/>
    </row>
    <row r="234" spans="3:5" ht="12.75" customHeight="1">
      <c r="C234" s="35"/>
      <c r="D234" s="40"/>
      <c r="E234" s="40"/>
    </row>
    <row r="235" spans="3:5" ht="12.75" customHeight="1">
      <c r="C235" s="35"/>
      <c r="D235" s="40"/>
      <c r="E235" s="40"/>
    </row>
    <row r="236" spans="3:5" ht="12.75" customHeight="1">
      <c r="C236" s="35"/>
      <c r="D236" s="40"/>
      <c r="E236" s="40"/>
    </row>
    <row r="237" spans="3:5" ht="12.75" customHeight="1">
      <c r="C237" s="35"/>
      <c r="D237" s="40"/>
      <c r="E237" s="40"/>
    </row>
    <row r="238" spans="3:5" ht="12.75" customHeight="1">
      <c r="C238" s="35"/>
      <c r="D238" s="40"/>
      <c r="E238" s="40"/>
    </row>
    <row r="239" spans="3:5" ht="12.75" customHeight="1">
      <c r="C239" s="35"/>
      <c r="D239" s="40"/>
      <c r="E239" s="40"/>
    </row>
    <row r="240" spans="3:5" ht="12.75" customHeight="1">
      <c r="C240" s="35"/>
      <c r="D240" s="40"/>
      <c r="E240" s="40"/>
    </row>
    <row r="241" spans="3:5" ht="12.75" customHeight="1">
      <c r="C241" s="35"/>
      <c r="D241" s="40"/>
      <c r="E241" s="40"/>
    </row>
    <row r="242" spans="3:5" ht="12.75" customHeight="1">
      <c r="C242" s="35"/>
      <c r="D242" s="40"/>
      <c r="E242" s="40"/>
    </row>
    <row r="243" spans="3:5" ht="12.75" customHeight="1">
      <c r="C243" s="35"/>
      <c r="D243" s="40"/>
      <c r="E243" s="40"/>
    </row>
    <row r="244" spans="3:5" ht="12.75" customHeight="1">
      <c r="C244" s="35"/>
      <c r="D244" s="40"/>
      <c r="E244" s="40"/>
    </row>
    <row r="245" spans="3:5" ht="12.75" customHeight="1">
      <c r="C245" s="35"/>
      <c r="D245" s="40"/>
      <c r="E245" s="40"/>
    </row>
    <row r="246" spans="3:5" ht="12.75" customHeight="1">
      <c r="C246" s="35"/>
      <c r="D246" s="40"/>
      <c r="E246" s="40"/>
    </row>
    <row r="247" spans="3:5" ht="12.75" customHeight="1">
      <c r="C247" s="35"/>
      <c r="D247" s="40"/>
      <c r="E247" s="40"/>
    </row>
    <row r="248" spans="3:5" ht="12.75" customHeight="1">
      <c r="C248" s="35"/>
      <c r="D248" s="40"/>
      <c r="E248" s="40"/>
    </row>
    <row r="249" spans="3:5" ht="12.75" customHeight="1">
      <c r="C249" s="35"/>
      <c r="D249" s="40"/>
      <c r="E249" s="40"/>
    </row>
    <row r="250" spans="3:5" ht="12.75" customHeight="1">
      <c r="C250" s="35"/>
      <c r="D250" s="40"/>
      <c r="E250" s="40"/>
    </row>
    <row r="251" spans="3:5" ht="12.75" customHeight="1">
      <c r="C251" s="35"/>
      <c r="D251" s="40"/>
      <c r="E251" s="40"/>
    </row>
    <row r="252" spans="3:5" ht="12.75" customHeight="1">
      <c r="C252" s="35"/>
      <c r="D252" s="40"/>
      <c r="E252" s="40"/>
    </row>
    <row r="253" spans="3:5" ht="12.75" customHeight="1">
      <c r="C253" s="35"/>
      <c r="D253" s="40"/>
      <c r="E253" s="40"/>
    </row>
    <row r="254" spans="3:5" ht="12.75" customHeight="1">
      <c r="C254" s="35"/>
      <c r="D254" s="40"/>
      <c r="E254" s="40"/>
    </row>
    <row r="255" spans="3:5" ht="12.75" customHeight="1">
      <c r="C255" s="35"/>
      <c r="D255" s="40"/>
      <c r="E255" s="40"/>
    </row>
    <row r="256" spans="3:5" ht="12.75" customHeight="1">
      <c r="C256" s="35"/>
      <c r="D256" s="40"/>
      <c r="E256" s="40"/>
    </row>
    <row r="257" spans="3:5" ht="12.75" customHeight="1">
      <c r="C257" s="35"/>
      <c r="D257" s="40"/>
      <c r="E257" s="40"/>
    </row>
    <row r="258" spans="3:5" ht="12.75" customHeight="1">
      <c r="C258" s="35"/>
      <c r="D258" s="40"/>
      <c r="E258" s="40"/>
    </row>
    <row r="259" spans="3:5" ht="12.75" customHeight="1">
      <c r="C259" s="35"/>
      <c r="D259" s="40"/>
      <c r="E259" s="40"/>
    </row>
    <row r="260" spans="3:5" ht="12.75" customHeight="1">
      <c r="C260" s="35"/>
      <c r="D260" s="40"/>
      <c r="E260" s="40"/>
    </row>
    <row r="261" spans="3:5" ht="12.75" customHeight="1">
      <c r="C261" s="35"/>
      <c r="D261" s="40"/>
      <c r="E261" s="40"/>
    </row>
    <row r="262" spans="3:5" ht="12.75" customHeight="1">
      <c r="C262" s="35"/>
      <c r="D262" s="40"/>
      <c r="E262" s="40"/>
    </row>
    <row r="263" spans="3:5" ht="12.75" customHeight="1">
      <c r="C263" s="35"/>
      <c r="D263" s="40"/>
      <c r="E263" s="40"/>
    </row>
    <row r="264" spans="3:5" ht="12.75" customHeight="1">
      <c r="C264" s="35"/>
      <c r="D264" s="40"/>
      <c r="E264" s="40"/>
    </row>
    <row r="265" spans="3:5" ht="12.75" customHeight="1">
      <c r="C265" s="35"/>
      <c r="D265" s="40"/>
      <c r="E265" s="40"/>
    </row>
    <row r="266" spans="3:5" ht="12.75" customHeight="1">
      <c r="C266" s="35"/>
      <c r="D266" s="40"/>
      <c r="E266" s="40"/>
    </row>
    <row r="267" spans="3:5" ht="12.75" customHeight="1">
      <c r="C267" s="35"/>
      <c r="D267" s="40"/>
      <c r="E267" s="40"/>
    </row>
    <row r="268" spans="3:5" ht="12.75" customHeight="1">
      <c r="C268" s="35"/>
      <c r="D268" s="40"/>
      <c r="E268" s="40"/>
    </row>
    <row r="269" spans="3:5" ht="12.75" customHeight="1">
      <c r="C269" s="35"/>
      <c r="D269" s="40"/>
      <c r="E269" s="40"/>
    </row>
    <row r="270" spans="3:5" ht="12.75" customHeight="1">
      <c r="C270" s="35"/>
      <c r="D270" s="40"/>
      <c r="E270" s="40"/>
    </row>
    <row r="271" spans="3:5" ht="12.75" customHeight="1">
      <c r="C271" s="35"/>
      <c r="D271" s="40"/>
      <c r="E271" s="40"/>
    </row>
    <row r="272" spans="3:5" ht="12.75" customHeight="1">
      <c r="C272" s="35"/>
      <c r="D272" s="40"/>
      <c r="E272" s="40"/>
    </row>
    <row r="273" spans="3:5" ht="12.75" customHeight="1">
      <c r="C273" s="35"/>
      <c r="D273" s="40"/>
      <c r="E273" s="40"/>
    </row>
    <row r="274" spans="3:5" ht="12.75" customHeight="1">
      <c r="C274" s="35"/>
      <c r="D274" s="40"/>
      <c r="E274" s="40"/>
    </row>
    <row r="275" spans="3:5" ht="12.75" customHeight="1">
      <c r="C275" s="35"/>
      <c r="D275" s="40"/>
      <c r="E275" s="40"/>
    </row>
    <row r="276" spans="3:5" ht="12.75" customHeight="1">
      <c r="C276" s="35"/>
      <c r="D276" s="40"/>
      <c r="E276" s="40"/>
    </row>
    <row r="277" spans="3:5" ht="12.75" customHeight="1">
      <c r="C277" s="35"/>
      <c r="D277" s="40"/>
      <c r="E277" s="40"/>
    </row>
    <row r="278" spans="3:5" ht="12.75" customHeight="1">
      <c r="C278" s="35"/>
      <c r="D278" s="40"/>
      <c r="E278" s="40"/>
    </row>
    <row r="279" spans="3:5" ht="12.75" customHeight="1">
      <c r="C279" s="35"/>
      <c r="D279" s="40"/>
      <c r="E279" s="40"/>
    </row>
    <row r="280" spans="3:5" ht="12.75" customHeight="1">
      <c r="C280" s="35"/>
      <c r="D280" s="40"/>
      <c r="E280" s="40"/>
    </row>
    <row r="281" spans="3:5" ht="12.75" customHeight="1">
      <c r="C281" s="35"/>
      <c r="D281" s="40"/>
      <c r="E281" s="40"/>
    </row>
    <row r="282" spans="3:5" ht="12.75" customHeight="1">
      <c r="C282" s="35"/>
      <c r="D282" s="40"/>
      <c r="E282" s="40"/>
    </row>
    <row r="283" spans="3:5" ht="12.75" customHeight="1">
      <c r="C283" s="35"/>
      <c r="D283" s="40"/>
      <c r="E283" s="40"/>
    </row>
    <row r="284" spans="3:5" ht="12.75" customHeight="1">
      <c r="C284" s="35"/>
      <c r="D284" s="40"/>
      <c r="E284" s="40"/>
    </row>
    <row r="285" spans="3:5" ht="12.75" customHeight="1">
      <c r="C285" s="35"/>
      <c r="D285" s="40"/>
      <c r="E285" s="40"/>
    </row>
    <row r="286" spans="3:5" ht="12.75" customHeight="1">
      <c r="C286" s="35"/>
      <c r="D286" s="40"/>
      <c r="E286" s="40"/>
    </row>
    <row r="287" spans="3:5" ht="12.75" customHeight="1">
      <c r="C287" s="35"/>
      <c r="D287" s="40"/>
      <c r="E287" s="40"/>
    </row>
    <row r="288" spans="3:5" ht="12.75" customHeight="1">
      <c r="C288" s="35"/>
      <c r="D288" s="40"/>
      <c r="E288" s="40"/>
    </row>
    <row r="289" spans="3:5" ht="12.75" customHeight="1">
      <c r="C289" s="35"/>
      <c r="D289" s="40"/>
      <c r="E289" s="40"/>
    </row>
    <row r="290" spans="3:5" ht="12.75" customHeight="1">
      <c r="C290" s="35"/>
      <c r="D290" s="40"/>
      <c r="E290" s="40"/>
    </row>
    <row r="291" spans="3:5" ht="12.75" customHeight="1">
      <c r="C291" s="35"/>
      <c r="D291" s="40"/>
      <c r="E291" s="40"/>
    </row>
    <row r="292" spans="3:5" ht="12.75" customHeight="1">
      <c r="C292" s="35"/>
      <c r="D292" s="40"/>
      <c r="E292" s="40"/>
    </row>
    <row r="293" spans="3:5" ht="12.75" customHeight="1">
      <c r="C293" s="35"/>
      <c r="D293" s="40"/>
      <c r="E293" s="40"/>
    </row>
    <row r="294" spans="3:5" ht="12.75" customHeight="1">
      <c r="C294" s="35"/>
      <c r="D294" s="40"/>
      <c r="E294" s="40"/>
    </row>
    <row r="295" spans="3:5" ht="12.75" customHeight="1">
      <c r="C295" s="35"/>
      <c r="D295" s="40"/>
      <c r="E295" s="40"/>
    </row>
    <row r="296" spans="3:5" ht="12.75" customHeight="1">
      <c r="C296" s="35"/>
      <c r="D296" s="40"/>
      <c r="E296" s="40"/>
    </row>
    <row r="297" spans="3:5" ht="12.75" customHeight="1"/>
    <row r="298" spans="3:5" ht="12.75" customHeight="1"/>
    <row r="299" spans="3:5" ht="12.75" customHeight="1"/>
    <row r="300" spans="3:5" ht="12.75" customHeight="1"/>
    <row r="301" spans="3:5" ht="12.75" customHeight="1"/>
    <row r="302" spans="3:5" ht="12.75" customHeight="1"/>
    <row r="303" spans="3:5" ht="12.75" customHeight="1"/>
    <row r="304" spans="3:5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</sheetData>
  <sheetProtection formatCells="0" formatColumns="0" formatRows="0" insertHyperlinks="0" autoFilter="0" pivotTables="0"/>
  <mergeCells count="1">
    <mergeCell ref="I4:K4"/>
  </mergeCells>
  <pageMargins left="0.45" right="0.33" top="0.62" bottom="0.56999999999999995" header="0.31496062992125984" footer="0.31496062992125984"/>
  <pageSetup paperSize="9" scale="48" orientation="portrait" r:id="rId1"/>
  <headerFooter>
    <oddHeader>&amp;C&amp;A</oddHeader>
    <oddFooter>&amp;L&amp;D &amp;T&amp;C&amp;Z&amp;R&amp;F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  <pageSetUpPr fitToPage="1"/>
  </sheetPr>
  <dimension ref="A1:AB421"/>
  <sheetViews>
    <sheetView showGridLines="0" zoomScale="85" zoomScaleNormal="85" zoomScaleSheetLayoutView="90" workbookViewId="0">
      <pane xSplit="1" ySplit="4" topLeftCell="C41" activePane="bottomRight" state="frozen"/>
      <selection pane="topRight" activeCell="B1" sqref="B1"/>
      <selection pane="bottomLeft" activeCell="A5" sqref="A5"/>
      <selection pane="bottomRight" activeCell="J73" sqref="J73"/>
    </sheetView>
  </sheetViews>
  <sheetFormatPr defaultColWidth="0" defaultRowHeight="12.75" customHeight="1" zeroHeight="1"/>
  <cols>
    <col min="1" max="1" width="56.453125" style="112" customWidth="1"/>
    <col min="2" max="2" width="20" style="105" customWidth="1"/>
    <col min="3" max="5" width="9.08984375" style="130" customWidth="1"/>
    <col min="6" max="6" width="9.08984375" style="110" customWidth="1"/>
    <col min="7" max="13" width="9.36328125" style="110" customWidth="1"/>
    <col min="14" max="14" width="14.6328125" style="105" customWidth="1"/>
    <col min="15" max="15" width="11.453125" style="105" hidden="1" customWidth="1"/>
    <col min="16" max="16" width="6.6328125" style="105" hidden="1" customWidth="1"/>
    <col min="17" max="17" width="18.26953125" style="105" hidden="1" customWidth="1"/>
    <col min="18" max="18" width="18.26953125" style="110" hidden="1" customWidth="1"/>
    <col min="19" max="19" width="11.453125" style="110" hidden="1" customWidth="1"/>
    <col min="20" max="20" width="6.6328125" style="110" hidden="1" customWidth="1"/>
    <col min="21" max="28" width="18.26953125" style="110" hidden="1" customWidth="1"/>
    <col min="29" max="16384" width="9" style="110" hidden="1"/>
  </cols>
  <sheetData>
    <row r="1" spans="1:23" s="105" customFormat="1" ht="16.2">
      <c r="A1" s="102" t="s">
        <v>109</v>
      </c>
      <c r="B1" s="103"/>
      <c r="C1" s="104"/>
      <c r="D1" s="104"/>
      <c r="E1" s="104"/>
    </row>
    <row r="2" spans="1:23" s="105" customFormat="1" ht="12.6">
      <c r="A2" s="106" t="str">
        <f>CompName</f>
        <v>Scottish Power Transmission plc</v>
      </c>
      <c r="C2" s="104"/>
      <c r="D2" s="104"/>
      <c r="E2" s="104"/>
    </row>
    <row r="3" spans="1:23" ht="29.25" customHeight="1">
      <c r="A3" s="107" t="str">
        <f>'R5 Input page'!F7</f>
        <v>Regulatory Year ending 31 March 2017</v>
      </c>
      <c r="B3" s="108"/>
      <c r="C3" s="109"/>
      <c r="D3" s="109"/>
      <c r="E3" s="109"/>
      <c r="G3" s="384" t="s">
        <v>102</v>
      </c>
      <c r="H3" s="384"/>
      <c r="I3" s="111"/>
      <c r="J3" s="111"/>
      <c r="K3" s="111"/>
      <c r="L3" s="111"/>
      <c r="M3" s="111"/>
      <c r="N3" s="108"/>
      <c r="P3" s="108"/>
    </row>
    <row r="4" spans="1:23" s="105" customFormat="1" ht="12.6">
      <c r="A4" s="112"/>
      <c r="B4" s="113"/>
      <c r="C4" s="114" t="s">
        <v>0</v>
      </c>
      <c r="D4" s="115">
        <v>2012</v>
      </c>
      <c r="E4" s="115">
        <v>2013</v>
      </c>
      <c r="F4" s="115">
        <v>2014</v>
      </c>
      <c r="G4" s="115">
        <v>2015</v>
      </c>
      <c r="H4" s="115">
        <v>2016</v>
      </c>
      <c r="I4" s="115">
        <v>2017</v>
      </c>
      <c r="J4" s="115">
        <v>2018</v>
      </c>
      <c r="K4" s="115">
        <v>2019</v>
      </c>
      <c r="L4" s="115">
        <v>2020</v>
      </c>
      <c r="M4" s="115">
        <v>2021</v>
      </c>
      <c r="N4" s="116" t="s">
        <v>104</v>
      </c>
      <c r="R4" s="110"/>
      <c r="S4" s="110"/>
      <c r="T4" s="110"/>
      <c r="U4" s="110"/>
      <c r="V4" s="110"/>
      <c r="W4" s="110"/>
    </row>
    <row r="5" spans="1:23" ht="16.2">
      <c r="A5" s="102" t="s">
        <v>110</v>
      </c>
      <c r="B5" s="117"/>
      <c r="C5" s="118"/>
      <c r="D5" s="118"/>
      <c r="E5" s="118"/>
      <c r="F5" s="119"/>
      <c r="G5" s="119"/>
      <c r="H5" s="119"/>
      <c r="I5" s="119"/>
      <c r="J5" s="119"/>
      <c r="K5" s="119"/>
      <c r="L5" s="119"/>
      <c r="M5" s="119"/>
      <c r="N5" s="116"/>
      <c r="P5" s="108"/>
    </row>
    <row r="6" spans="1:23" ht="16.2">
      <c r="A6" s="112" t="s">
        <v>256</v>
      </c>
      <c r="C6" s="104"/>
      <c r="D6" s="104"/>
      <c r="E6" s="388" t="s">
        <v>517</v>
      </c>
      <c r="F6" s="389"/>
      <c r="G6" s="389"/>
      <c r="H6" s="389"/>
      <c r="I6" s="389"/>
      <c r="J6" s="390"/>
      <c r="K6" s="120"/>
      <c r="L6" s="120"/>
      <c r="M6" s="120"/>
      <c r="N6" s="116" t="s">
        <v>111</v>
      </c>
    </row>
    <row r="7" spans="1:23" ht="16.2">
      <c r="A7" s="112" t="s">
        <v>112</v>
      </c>
      <c r="C7" s="104"/>
      <c r="D7" s="104"/>
      <c r="E7" s="104"/>
      <c r="F7" s="385" t="s">
        <v>598</v>
      </c>
      <c r="G7" s="386"/>
      <c r="H7" s="386"/>
      <c r="I7" s="387"/>
      <c r="J7" s="120"/>
      <c r="K7" s="120"/>
      <c r="L7" s="120"/>
      <c r="M7" s="120"/>
      <c r="N7" s="116" t="s">
        <v>137</v>
      </c>
    </row>
    <row r="8" spans="1:23" s="105" customFormat="1" ht="12.6">
      <c r="A8" s="106"/>
      <c r="C8" s="104"/>
      <c r="D8" s="104"/>
      <c r="E8" s="104"/>
      <c r="F8" s="113"/>
      <c r="N8" s="116"/>
      <c r="R8" s="110"/>
      <c r="S8" s="110"/>
      <c r="T8" s="110"/>
      <c r="U8" s="110"/>
      <c r="V8" s="110"/>
      <c r="W8" s="110"/>
    </row>
    <row r="9" spans="1:23" s="105" customFormat="1" ht="12.6">
      <c r="A9" s="106"/>
      <c r="N9" s="116"/>
      <c r="R9" s="110"/>
      <c r="S9" s="110"/>
      <c r="T9" s="110"/>
      <c r="U9" s="110"/>
      <c r="V9" s="110"/>
      <c r="W9" s="110"/>
    </row>
    <row r="10" spans="1:23" s="105" customFormat="1" ht="12.6">
      <c r="A10" s="106" t="s">
        <v>126</v>
      </c>
      <c r="C10" s="104" t="s">
        <v>118</v>
      </c>
      <c r="D10" s="319">
        <f>ROUND(D11/$B$11,3)</f>
        <v>1.1000000000000001</v>
      </c>
      <c r="E10" s="319">
        <f t="shared" ref="E10:M10" si="0">ROUND(E11/$B$11,3)</f>
        <v>1.1339999999999999</v>
      </c>
      <c r="F10" s="319">
        <f t="shared" si="0"/>
        <v>1.167</v>
      </c>
      <c r="G10" s="319">
        <f t="shared" si="0"/>
        <v>1.19</v>
      </c>
      <c r="H10" s="319">
        <f t="shared" si="0"/>
        <v>1.202</v>
      </c>
      <c r="I10" s="319">
        <f t="shared" si="0"/>
        <v>1.228</v>
      </c>
      <c r="J10" s="319">
        <f t="shared" si="0"/>
        <v>1.2869999999999999</v>
      </c>
      <c r="K10" s="319">
        <f t="shared" si="0"/>
        <v>1.323</v>
      </c>
      <c r="L10" s="319">
        <f t="shared" si="0"/>
        <v>1.36</v>
      </c>
      <c r="M10" s="319">
        <f t="shared" si="0"/>
        <v>1.3979999999999999</v>
      </c>
      <c r="N10" s="116" t="s">
        <v>124</v>
      </c>
      <c r="R10" s="110"/>
      <c r="S10" s="110"/>
      <c r="T10" s="110"/>
      <c r="U10" s="110"/>
      <c r="V10" s="110"/>
      <c r="W10" s="110"/>
    </row>
    <row r="11" spans="1:23" s="105" customFormat="1" ht="25.2">
      <c r="A11" s="106" t="s">
        <v>127</v>
      </c>
      <c r="B11" s="316">
        <v>215.767</v>
      </c>
      <c r="C11" s="316">
        <v>226.47499999999999</v>
      </c>
      <c r="D11" s="316">
        <v>237.34200000000001</v>
      </c>
      <c r="E11" s="316">
        <v>244.67500000000001</v>
      </c>
      <c r="F11" s="316">
        <v>251.733</v>
      </c>
      <c r="G11" s="100">
        <v>256.66699999999997</v>
      </c>
      <c r="H11" s="316">
        <v>259.43299999999999</v>
      </c>
      <c r="I11" s="316">
        <v>264.99200000000002</v>
      </c>
      <c r="J11" s="316">
        <v>277.60300000000001</v>
      </c>
      <c r="K11" s="316">
        <v>285.37599999999998</v>
      </c>
      <c r="L11" s="316">
        <v>293.36599999999999</v>
      </c>
      <c r="M11" s="316">
        <v>301.58100000000002</v>
      </c>
      <c r="N11" s="343" t="s">
        <v>540</v>
      </c>
      <c r="R11" s="110"/>
      <c r="S11" s="110"/>
      <c r="T11" s="110"/>
      <c r="U11" s="110"/>
      <c r="V11" s="110"/>
      <c r="W11" s="110"/>
    </row>
    <row r="12" spans="1:23" s="105" customFormat="1" ht="12.6">
      <c r="A12" s="106"/>
      <c r="C12" s="104"/>
      <c r="D12" s="113"/>
      <c r="E12" s="113"/>
      <c r="F12" s="113"/>
      <c r="H12" s="318"/>
      <c r="N12" s="116"/>
      <c r="R12" s="110"/>
      <c r="S12" s="110"/>
      <c r="T12" s="110"/>
      <c r="U12" s="110"/>
      <c r="V12" s="110"/>
      <c r="W12" s="110"/>
    </row>
    <row r="13" spans="1:23" s="122" customFormat="1" ht="12.6">
      <c r="A13" s="121" t="s">
        <v>176</v>
      </c>
    </row>
    <row r="14" spans="1:23" s="122" customFormat="1" ht="14.4">
      <c r="A14" s="123"/>
      <c r="C14" s="124" t="s">
        <v>177</v>
      </c>
      <c r="D14" s="125">
        <v>2012</v>
      </c>
      <c r="E14" s="125">
        <v>2013</v>
      </c>
      <c r="F14" s="125">
        <v>2014</v>
      </c>
      <c r="G14" s="125">
        <v>2015</v>
      </c>
      <c r="H14" s="125">
        <v>2016</v>
      </c>
      <c r="I14" s="125">
        <v>2017</v>
      </c>
      <c r="J14" s="125">
        <v>2018</v>
      </c>
      <c r="K14" s="125">
        <v>2019</v>
      </c>
      <c r="L14" s="125">
        <v>2020</v>
      </c>
      <c r="M14" s="125">
        <v>2021</v>
      </c>
    </row>
    <row r="15" spans="1:23" s="122" customFormat="1" ht="12.6">
      <c r="A15" s="123" t="s">
        <v>178</v>
      </c>
      <c r="B15" s="122" t="s">
        <v>179</v>
      </c>
      <c r="D15" s="80">
        <v>3.3000000000000002E-2</v>
      </c>
      <c r="E15" s="80">
        <v>2.5999999999999999E-2</v>
      </c>
    </row>
    <row r="16" spans="1:23" s="122" customFormat="1" ht="12.6">
      <c r="A16" s="123" t="s">
        <v>178</v>
      </c>
      <c r="B16" s="122" t="s">
        <v>180</v>
      </c>
      <c r="D16" s="80">
        <v>3.1E-2</v>
      </c>
      <c r="E16" s="80">
        <v>2.7E-2</v>
      </c>
      <c r="F16" s="80">
        <v>2.5000000000000001E-2</v>
      </c>
    </row>
    <row r="17" spans="1:23" s="122" customFormat="1" ht="12.6">
      <c r="A17" s="123" t="s">
        <v>178</v>
      </c>
      <c r="B17" s="122" t="s">
        <v>181</v>
      </c>
      <c r="E17" s="80">
        <v>3.1E-2</v>
      </c>
      <c r="F17" s="80">
        <v>3.1E-2</v>
      </c>
      <c r="G17" s="80">
        <v>0.03</v>
      </c>
    </row>
    <row r="18" spans="1:23" s="122" customFormat="1" ht="12.6">
      <c r="A18" s="123" t="s">
        <v>178</v>
      </c>
      <c r="B18" s="122" t="s">
        <v>182</v>
      </c>
      <c r="F18" s="315">
        <v>2.5000000000000001E-2</v>
      </c>
      <c r="G18" s="315">
        <v>2.4E-2</v>
      </c>
      <c r="H18" s="315">
        <v>3.2000000000000001E-2</v>
      </c>
    </row>
    <row r="19" spans="1:23" s="122" customFormat="1" ht="12.6">
      <c r="A19" s="123" t="s">
        <v>178</v>
      </c>
      <c r="B19" s="122" t="s">
        <v>183</v>
      </c>
      <c r="G19" s="315">
        <v>0.01</v>
      </c>
      <c r="H19" s="315">
        <v>2.1000000000000001E-2</v>
      </c>
      <c r="I19" s="315">
        <v>0.03</v>
      </c>
    </row>
    <row r="20" spans="1:23" s="122" customFormat="1" ht="12.6">
      <c r="A20" s="123" t="s">
        <v>178</v>
      </c>
      <c r="B20" s="122" t="s">
        <v>184</v>
      </c>
      <c r="H20" s="315">
        <v>1.7999999999999999E-2</v>
      </c>
      <c r="I20" s="315">
        <v>3.5000000000000003E-2</v>
      </c>
      <c r="J20" s="315">
        <v>3.1E-2</v>
      </c>
    </row>
    <row r="21" spans="1:23" s="122" customFormat="1" ht="12.6">
      <c r="A21" s="123" t="s">
        <v>178</v>
      </c>
      <c r="B21" s="122" t="s">
        <v>185</v>
      </c>
      <c r="I21" s="52"/>
      <c r="J21" s="52"/>
      <c r="K21" s="52"/>
    </row>
    <row r="22" spans="1:23" s="122" customFormat="1" ht="12.6">
      <c r="A22" s="123" t="s">
        <v>178</v>
      </c>
      <c r="B22" s="122" t="s">
        <v>186</v>
      </c>
      <c r="J22" s="52"/>
      <c r="K22" s="52"/>
      <c r="L22" s="52"/>
    </row>
    <row r="23" spans="1:23" s="122" customFormat="1" ht="12.6">
      <c r="A23" s="123" t="s">
        <v>178</v>
      </c>
      <c r="B23" s="122" t="s">
        <v>187</v>
      </c>
      <c r="K23" s="52"/>
      <c r="L23" s="52"/>
      <c r="M23" s="52"/>
    </row>
    <row r="24" spans="1:23" s="122" customFormat="1" ht="12.6">
      <c r="A24" s="123"/>
    </row>
    <row r="25" spans="1:23" s="105" customFormat="1" ht="12.6">
      <c r="A25" s="106" t="s">
        <v>119</v>
      </c>
      <c r="B25" s="105" t="s">
        <v>294</v>
      </c>
      <c r="C25" s="104" t="s">
        <v>1</v>
      </c>
      <c r="D25" s="122"/>
      <c r="E25" s="122"/>
      <c r="F25" s="81">
        <v>0</v>
      </c>
      <c r="G25" s="81">
        <v>6.2</v>
      </c>
      <c r="H25" s="81">
        <v>-20.3</v>
      </c>
      <c r="I25" s="81">
        <v>-21.8</v>
      </c>
      <c r="J25" s="78">
        <v>-13.5</v>
      </c>
      <c r="K25" s="52"/>
      <c r="L25" s="52"/>
      <c r="M25" s="52"/>
      <c r="N25" s="116" t="s">
        <v>294</v>
      </c>
      <c r="R25" s="110"/>
      <c r="S25" s="110"/>
      <c r="T25" s="110"/>
      <c r="U25" s="110"/>
      <c r="V25" s="110"/>
      <c r="W25" s="110"/>
    </row>
    <row r="26" spans="1:23" s="105" customFormat="1" ht="12.6">
      <c r="A26" s="106"/>
      <c r="C26" s="104"/>
      <c r="D26" s="113"/>
      <c r="E26" s="113"/>
      <c r="F26" s="113"/>
      <c r="N26" s="116"/>
      <c r="R26" s="110"/>
      <c r="S26" s="110"/>
      <c r="T26" s="110"/>
      <c r="U26" s="110"/>
      <c r="V26" s="110"/>
      <c r="W26" s="110"/>
    </row>
    <row r="27" spans="1:23" s="105" customFormat="1" ht="12.6">
      <c r="A27" s="112"/>
      <c r="R27" s="110"/>
      <c r="S27" s="110"/>
      <c r="T27" s="110"/>
      <c r="U27" s="110"/>
      <c r="V27" s="110"/>
      <c r="W27" s="110"/>
    </row>
    <row r="28" spans="1:23" s="105" customFormat="1" ht="12.6">
      <c r="A28" s="10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R28" s="110"/>
      <c r="S28" s="110"/>
      <c r="T28" s="110"/>
      <c r="U28" s="110"/>
      <c r="V28" s="110"/>
      <c r="W28" s="110"/>
    </row>
    <row r="29" spans="1:23" s="105" customFormat="1" ht="12.6">
      <c r="A29" s="106" t="s">
        <v>11</v>
      </c>
      <c r="C29" s="104"/>
      <c r="D29" s="113"/>
      <c r="E29" s="113"/>
      <c r="F29" s="113"/>
      <c r="N29" s="116"/>
      <c r="R29" s="110"/>
      <c r="S29" s="110"/>
      <c r="T29" s="110"/>
      <c r="U29" s="110"/>
      <c r="V29" s="110"/>
      <c r="W29" s="110"/>
    </row>
    <row r="30" spans="1:23" s="105" customFormat="1" ht="12.6">
      <c r="A30" s="106"/>
      <c r="C30" s="104"/>
      <c r="D30" s="113"/>
      <c r="E30" s="113"/>
      <c r="F30" s="113"/>
      <c r="N30" s="116"/>
      <c r="R30" s="110"/>
      <c r="S30" s="110"/>
      <c r="T30" s="110"/>
      <c r="U30" s="110"/>
      <c r="V30" s="110"/>
      <c r="W30" s="110"/>
    </row>
    <row r="31" spans="1:23" s="105" customFormat="1" ht="12.6">
      <c r="A31" s="106" t="s">
        <v>258</v>
      </c>
      <c r="C31" s="104"/>
      <c r="D31" s="113"/>
      <c r="F31" s="113"/>
      <c r="N31" s="116"/>
      <c r="R31" s="110"/>
      <c r="S31" s="110"/>
      <c r="T31" s="110"/>
      <c r="U31" s="110"/>
      <c r="V31" s="110"/>
      <c r="W31" s="110"/>
    </row>
    <row r="32" spans="1:23" s="105" customFormat="1" ht="12.6">
      <c r="A32" s="112" t="s">
        <v>300</v>
      </c>
      <c r="C32" s="104"/>
      <c r="D32" s="113"/>
      <c r="E32" s="81">
        <v>200.79</v>
      </c>
      <c r="F32" s="113"/>
      <c r="N32" s="116"/>
      <c r="R32" s="110"/>
      <c r="S32" s="110"/>
      <c r="T32" s="110"/>
      <c r="U32" s="110"/>
      <c r="V32" s="110"/>
      <c r="W32" s="110"/>
    </row>
    <row r="33" spans="1:23" s="105" customFormat="1" ht="12.6">
      <c r="A33" s="112" t="s">
        <v>32</v>
      </c>
      <c r="B33" s="105" t="s">
        <v>262</v>
      </c>
      <c r="C33" s="104" t="s">
        <v>1</v>
      </c>
      <c r="D33" s="113"/>
      <c r="E33" s="81">
        <v>240.17</v>
      </c>
      <c r="F33" s="52"/>
      <c r="G33" s="356"/>
      <c r="H33" s="357"/>
      <c r="I33" s="52"/>
      <c r="J33" s="52"/>
      <c r="K33" s="52"/>
      <c r="L33" s="52"/>
      <c r="M33" s="52"/>
      <c r="N33" s="116" t="s">
        <v>262</v>
      </c>
      <c r="R33" s="110"/>
      <c r="S33" s="110"/>
      <c r="T33" s="110"/>
      <c r="U33" s="110"/>
      <c r="V33" s="110"/>
      <c r="W33" s="110"/>
    </row>
    <row r="34" spans="1:23" s="105" customFormat="1" ht="12.6">
      <c r="A34" s="112" t="s">
        <v>263</v>
      </c>
      <c r="B34" s="105" t="s">
        <v>13</v>
      </c>
      <c r="C34" s="104" t="s">
        <v>1</v>
      </c>
      <c r="D34" s="113"/>
      <c r="E34" s="81">
        <v>229.47</v>
      </c>
      <c r="F34" s="113"/>
      <c r="N34" s="116"/>
      <c r="R34" s="110"/>
      <c r="S34" s="110"/>
      <c r="T34" s="110"/>
      <c r="U34" s="110"/>
      <c r="V34" s="110"/>
      <c r="W34" s="110"/>
    </row>
    <row r="35" spans="1:23" s="311" customFormat="1" ht="12.6">
      <c r="A35" s="253" t="s">
        <v>453</v>
      </c>
      <c r="B35" s="297" t="s">
        <v>454</v>
      </c>
      <c r="C35" s="306" t="s">
        <v>1</v>
      </c>
      <c r="D35" s="113"/>
      <c r="E35" s="81">
        <v>0.91</v>
      </c>
      <c r="F35" s="113"/>
      <c r="N35" s="116"/>
      <c r="R35" s="110"/>
      <c r="S35" s="110"/>
      <c r="T35" s="110"/>
      <c r="U35" s="110"/>
      <c r="V35" s="110"/>
      <c r="W35" s="110"/>
    </row>
    <row r="36" spans="1:23" s="311" customFormat="1" ht="12.6">
      <c r="A36" s="254" t="s">
        <v>457</v>
      </c>
      <c r="B36" s="297" t="s">
        <v>458</v>
      </c>
      <c r="C36" s="306" t="s">
        <v>1</v>
      </c>
      <c r="D36" s="113"/>
      <c r="E36" s="81">
        <v>6.78</v>
      </c>
      <c r="F36" s="113"/>
      <c r="N36" s="116"/>
      <c r="R36" s="110"/>
      <c r="S36" s="110"/>
      <c r="T36" s="110"/>
      <c r="U36" s="110"/>
      <c r="V36" s="110"/>
      <c r="W36" s="110"/>
    </row>
    <row r="37" spans="1:23" s="340" customFormat="1" ht="12.6">
      <c r="A37" s="345" t="s">
        <v>539</v>
      </c>
      <c r="B37" s="344"/>
      <c r="C37" s="346" t="s">
        <v>1</v>
      </c>
      <c r="D37" s="342"/>
      <c r="E37" s="81">
        <v>17.760000000000002</v>
      </c>
      <c r="F37" s="342"/>
      <c r="N37" s="343"/>
      <c r="R37" s="341"/>
      <c r="S37" s="341"/>
      <c r="T37" s="341"/>
      <c r="U37" s="341"/>
      <c r="V37" s="341"/>
      <c r="W37" s="341"/>
    </row>
    <row r="38" spans="1:23" s="311" customFormat="1" ht="12.6">
      <c r="A38" s="150" t="s">
        <v>461</v>
      </c>
      <c r="B38" s="297" t="s">
        <v>462</v>
      </c>
      <c r="C38" s="306" t="s">
        <v>1</v>
      </c>
      <c r="D38" s="113"/>
      <c r="E38" s="81">
        <v>24.1</v>
      </c>
      <c r="F38" s="113"/>
      <c r="N38" s="116"/>
      <c r="R38" s="110"/>
      <c r="S38" s="110"/>
      <c r="T38" s="110"/>
      <c r="U38" s="110"/>
      <c r="V38" s="110"/>
      <c r="W38" s="110"/>
    </row>
    <row r="39" spans="1:23" s="105" customFormat="1" ht="12.6">
      <c r="A39" s="106"/>
      <c r="C39" s="104"/>
      <c r="D39" s="113"/>
      <c r="E39" s="113"/>
      <c r="F39" s="113"/>
      <c r="N39" s="116"/>
      <c r="R39" s="110"/>
      <c r="S39" s="110"/>
      <c r="T39" s="110"/>
      <c r="U39" s="110"/>
      <c r="V39" s="110"/>
      <c r="W39" s="110"/>
    </row>
    <row r="40" spans="1:23" s="105" customFormat="1" ht="12.6">
      <c r="A40" s="106" t="s">
        <v>120</v>
      </c>
      <c r="C40" s="104"/>
      <c r="D40" s="113"/>
      <c r="E40" s="113"/>
      <c r="F40" s="113"/>
      <c r="H40" s="358"/>
      <c r="I40" s="358"/>
      <c r="J40" s="358"/>
      <c r="N40" s="116"/>
      <c r="R40" s="110"/>
      <c r="S40" s="110"/>
      <c r="T40" s="110"/>
      <c r="U40" s="110"/>
      <c r="V40" s="110"/>
      <c r="W40" s="110"/>
    </row>
    <row r="41" spans="1:23" s="105" customFormat="1" ht="12.6">
      <c r="A41" s="112" t="s">
        <v>254</v>
      </c>
      <c r="B41" s="105" t="s">
        <v>255</v>
      </c>
      <c r="C41" s="104" t="s">
        <v>1</v>
      </c>
      <c r="D41" s="104"/>
      <c r="E41" s="80">
        <v>4.7500000000000001E-2</v>
      </c>
      <c r="F41" s="80">
        <v>4.7600000000000003E-2</v>
      </c>
      <c r="G41" s="80">
        <v>4.65E-2</v>
      </c>
      <c r="H41" s="315">
        <v>4.5525000000000003E-2</v>
      </c>
      <c r="I41" s="315">
        <v>4.4590000000000005E-2</v>
      </c>
      <c r="J41" s="80">
        <v>4.7600000000000003E-2</v>
      </c>
      <c r="K41" s="80">
        <v>4.7600000000000003E-2</v>
      </c>
      <c r="L41" s="80">
        <v>4.7600000000000003E-2</v>
      </c>
      <c r="M41" s="80">
        <v>4.7600000000000003E-2</v>
      </c>
      <c r="N41" s="116" t="s">
        <v>255</v>
      </c>
      <c r="R41" s="110"/>
      <c r="S41" s="110"/>
      <c r="T41" s="110"/>
      <c r="U41" s="110"/>
      <c r="V41" s="110"/>
      <c r="W41" s="110"/>
    </row>
    <row r="42" spans="1:23" s="105" customFormat="1" ht="12.6">
      <c r="A42" s="287" t="s">
        <v>507</v>
      </c>
      <c r="B42" s="105" t="s">
        <v>128</v>
      </c>
      <c r="C42" s="288" t="s">
        <v>118</v>
      </c>
      <c r="D42" s="113"/>
      <c r="E42" s="138">
        <f>1+E41</f>
        <v>1.0475000000000001</v>
      </c>
      <c r="F42" s="138">
        <f t="shared" ref="F42:M42" si="1">1+F41</f>
        <v>1.0476000000000001</v>
      </c>
      <c r="G42" s="138">
        <f t="shared" si="1"/>
        <v>1.0465</v>
      </c>
      <c r="H42" s="138">
        <f t="shared" si="1"/>
        <v>1.045525</v>
      </c>
      <c r="I42" s="138">
        <f t="shared" si="1"/>
        <v>1.0445899999999999</v>
      </c>
      <c r="J42" s="138">
        <f t="shared" si="1"/>
        <v>1.0476000000000001</v>
      </c>
      <c r="K42" s="138">
        <f t="shared" si="1"/>
        <v>1.0476000000000001</v>
      </c>
      <c r="L42" s="138">
        <f t="shared" si="1"/>
        <v>1.0476000000000001</v>
      </c>
      <c r="M42" s="138">
        <f t="shared" si="1"/>
        <v>1.0476000000000001</v>
      </c>
      <c r="N42" s="116" t="s">
        <v>128</v>
      </c>
      <c r="R42" s="110"/>
      <c r="S42" s="110"/>
      <c r="T42" s="110"/>
      <c r="U42" s="110"/>
      <c r="V42" s="110"/>
      <c r="W42" s="110"/>
    </row>
    <row r="43" spans="1:23" s="105" customFormat="1" ht="12.6">
      <c r="A43" s="106"/>
      <c r="C43" s="104"/>
      <c r="D43" s="113"/>
      <c r="E43" s="113"/>
      <c r="F43" s="113"/>
      <c r="N43" s="116"/>
      <c r="R43" s="110"/>
      <c r="S43" s="110"/>
      <c r="T43" s="110"/>
      <c r="U43" s="110"/>
      <c r="V43" s="110"/>
      <c r="W43" s="110"/>
    </row>
    <row r="44" spans="1:23" s="105" customFormat="1" ht="12.6">
      <c r="A44" s="112"/>
      <c r="C44" s="104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6"/>
      <c r="R44" s="110"/>
      <c r="S44" s="110"/>
      <c r="T44" s="110"/>
      <c r="U44" s="110"/>
      <c r="V44" s="110"/>
      <c r="W44" s="110"/>
    </row>
    <row r="45" spans="1:23" s="105" customFormat="1" ht="12.6">
      <c r="A45" s="106" t="s">
        <v>192</v>
      </c>
      <c r="B45" s="105" t="s">
        <v>30</v>
      </c>
      <c r="C45" s="289" t="s">
        <v>105</v>
      </c>
      <c r="D45" s="113"/>
      <c r="E45" s="78">
        <v>0.5</v>
      </c>
      <c r="F45" s="78">
        <v>0.5</v>
      </c>
      <c r="G45" s="78">
        <v>0.5</v>
      </c>
      <c r="H45" s="78">
        <v>0.5</v>
      </c>
      <c r="I45" s="78">
        <v>0.34</v>
      </c>
      <c r="J45" s="78"/>
      <c r="K45" s="78"/>
      <c r="L45" s="78"/>
      <c r="M45" s="78"/>
      <c r="N45" s="116" t="s">
        <v>30</v>
      </c>
      <c r="R45" s="110"/>
      <c r="S45" s="110"/>
      <c r="T45" s="110"/>
      <c r="U45" s="110"/>
      <c r="V45" s="110"/>
      <c r="W45" s="110"/>
    </row>
    <row r="46" spans="1:23" s="105" customFormat="1" ht="12.6">
      <c r="A46" s="106"/>
      <c r="C46" s="104"/>
      <c r="D46" s="113"/>
      <c r="E46" s="113"/>
      <c r="F46" s="113"/>
      <c r="N46" s="116"/>
      <c r="R46" s="110"/>
      <c r="S46" s="110"/>
      <c r="T46" s="110"/>
      <c r="U46" s="110"/>
      <c r="V46" s="110"/>
      <c r="W46" s="110"/>
    </row>
    <row r="47" spans="1:23" s="105" customFormat="1" ht="12.6">
      <c r="A47" s="106"/>
      <c r="C47" s="104"/>
      <c r="D47" s="113"/>
      <c r="E47" s="113"/>
      <c r="F47" s="113"/>
      <c r="N47" s="116"/>
      <c r="R47" s="110"/>
      <c r="S47" s="110"/>
      <c r="T47" s="110"/>
      <c r="U47" s="110"/>
      <c r="V47" s="110"/>
      <c r="W47" s="110"/>
    </row>
    <row r="48" spans="1:23" s="105" customFormat="1" ht="16.2">
      <c r="A48" s="102" t="s">
        <v>108</v>
      </c>
      <c r="C48" s="104"/>
      <c r="D48" s="104"/>
      <c r="E48" s="104"/>
      <c r="N48" s="116"/>
      <c r="R48" s="110"/>
      <c r="S48" s="110"/>
      <c r="T48" s="110"/>
      <c r="U48" s="110"/>
      <c r="V48" s="110"/>
      <c r="W48" s="110"/>
    </row>
    <row r="49" spans="1:23" s="105" customFormat="1" ht="12.6">
      <c r="A49" s="112" t="s">
        <v>523</v>
      </c>
      <c r="B49" s="105" t="s">
        <v>123</v>
      </c>
      <c r="C49" s="104" t="s">
        <v>1</v>
      </c>
      <c r="E49" s="289"/>
      <c r="F49" s="52"/>
      <c r="G49" s="52"/>
      <c r="H49" s="357"/>
      <c r="I49" s="52"/>
      <c r="J49" s="52"/>
      <c r="K49" s="52"/>
      <c r="L49" s="52"/>
      <c r="M49" s="52"/>
      <c r="N49" s="116" t="s">
        <v>123</v>
      </c>
      <c r="R49" s="110"/>
      <c r="S49" s="110"/>
      <c r="T49" s="110"/>
      <c r="U49" s="110"/>
      <c r="V49" s="110"/>
      <c r="W49" s="110"/>
    </row>
    <row r="50" spans="1:23" s="105" customFormat="1" ht="12.6">
      <c r="A50" s="112"/>
      <c r="E50" s="289"/>
      <c r="N50" s="116"/>
      <c r="R50" s="110"/>
      <c r="S50" s="110"/>
      <c r="T50" s="110"/>
      <c r="U50" s="110"/>
      <c r="V50" s="110"/>
      <c r="W50" s="110"/>
    </row>
    <row r="51" spans="1:23" s="105" customFormat="1" ht="12.6">
      <c r="A51" s="112" t="s">
        <v>534</v>
      </c>
      <c r="B51" s="105" t="s">
        <v>132</v>
      </c>
      <c r="C51" s="104" t="s">
        <v>1</v>
      </c>
      <c r="E51" s="339"/>
      <c r="F51" s="52"/>
      <c r="G51" s="52"/>
      <c r="H51" s="52"/>
      <c r="I51" s="52"/>
      <c r="J51" s="52"/>
      <c r="K51" s="52"/>
      <c r="L51" s="52"/>
      <c r="M51" s="52"/>
      <c r="N51" s="116" t="s">
        <v>132</v>
      </c>
      <c r="R51" s="110"/>
      <c r="S51" s="110"/>
      <c r="T51" s="110"/>
      <c r="U51" s="110"/>
      <c r="V51" s="110"/>
      <c r="W51" s="110"/>
    </row>
    <row r="52" spans="1:23" s="105" customFormat="1" ht="12.6">
      <c r="A52" s="112"/>
      <c r="E52" s="289"/>
      <c r="R52" s="110"/>
      <c r="S52" s="110"/>
      <c r="T52" s="110"/>
      <c r="U52" s="110"/>
      <c r="V52" s="110"/>
      <c r="W52" s="110"/>
    </row>
    <row r="53" spans="1:23" s="105" customFormat="1" ht="16.2">
      <c r="A53" s="102" t="s">
        <v>134</v>
      </c>
      <c r="C53" s="104"/>
      <c r="D53" s="104"/>
      <c r="E53" s="289"/>
      <c r="F53" s="113"/>
      <c r="N53" s="116"/>
      <c r="R53" s="110"/>
      <c r="S53" s="110"/>
      <c r="T53" s="110"/>
      <c r="U53" s="110"/>
      <c r="V53" s="110"/>
      <c r="W53" s="110"/>
    </row>
    <row r="54" spans="1:23" s="105" customFormat="1" ht="12.6">
      <c r="A54" s="106"/>
      <c r="C54" s="104"/>
      <c r="D54" s="104"/>
      <c r="E54" s="289"/>
      <c r="F54" s="113"/>
      <c r="N54" s="116"/>
      <c r="R54" s="110"/>
      <c r="S54" s="110"/>
      <c r="T54" s="110"/>
      <c r="U54" s="110"/>
      <c r="V54" s="110"/>
      <c r="W54" s="110"/>
    </row>
    <row r="55" spans="1:23" s="105" customFormat="1" ht="12.6">
      <c r="A55" s="106" t="s">
        <v>193</v>
      </c>
      <c r="C55" s="104"/>
      <c r="D55" s="104"/>
      <c r="E55" s="289"/>
      <c r="F55" s="113"/>
      <c r="N55" s="127" t="s">
        <v>194</v>
      </c>
      <c r="R55" s="110"/>
      <c r="S55" s="110"/>
      <c r="T55" s="110"/>
      <c r="U55" s="110"/>
      <c r="V55" s="110"/>
      <c r="W55" s="110"/>
    </row>
    <row r="56" spans="1:23" s="105" customFormat="1" ht="12.6">
      <c r="A56" s="106"/>
      <c r="C56" s="104"/>
      <c r="D56" s="104"/>
      <c r="E56" s="289"/>
      <c r="F56" s="113"/>
      <c r="N56" s="127"/>
      <c r="R56" s="110"/>
      <c r="S56" s="110"/>
      <c r="T56" s="110"/>
      <c r="U56" s="110"/>
      <c r="V56" s="110"/>
      <c r="W56" s="110"/>
    </row>
    <row r="57" spans="1:23" s="105" customFormat="1" ht="13.8">
      <c r="A57" s="128" t="s">
        <v>435</v>
      </c>
      <c r="B57" s="128" t="s">
        <v>423</v>
      </c>
      <c r="C57" s="283" t="s">
        <v>505</v>
      </c>
      <c r="D57" s="129"/>
      <c r="E57" s="289"/>
      <c r="F57" s="52"/>
      <c r="N57" s="127"/>
      <c r="R57" s="110"/>
      <c r="S57" s="110"/>
      <c r="T57" s="110"/>
      <c r="U57" s="110"/>
      <c r="V57" s="110"/>
      <c r="W57" s="110"/>
    </row>
    <row r="58" spans="1:23" s="105" customFormat="1" ht="12.6">
      <c r="A58" s="106"/>
      <c r="C58" s="104"/>
      <c r="D58" s="104"/>
      <c r="E58" s="289"/>
      <c r="F58" s="113"/>
      <c r="N58" s="127"/>
      <c r="R58" s="110"/>
      <c r="S58" s="110"/>
      <c r="T58" s="110"/>
      <c r="U58" s="110"/>
      <c r="V58" s="110"/>
      <c r="W58" s="110"/>
    </row>
    <row r="59" spans="1:23" ht="12.6">
      <c r="E59" s="289"/>
      <c r="F59" s="130"/>
      <c r="G59" s="130"/>
      <c r="H59" s="130"/>
      <c r="I59" s="130"/>
      <c r="J59" s="130"/>
      <c r="K59" s="130"/>
      <c r="L59" s="130"/>
      <c r="M59" s="130"/>
    </row>
    <row r="60" spans="1:23" ht="13.8">
      <c r="A60" s="378" t="s">
        <v>508</v>
      </c>
      <c r="E60" s="289"/>
      <c r="F60" s="130"/>
      <c r="G60" s="130"/>
      <c r="H60" s="115"/>
      <c r="I60" s="115"/>
      <c r="J60" s="115"/>
      <c r="K60" s="115"/>
      <c r="L60" s="115"/>
      <c r="M60" s="115"/>
    </row>
    <row r="61" spans="1:23" ht="12.6">
      <c r="A61" s="190" t="s">
        <v>65</v>
      </c>
      <c r="B61" s="122" t="s">
        <v>201</v>
      </c>
      <c r="C61" s="284" t="s">
        <v>506</v>
      </c>
      <c r="E61" s="289"/>
      <c r="F61" s="52"/>
      <c r="G61" s="52"/>
      <c r="H61" s="357"/>
      <c r="I61" s="52"/>
      <c r="J61" s="52"/>
      <c r="K61" s="52"/>
      <c r="L61" s="52"/>
      <c r="M61" s="52"/>
      <c r="N61" s="127" t="s">
        <v>201</v>
      </c>
    </row>
    <row r="62" spans="1:23" ht="12.75" customHeight="1">
      <c r="A62" s="379"/>
      <c r="E62" s="289"/>
    </row>
    <row r="63" spans="1:23" ht="12.6">
      <c r="A63" s="380" t="s">
        <v>509</v>
      </c>
      <c r="B63" s="122"/>
      <c r="E63" s="289"/>
    </row>
    <row r="64" spans="1:23" ht="12.6">
      <c r="A64" s="190" t="s">
        <v>518</v>
      </c>
      <c r="B64" s="122" t="s">
        <v>325</v>
      </c>
      <c r="C64" s="130" t="s">
        <v>478</v>
      </c>
      <c r="E64" s="289"/>
      <c r="F64" s="52"/>
      <c r="G64" s="52"/>
      <c r="H64" s="357"/>
      <c r="I64" s="52"/>
      <c r="J64" s="52"/>
      <c r="K64" s="52"/>
      <c r="L64" s="52"/>
      <c r="M64" s="52"/>
      <c r="N64" s="127" t="s">
        <v>325</v>
      </c>
    </row>
    <row r="65" spans="1:17" ht="12.6">
      <c r="A65" s="190" t="s">
        <v>519</v>
      </c>
      <c r="B65" s="122" t="s">
        <v>326</v>
      </c>
      <c r="C65" s="130" t="s">
        <v>1</v>
      </c>
      <c r="D65" s="70"/>
      <c r="E65" s="289"/>
      <c r="F65" s="52"/>
      <c r="G65" s="357"/>
      <c r="H65" s="356"/>
      <c r="I65" s="52"/>
      <c r="J65" s="52"/>
      <c r="K65" s="52"/>
      <c r="L65" s="52"/>
      <c r="M65" s="52"/>
      <c r="N65" s="127" t="s">
        <v>326</v>
      </c>
    </row>
    <row r="66" spans="1:17" ht="12.6">
      <c r="A66" s="379" t="s">
        <v>591</v>
      </c>
      <c r="B66" s="105" t="s">
        <v>586</v>
      </c>
      <c r="C66" s="298" t="s">
        <v>479</v>
      </c>
      <c r="E66" s="289"/>
      <c r="F66" s="339"/>
      <c r="G66" s="356"/>
      <c r="H66" s="356"/>
      <c r="I66" s="339"/>
      <c r="J66" s="339"/>
      <c r="K66" s="339"/>
      <c r="L66" s="339"/>
      <c r="M66" s="339"/>
      <c r="N66" s="127" t="s">
        <v>586</v>
      </c>
    </row>
    <row r="67" spans="1:17" ht="12.6">
      <c r="A67" s="190" t="s">
        <v>593</v>
      </c>
      <c r="B67" s="122" t="s">
        <v>315</v>
      </c>
      <c r="C67" s="130" t="s">
        <v>118</v>
      </c>
      <c r="D67" s="63"/>
      <c r="E67" s="289"/>
      <c r="F67" s="52"/>
      <c r="G67" s="52"/>
      <c r="H67" s="356"/>
      <c r="I67" s="52"/>
      <c r="J67" s="52"/>
      <c r="K67" s="52"/>
      <c r="L67" s="52"/>
      <c r="M67" s="52"/>
      <c r="N67" s="132" t="s">
        <v>315</v>
      </c>
    </row>
    <row r="68" spans="1:17" s="341" customFormat="1" ht="12.6">
      <c r="A68" s="379"/>
      <c r="B68" s="361"/>
      <c r="C68" s="298"/>
      <c r="D68" s="298"/>
      <c r="E68" s="289"/>
      <c r="N68" s="361"/>
      <c r="O68" s="361"/>
      <c r="P68" s="361"/>
      <c r="Q68" s="361"/>
    </row>
    <row r="69" spans="1:17" s="341" customFormat="1" ht="12.6">
      <c r="A69" s="379"/>
      <c r="B69" s="361"/>
      <c r="C69" s="298"/>
      <c r="D69" s="298"/>
      <c r="E69" s="289"/>
      <c r="N69" s="361"/>
      <c r="O69" s="361"/>
      <c r="P69" s="361"/>
      <c r="Q69" s="361"/>
    </row>
    <row r="70" spans="1:17" ht="12.6">
      <c r="A70" s="131" t="s">
        <v>214</v>
      </c>
      <c r="B70" s="105" t="s">
        <v>213</v>
      </c>
      <c r="C70" s="286" t="s">
        <v>105</v>
      </c>
      <c r="D70" s="326">
        <v>0.26</v>
      </c>
      <c r="E70" s="326">
        <v>0.24</v>
      </c>
      <c r="F70" s="326">
        <v>0.23</v>
      </c>
      <c r="G70" s="326">
        <v>0.21</v>
      </c>
      <c r="H70" s="326">
        <v>0.2</v>
      </c>
      <c r="I70" s="326">
        <v>0.2</v>
      </c>
      <c r="J70" s="52"/>
      <c r="K70" s="52"/>
      <c r="L70" s="52"/>
      <c r="M70" s="52"/>
      <c r="N70" s="127" t="s">
        <v>213</v>
      </c>
    </row>
    <row r="71" spans="1:17" ht="12.6">
      <c r="A71" s="131"/>
      <c r="D71" s="63"/>
      <c r="E71" s="289"/>
      <c r="F71" s="63"/>
      <c r="G71" s="63"/>
      <c r="H71" s="63"/>
      <c r="I71" s="63"/>
      <c r="J71" s="63"/>
      <c r="K71" s="63"/>
      <c r="L71" s="63"/>
      <c r="M71" s="63"/>
      <c r="N71" s="127"/>
    </row>
    <row r="72" spans="1:17" ht="12.6">
      <c r="A72" s="131"/>
      <c r="D72" s="63"/>
      <c r="E72" s="289"/>
      <c r="F72" s="63"/>
      <c r="G72" s="63"/>
      <c r="H72" s="63"/>
      <c r="I72" s="63"/>
      <c r="J72" s="63"/>
      <c r="K72" s="63"/>
      <c r="L72" s="63"/>
      <c r="M72" s="63"/>
      <c r="N72" s="127"/>
    </row>
    <row r="73" spans="1:17" ht="12.6">
      <c r="A73" s="131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127"/>
    </row>
    <row r="74" spans="1:17" ht="13.8">
      <c r="A74" s="290" t="s">
        <v>510</v>
      </c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127"/>
    </row>
    <row r="75" spans="1:17" ht="12.6">
      <c r="A75" s="131" t="s">
        <v>414</v>
      </c>
      <c r="B75" s="105" t="s">
        <v>49</v>
      </c>
      <c r="C75" s="130" t="s">
        <v>480</v>
      </c>
      <c r="D75" s="63"/>
      <c r="E75" s="320"/>
      <c r="F75" s="63"/>
      <c r="G75" s="63"/>
      <c r="H75" s="63"/>
      <c r="I75" s="63"/>
      <c r="J75" s="63"/>
      <c r="K75" s="63"/>
      <c r="L75" s="63"/>
      <c r="M75" s="63"/>
      <c r="N75" s="127"/>
    </row>
    <row r="76" spans="1:17" ht="12.6">
      <c r="A76" s="131" t="s">
        <v>218</v>
      </c>
      <c r="B76" s="105" t="s">
        <v>219</v>
      </c>
      <c r="C76" s="130" t="s">
        <v>480</v>
      </c>
      <c r="D76" s="63"/>
      <c r="E76" s="63"/>
      <c r="F76" s="320"/>
      <c r="G76" s="357"/>
      <c r="H76" s="357"/>
      <c r="I76" s="52"/>
      <c r="J76" s="52"/>
      <c r="K76" s="52"/>
      <c r="L76" s="52"/>
      <c r="M76" s="52"/>
      <c r="N76" s="127" t="s">
        <v>219</v>
      </c>
    </row>
    <row r="77" spans="1:17" s="341" customFormat="1" ht="12.6">
      <c r="A77" s="351" t="s">
        <v>541</v>
      </c>
      <c r="B77" s="349" t="s">
        <v>542</v>
      </c>
      <c r="C77" s="298" t="s">
        <v>480</v>
      </c>
      <c r="D77" s="349"/>
      <c r="E77" s="349"/>
      <c r="F77" s="63"/>
      <c r="G77" s="357"/>
      <c r="H77" s="357"/>
      <c r="I77" s="339"/>
      <c r="J77" s="339"/>
      <c r="K77" s="339"/>
      <c r="L77" s="339"/>
      <c r="M77" s="339"/>
      <c r="N77" s="127" t="s">
        <v>542</v>
      </c>
      <c r="O77" s="349"/>
      <c r="P77" s="349"/>
      <c r="Q77" s="349"/>
    </row>
    <row r="78" spans="1:17" ht="12.6">
      <c r="A78" s="131" t="s">
        <v>221</v>
      </c>
      <c r="B78" s="105" t="s">
        <v>220</v>
      </c>
      <c r="C78" s="130" t="s">
        <v>480</v>
      </c>
      <c r="D78" s="63"/>
      <c r="E78" s="63"/>
      <c r="F78" s="320"/>
      <c r="G78" s="357"/>
      <c r="H78" s="357"/>
      <c r="I78" s="52"/>
      <c r="J78" s="52"/>
      <c r="K78" s="52"/>
      <c r="L78" s="52"/>
      <c r="M78" s="52"/>
      <c r="N78" s="127" t="s">
        <v>220</v>
      </c>
    </row>
    <row r="79" spans="1:17" s="341" customFormat="1" ht="12.6">
      <c r="A79" s="351" t="s">
        <v>543</v>
      </c>
      <c r="B79" s="349" t="s">
        <v>544</v>
      </c>
      <c r="C79" s="298" t="s">
        <v>480</v>
      </c>
      <c r="D79" s="349"/>
      <c r="E79" s="349"/>
      <c r="F79" s="63"/>
      <c r="G79" s="357"/>
      <c r="H79" s="357"/>
      <c r="I79" s="339"/>
      <c r="J79" s="339"/>
      <c r="K79" s="339"/>
      <c r="L79" s="339"/>
      <c r="M79" s="339"/>
      <c r="N79" s="127" t="s">
        <v>544</v>
      </c>
      <c r="O79" s="349"/>
      <c r="P79" s="349"/>
      <c r="Q79" s="349"/>
    </row>
    <row r="80" spans="1:17" ht="12.6">
      <c r="A80" s="131" t="s">
        <v>520</v>
      </c>
      <c r="B80" s="105" t="s">
        <v>222</v>
      </c>
      <c r="C80" s="130" t="s">
        <v>480</v>
      </c>
      <c r="D80" s="63"/>
      <c r="E80" s="63"/>
      <c r="F80" s="320"/>
      <c r="G80" s="357"/>
      <c r="H80" s="357"/>
      <c r="I80" s="52"/>
      <c r="J80" s="52"/>
      <c r="K80" s="52"/>
      <c r="L80" s="52"/>
      <c r="M80" s="52"/>
      <c r="N80" s="127" t="s">
        <v>222</v>
      </c>
    </row>
    <row r="81" spans="1:23" ht="12.6">
      <c r="A81" s="131" t="s">
        <v>224</v>
      </c>
      <c r="B81" s="105" t="s">
        <v>223</v>
      </c>
      <c r="C81" s="130" t="s">
        <v>481</v>
      </c>
      <c r="D81" s="63"/>
      <c r="E81" s="63"/>
      <c r="F81" s="78">
        <v>50</v>
      </c>
      <c r="G81" s="78">
        <v>51</v>
      </c>
      <c r="H81" s="78">
        <v>52</v>
      </c>
      <c r="I81" s="78">
        <v>53</v>
      </c>
      <c r="J81" s="78">
        <v>54</v>
      </c>
      <c r="K81" s="78">
        <v>55</v>
      </c>
      <c r="L81" s="78">
        <v>56</v>
      </c>
      <c r="M81" s="78">
        <v>57</v>
      </c>
      <c r="N81" s="127" t="s">
        <v>223</v>
      </c>
    </row>
    <row r="82" spans="1:23" s="341" customFormat="1" ht="12.6">
      <c r="A82" s="131"/>
      <c r="B82" s="349"/>
      <c r="C82" s="298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127"/>
      <c r="O82" s="349"/>
      <c r="P82" s="349"/>
      <c r="Q82" s="349"/>
    </row>
    <row r="83" spans="1:23" s="105" customFormat="1" ht="12.6">
      <c r="A83" s="112" t="s">
        <v>521</v>
      </c>
      <c r="B83" s="105" t="s">
        <v>227</v>
      </c>
      <c r="C83" s="104" t="s">
        <v>1</v>
      </c>
      <c r="D83" s="104"/>
      <c r="E83" s="104"/>
      <c r="F83" s="320"/>
      <c r="G83" s="357"/>
      <c r="H83" s="356"/>
      <c r="I83" s="52"/>
      <c r="J83" s="52"/>
      <c r="K83" s="52"/>
      <c r="L83" s="52"/>
      <c r="M83" s="52"/>
      <c r="N83" s="116" t="s">
        <v>227</v>
      </c>
      <c r="R83" s="110"/>
      <c r="S83" s="110"/>
      <c r="T83" s="110"/>
      <c r="U83" s="110"/>
      <c r="V83" s="110"/>
      <c r="W83" s="110"/>
    </row>
    <row r="84" spans="1:23" ht="12.6">
      <c r="A84" s="131"/>
      <c r="C84" s="104"/>
      <c r="D84" s="63"/>
      <c r="E84" s="63"/>
      <c r="F84" s="105"/>
      <c r="G84" s="105"/>
      <c r="H84" s="105"/>
      <c r="I84" s="105"/>
      <c r="J84" s="105"/>
      <c r="K84" s="105"/>
      <c r="L84" s="105"/>
      <c r="M84" s="105"/>
      <c r="N84" s="127"/>
    </row>
    <row r="85" spans="1:23" ht="12.6">
      <c r="A85" s="131"/>
      <c r="C85" s="104"/>
      <c r="D85" s="63"/>
      <c r="E85" s="63"/>
      <c r="F85" s="105"/>
      <c r="G85" s="105"/>
      <c r="H85" s="105"/>
      <c r="I85" s="105"/>
      <c r="J85" s="105"/>
      <c r="K85" s="105"/>
      <c r="L85" s="105"/>
      <c r="M85" s="105"/>
      <c r="N85" s="127"/>
    </row>
    <row r="86" spans="1:23" ht="12.6">
      <c r="A86" s="291" t="s">
        <v>511</v>
      </c>
      <c r="C86" s="104"/>
      <c r="D86" s="63"/>
      <c r="E86" s="63"/>
      <c r="F86" s="105"/>
      <c r="G86" s="105"/>
      <c r="H86" s="105"/>
      <c r="I86" s="105"/>
      <c r="J86" s="105"/>
      <c r="K86" s="105"/>
      <c r="L86" s="105"/>
      <c r="M86" s="105"/>
      <c r="N86" s="127"/>
    </row>
    <row r="87" spans="1:23" ht="12.6">
      <c r="A87" s="123" t="s">
        <v>304</v>
      </c>
      <c r="B87" s="105" t="s">
        <v>309</v>
      </c>
      <c r="C87" s="285" t="s">
        <v>1</v>
      </c>
      <c r="D87" s="63"/>
      <c r="E87" s="63"/>
      <c r="F87" s="321"/>
      <c r="G87" s="321"/>
      <c r="H87" s="357"/>
      <c r="I87" s="52"/>
      <c r="J87" s="52"/>
      <c r="K87" s="52"/>
      <c r="L87" s="52"/>
      <c r="M87" s="52"/>
      <c r="N87" s="127" t="s">
        <v>309</v>
      </c>
    </row>
    <row r="88" spans="1:23" ht="12.6">
      <c r="A88" s="123" t="s">
        <v>522</v>
      </c>
      <c r="B88" s="105" t="s">
        <v>310</v>
      </c>
      <c r="C88" s="285" t="s">
        <v>1</v>
      </c>
      <c r="D88" s="63"/>
      <c r="E88" s="63"/>
      <c r="F88" s="321"/>
      <c r="G88" s="321"/>
      <c r="H88" s="321"/>
      <c r="I88" s="52"/>
      <c r="J88" s="52"/>
      <c r="K88" s="52"/>
      <c r="L88" s="52"/>
      <c r="M88" s="52"/>
      <c r="N88" s="127" t="s">
        <v>310</v>
      </c>
    </row>
    <row r="89" spans="1:23" ht="12.6">
      <c r="C89" s="104"/>
      <c r="D89" s="63"/>
      <c r="E89" s="63"/>
      <c r="F89" s="105"/>
      <c r="G89" s="105"/>
      <c r="H89" s="105"/>
      <c r="I89" s="105"/>
      <c r="J89" s="105"/>
      <c r="K89" s="105"/>
      <c r="L89" s="105"/>
      <c r="M89" s="105"/>
      <c r="N89" s="127"/>
    </row>
    <row r="90" spans="1:23" ht="12.6">
      <c r="C90" s="104"/>
      <c r="D90" s="63"/>
      <c r="E90" s="63"/>
      <c r="F90" s="105"/>
      <c r="G90" s="105"/>
      <c r="H90" s="105"/>
      <c r="I90" s="105"/>
      <c r="J90" s="105"/>
      <c r="K90" s="105"/>
      <c r="L90" s="105"/>
      <c r="M90" s="105"/>
      <c r="N90" s="127"/>
    </row>
    <row r="91" spans="1:23" ht="16.2">
      <c r="A91" s="292" t="s">
        <v>512</v>
      </c>
      <c r="C91" s="104"/>
      <c r="D91" s="63"/>
      <c r="E91" s="63"/>
      <c r="F91" s="105"/>
      <c r="G91" s="105"/>
      <c r="H91" s="105"/>
      <c r="I91" s="105"/>
      <c r="J91" s="105"/>
      <c r="K91" s="105"/>
      <c r="L91" s="105"/>
      <c r="M91" s="105"/>
      <c r="N91" s="127"/>
    </row>
    <row r="92" spans="1:23" ht="12.6">
      <c r="A92" s="123" t="s">
        <v>58</v>
      </c>
      <c r="B92" s="122" t="s">
        <v>232</v>
      </c>
      <c r="C92" s="104" t="s">
        <v>1</v>
      </c>
      <c r="D92" s="63"/>
      <c r="E92" s="63"/>
      <c r="F92" s="52"/>
      <c r="G92" s="357"/>
      <c r="H92" s="357"/>
      <c r="I92" s="52"/>
      <c r="J92" s="52"/>
      <c r="K92" s="52"/>
      <c r="L92" s="52"/>
      <c r="M92" s="52"/>
      <c r="N92" s="127" t="s">
        <v>232</v>
      </c>
    </row>
    <row r="93" spans="1:23" ht="12.6">
      <c r="A93" s="123" t="s">
        <v>231</v>
      </c>
      <c r="B93" s="122" t="s">
        <v>55</v>
      </c>
      <c r="C93" s="104" t="s">
        <v>1</v>
      </c>
      <c r="D93" s="63"/>
      <c r="E93" s="63"/>
      <c r="F93" s="52"/>
      <c r="G93" s="320"/>
      <c r="H93" s="357"/>
      <c r="I93" s="52"/>
      <c r="J93" s="52"/>
      <c r="K93" s="52"/>
      <c r="L93" s="52"/>
      <c r="M93" s="52"/>
      <c r="N93" s="127" t="s">
        <v>55</v>
      </c>
    </row>
    <row r="94" spans="1:23" ht="12.6">
      <c r="A94" s="123" t="s">
        <v>52</v>
      </c>
      <c r="B94" s="122" t="s">
        <v>235</v>
      </c>
      <c r="C94" s="266" t="s">
        <v>482</v>
      </c>
      <c r="D94" s="63"/>
      <c r="E94" s="63"/>
      <c r="F94" s="52"/>
      <c r="G94" s="52"/>
      <c r="H94" s="356"/>
      <c r="I94" s="52"/>
      <c r="J94" s="52"/>
      <c r="K94" s="52"/>
      <c r="L94" s="52"/>
      <c r="M94" s="52"/>
      <c r="N94" s="127" t="s">
        <v>235</v>
      </c>
    </row>
    <row r="95" spans="1:23" ht="12.6">
      <c r="A95" s="123" t="s">
        <v>35</v>
      </c>
      <c r="B95" s="122" t="s">
        <v>234</v>
      </c>
      <c r="C95" s="104" t="s">
        <v>1</v>
      </c>
      <c r="D95" s="63"/>
      <c r="E95" s="63"/>
      <c r="F95" s="52"/>
      <c r="G95" s="320"/>
      <c r="H95" s="356"/>
      <c r="I95" s="52"/>
      <c r="J95" s="52"/>
      <c r="K95" s="52"/>
      <c r="L95" s="52"/>
      <c r="M95" s="52"/>
      <c r="N95" s="127" t="s">
        <v>234</v>
      </c>
    </row>
    <row r="96" spans="1:23" s="135" customFormat="1" ht="12.6">
      <c r="A96" s="198" t="s">
        <v>404</v>
      </c>
      <c r="B96" s="134"/>
      <c r="C96" s="271"/>
      <c r="D96" s="134"/>
      <c r="E96" s="63"/>
      <c r="F96" s="52"/>
      <c r="G96" s="356"/>
      <c r="H96" s="357"/>
      <c r="I96" s="72"/>
      <c r="J96" s="72"/>
      <c r="K96" s="72"/>
      <c r="L96" s="72"/>
      <c r="M96" s="72"/>
      <c r="N96" s="134"/>
      <c r="O96" s="134"/>
      <c r="P96" s="134"/>
      <c r="Q96" s="134"/>
    </row>
    <row r="97" spans="1:14" ht="12.6">
      <c r="A97" s="123"/>
      <c r="B97" s="122"/>
      <c r="C97" s="104"/>
      <c r="D97" s="63"/>
      <c r="E97" s="63"/>
      <c r="F97" s="105"/>
      <c r="G97" s="105"/>
      <c r="H97" s="105"/>
      <c r="I97" s="105"/>
      <c r="J97" s="105"/>
      <c r="K97" s="105"/>
      <c r="L97" s="105"/>
      <c r="M97" s="105"/>
      <c r="N97" s="127"/>
    </row>
    <row r="98" spans="1:14" ht="13.8">
      <c r="A98" s="327" t="s">
        <v>535</v>
      </c>
      <c r="C98" s="104"/>
      <c r="D98" s="63"/>
      <c r="E98" s="63"/>
      <c r="F98" s="113"/>
      <c r="G98" s="105"/>
      <c r="H98" s="105"/>
      <c r="I98" s="105"/>
      <c r="J98" s="105"/>
      <c r="K98" s="105"/>
      <c r="L98" s="105"/>
      <c r="M98" s="105"/>
      <c r="N98" s="116"/>
    </row>
    <row r="99" spans="1:14" ht="12.6">
      <c r="A99" s="136" t="s">
        <v>356</v>
      </c>
      <c r="C99" s="104"/>
      <c r="D99" s="63"/>
      <c r="E99" s="63"/>
      <c r="F99" s="105"/>
      <c r="G99" s="105"/>
      <c r="H99" s="105"/>
      <c r="I99" s="105"/>
      <c r="J99" s="105"/>
      <c r="K99" s="105"/>
      <c r="L99" s="105"/>
      <c r="M99" s="105"/>
      <c r="N99" s="116"/>
    </row>
    <row r="100" spans="1:14" ht="12.6">
      <c r="A100" s="137" t="s">
        <v>160</v>
      </c>
      <c r="C100" s="105"/>
      <c r="D100" s="63"/>
      <c r="E100" s="63"/>
      <c r="F100" s="105"/>
      <c r="G100" s="105"/>
      <c r="H100" s="105"/>
      <c r="I100" s="105"/>
      <c r="J100" s="105"/>
      <c r="K100" s="105"/>
      <c r="L100" s="105"/>
      <c r="M100" s="105"/>
      <c r="N100" s="116"/>
    </row>
    <row r="101" spans="1:14" ht="12.6">
      <c r="A101" s="136" t="s">
        <v>161</v>
      </c>
      <c r="B101" s="105" t="s">
        <v>152</v>
      </c>
      <c r="C101" s="285" t="s">
        <v>1</v>
      </c>
      <c r="D101" s="63"/>
      <c r="E101" s="63"/>
      <c r="F101" s="339"/>
      <c r="G101" s="339"/>
      <c r="H101" s="339"/>
      <c r="I101" s="339"/>
      <c r="J101" s="339"/>
      <c r="K101" s="339"/>
      <c r="L101" s="339"/>
      <c r="M101" s="339"/>
      <c r="N101" s="127" t="s">
        <v>152</v>
      </c>
    </row>
    <row r="102" spans="1:14" ht="14.25" customHeight="1">
      <c r="A102" s="136" t="s">
        <v>162</v>
      </c>
      <c r="B102" s="105" t="s">
        <v>154</v>
      </c>
      <c r="C102" s="285" t="s">
        <v>1</v>
      </c>
      <c r="D102" s="63"/>
      <c r="E102" s="63"/>
      <c r="F102" s="339"/>
      <c r="G102" s="339"/>
      <c r="H102" s="339"/>
      <c r="I102" s="339"/>
      <c r="J102" s="339"/>
      <c r="K102" s="339"/>
      <c r="L102" s="339"/>
      <c r="M102" s="339"/>
      <c r="N102" s="127" t="s">
        <v>154</v>
      </c>
    </row>
    <row r="103" spans="1:14" ht="12.6">
      <c r="A103" s="136" t="s">
        <v>163</v>
      </c>
      <c r="B103" s="110" t="s">
        <v>155</v>
      </c>
      <c r="C103" s="285" t="s">
        <v>1</v>
      </c>
      <c r="D103" s="63"/>
      <c r="E103" s="63"/>
      <c r="F103" s="339"/>
      <c r="G103" s="339"/>
      <c r="H103" s="339"/>
      <c r="I103" s="339"/>
      <c r="J103" s="339"/>
      <c r="K103" s="339"/>
      <c r="L103" s="339"/>
      <c r="M103" s="339"/>
      <c r="N103" s="127" t="s">
        <v>155</v>
      </c>
    </row>
    <row r="104" spans="1:14" ht="12.6">
      <c r="A104" s="136" t="s">
        <v>72</v>
      </c>
      <c r="B104" s="110" t="s">
        <v>147</v>
      </c>
      <c r="C104" s="285" t="s">
        <v>1</v>
      </c>
      <c r="D104" s="63"/>
      <c r="E104" s="63"/>
      <c r="F104" s="339"/>
      <c r="G104" s="339"/>
      <c r="H104" s="339"/>
      <c r="I104" s="339"/>
      <c r="J104" s="339"/>
      <c r="K104" s="339"/>
      <c r="L104" s="339"/>
      <c r="M104" s="339"/>
      <c r="N104" s="127" t="s">
        <v>147</v>
      </c>
    </row>
    <row r="105" spans="1:14" ht="16.5" customHeight="1">
      <c r="A105" s="136" t="s">
        <v>164</v>
      </c>
      <c r="B105" s="110" t="s">
        <v>150</v>
      </c>
      <c r="C105" s="285" t="s">
        <v>1</v>
      </c>
      <c r="D105" s="63"/>
      <c r="E105" s="63"/>
      <c r="F105" s="339"/>
      <c r="G105" s="339"/>
      <c r="H105" s="339"/>
      <c r="I105" s="339"/>
      <c r="J105" s="339"/>
      <c r="K105" s="339"/>
      <c r="L105" s="339"/>
      <c r="M105" s="339"/>
      <c r="N105" s="127" t="s">
        <v>150</v>
      </c>
    </row>
    <row r="106" spans="1:14" ht="12.6">
      <c r="D106" s="63"/>
      <c r="E106" s="63"/>
      <c r="F106" s="130"/>
      <c r="G106" s="130"/>
      <c r="H106" s="130"/>
      <c r="I106" s="130"/>
      <c r="J106" s="130"/>
      <c r="K106" s="130"/>
      <c r="L106" s="130"/>
      <c r="M106" s="130"/>
      <c r="N106" s="127"/>
    </row>
    <row r="107" spans="1:14" ht="16.2">
      <c r="A107" s="133" t="s">
        <v>268</v>
      </c>
      <c r="C107" s="104"/>
      <c r="D107" s="104"/>
      <c r="E107" s="104"/>
      <c r="F107" s="113"/>
      <c r="G107" s="105"/>
      <c r="H107" s="105"/>
      <c r="I107" s="105"/>
      <c r="J107" s="105"/>
      <c r="K107" s="105"/>
      <c r="L107" s="105"/>
      <c r="M107" s="105"/>
      <c r="N107" s="127"/>
    </row>
    <row r="108" spans="1:14" ht="12.6">
      <c r="A108" s="131" t="s">
        <v>357</v>
      </c>
      <c r="C108" s="104"/>
      <c r="D108" s="104"/>
      <c r="E108" s="104"/>
      <c r="F108" s="105"/>
      <c r="G108" s="105"/>
      <c r="H108" s="105"/>
      <c r="I108" s="105"/>
      <c r="J108" s="105"/>
      <c r="K108" s="105"/>
      <c r="L108" s="105"/>
      <c r="M108" s="105"/>
      <c r="N108" s="127"/>
    </row>
    <row r="109" spans="1:14" ht="12.6">
      <c r="A109" s="137" t="s">
        <v>160</v>
      </c>
      <c r="C109" s="105"/>
      <c r="D109" s="104"/>
      <c r="E109" s="104"/>
      <c r="F109" s="105"/>
      <c r="G109" s="105"/>
      <c r="H109" s="105"/>
      <c r="I109" s="105"/>
      <c r="J109" s="105"/>
      <c r="K109" s="105"/>
      <c r="L109" s="105"/>
      <c r="M109" s="105"/>
      <c r="N109" s="127"/>
    </row>
    <row r="110" spans="1:14" ht="12.6">
      <c r="A110" s="136" t="s">
        <v>161</v>
      </c>
      <c r="B110" s="105" t="s">
        <v>344</v>
      </c>
      <c r="C110" s="285" t="s">
        <v>1</v>
      </c>
      <c r="D110" s="104"/>
      <c r="E110" s="104"/>
      <c r="F110" s="52"/>
      <c r="G110" s="52"/>
      <c r="H110" s="52"/>
      <c r="I110" s="52"/>
      <c r="J110" s="52"/>
      <c r="K110" s="52"/>
      <c r="L110" s="52"/>
      <c r="M110" s="52"/>
      <c r="N110" s="127" t="s">
        <v>344</v>
      </c>
    </row>
    <row r="111" spans="1:14" ht="18" customHeight="1">
      <c r="A111" s="136" t="s">
        <v>162</v>
      </c>
      <c r="B111" s="105" t="s">
        <v>345</v>
      </c>
      <c r="C111" s="285" t="s">
        <v>1</v>
      </c>
      <c r="D111" s="104"/>
      <c r="E111" s="104"/>
      <c r="F111" s="52"/>
      <c r="G111" s="52"/>
      <c r="H111" s="52"/>
      <c r="I111" s="52"/>
      <c r="J111" s="52"/>
      <c r="K111" s="52"/>
      <c r="L111" s="52"/>
      <c r="M111" s="52"/>
      <c r="N111" s="127" t="s">
        <v>345</v>
      </c>
    </row>
    <row r="112" spans="1:14" ht="12.6">
      <c r="A112" s="136" t="s">
        <v>163</v>
      </c>
      <c r="B112" s="105" t="s">
        <v>271</v>
      </c>
      <c r="C112" s="285" t="s">
        <v>1</v>
      </c>
      <c r="D112" s="104"/>
      <c r="E112" s="104"/>
      <c r="F112" s="52"/>
      <c r="G112" s="52"/>
      <c r="H112" s="52"/>
      <c r="I112" s="52"/>
      <c r="J112" s="52"/>
      <c r="K112" s="52"/>
      <c r="L112" s="52"/>
      <c r="M112" s="52"/>
      <c r="N112" s="127" t="s">
        <v>271</v>
      </c>
    </row>
    <row r="113" spans="1:14" ht="12.6">
      <c r="A113" s="136" t="s">
        <v>72</v>
      </c>
      <c r="B113" s="105" t="s">
        <v>346</v>
      </c>
      <c r="C113" s="285" t="s">
        <v>1</v>
      </c>
      <c r="D113" s="104"/>
      <c r="E113" s="104"/>
      <c r="F113" s="52"/>
      <c r="G113" s="52"/>
      <c r="H113" s="52"/>
      <c r="I113" s="52"/>
      <c r="J113" s="52"/>
      <c r="K113" s="52"/>
      <c r="L113" s="52"/>
      <c r="M113" s="52"/>
      <c r="N113" s="127" t="s">
        <v>346</v>
      </c>
    </row>
    <row r="114" spans="1:14" ht="16.5" customHeight="1">
      <c r="A114" s="136" t="s">
        <v>164</v>
      </c>
      <c r="B114" s="105" t="s">
        <v>347</v>
      </c>
      <c r="C114" s="285" t="s">
        <v>1</v>
      </c>
      <c r="D114" s="104"/>
      <c r="E114" s="104"/>
      <c r="F114" s="52"/>
      <c r="G114" s="52"/>
      <c r="H114" s="52"/>
      <c r="I114" s="52"/>
      <c r="J114" s="52"/>
      <c r="K114" s="52"/>
      <c r="L114" s="52"/>
      <c r="M114" s="52"/>
      <c r="N114" s="127" t="s">
        <v>347</v>
      </c>
    </row>
    <row r="115" spans="1:14" ht="16.5" customHeight="1">
      <c r="A115" s="136"/>
      <c r="C115" s="105"/>
      <c r="D115" s="104"/>
      <c r="E115" s="104"/>
      <c r="F115" s="105"/>
      <c r="G115" s="105"/>
      <c r="H115" s="105"/>
      <c r="I115" s="105"/>
      <c r="J115" s="105"/>
      <c r="K115" s="105"/>
      <c r="L115" s="105"/>
      <c r="M115" s="105"/>
      <c r="N115" s="127"/>
    </row>
    <row r="116" spans="1:14" ht="16.2">
      <c r="A116" s="133" t="s">
        <v>269</v>
      </c>
      <c r="C116" s="104"/>
      <c r="D116" s="104"/>
      <c r="E116" s="104"/>
      <c r="F116" s="113"/>
      <c r="G116" s="105"/>
      <c r="H116" s="105"/>
      <c r="I116" s="105"/>
      <c r="J116" s="105"/>
      <c r="K116" s="105"/>
      <c r="L116" s="105"/>
      <c r="M116" s="105"/>
      <c r="N116" s="127"/>
    </row>
    <row r="117" spans="1:14" ht="12.6">
      <c r="A117" s="131" t="s">
        <v>358</v>
      </c>
      <c r="C117" s="104"/>
      <c r="D117" s="104"/>
      <c r="E117" s="104"/>
      <c r="F117" s="105"/>
      <c r="G117" s="105"/>
      <c r="H117" s="105"/>
      <c r="I117" s="105"/>
      <c r="J117" s="105"/>
      <c r="K117" s="105"/>
      <c r="L117" s="105"/>
      <c r="M117" s="105"/>
      <c r="N117" s="127"/>
    </row>
    <row r="118" spans="1:14" ht="12.6">
      <c r="A118" s="137" t="s">
        <v>160</v>
      </c>
      <c r="C118" s="105"/>
      <c r="D118" s="104"/>
      <c r="E118" s="104"/>
      <c r="F118" s="105"/>
      <c r="G118" s="105"/>
      <c r="H118" s="105"/>
      <c r="I118" s="105"/>
      <c r="J118" s="105"/>
      <c r="K118" s="105"/>
      <c r="L118" s="105"/>
      <c r="M118" s="105"/>
      <c r="N118" s="127"/>
    </row>
    <row r="119" spans="1:14" ht="12.6">
      <c r="A119" s="136" t="s">
        <v>161</v>
      </c>
      <c r="B119" s="105" t="s">
        <v>348</v>
      </c>
      <c r="C119" s="285" t="s">
        <v>1</v>
      </c>
      <c r="D119" s="104"/>
      <c r="E119" s="104"/>
      <c r="F119" s="52"/>
      <c r="G119" s="52"/>
      <c r="H119" s="52"/>
      <c r="I119" s="52"/>
      <c r="J119" s="52"/>
      <c r="K119" s="52"/>
      <c r="L119" s="52"/>
      <c r="M119" s="52"/>
      <c r="N119" s="127" t="s">
        <v>348</v>
      </c>
    </row>
    <row r="120" spans="1:14" ht="17.25" customHeight="1">
      <c r="A120" s="136" t="s">
        <v>162</v>
      </c>
      <c r="B120" s="105" t="s">
        <v>349</v>
      </c>
      <c r="C120" s="285" t="s">
        <v>1</v>
      </c>
      <c r="D120" s="104"/>
      <c r="E120" s="104"/>
      <c r="F120" s="52"/>
      <c r="G120" s="52"/>
      <c r="H120" s="52"/>
      <c r="I120" s="52"/>
      <c r="J120" s="52"/>
      <c r="K120" s="52"/>
      <c r="L120" s="52"/>
      <c r="M120" s="52"/>
      <c r="N120" s="127" t="s">
        <v>349</v>
      </c>
    </row>
    <row r="121" spans="1:14" ht="12.6">
      <c r="A121" s="136" t="s">
        <v>163</v>
      </c>
      <c r="B121" s="105" t="s">
        <v>272</v>
      </c>
      <c r="C121" s="285" t="s">
        <v>1</v>
      </c>
      <c r="D121" s="104"/>
      <c r="E121" s="104"/>
      <c r="F121" s="52"/>
      <c r="G121" s="52"/>
      <c r="H121" s="339"/>
      <c r="I121" s="52"/>
      <c r="J121" s="52"/>
      <c r="K121" s="52"/>
      <c r="L121" s="52"/>
      <c r="M121" s="52"/>
      <c r="N121" s="127" t="s">
        <v>272</v>
      </c>
    </row>
    <row r="122" spans="1:14" ht="12.6">
      <c r="A122" s="136" t="s">
        <v>72</v>
      </c>
      <c r="B122" s="105" t="s">
        <v>350</v>
      </c>
      <c r="C122" s="285" t="s">
        <v>1</v>
      </c>
      <c r="D122" s="104"/>
      <c r="E122" s="104"/>
      <c r="F122" s="52"/>
      <c r="G122" s="52"/>
      <c r="H122" s="52"/>
      <c r="I122" s="52"/>
      <c r="J122" s="52"/>
      <c r="K122" s="52"/>
      <c r="L122" s="52"/>
      <c r="M122" s="52"/>
      <c r="N122" s="127" t="s">
        <v>350</v>
      </c>
    </row>
    <row r="123" spans="1:14" ht="16.5" customHeight="1">
      <c r="A123" s="136" t="s">
        <v>164</v>
      </c>
      <c r="B123" s="105" t="s">
        <v>351</v>
      </c>
      <c r="C123" s="285" t="s">
        <v>1</v>
      </c>
      <c r="D123" s="104"/>
      <c r="E123" s="104"/>
      <c r="F123" s="52"/>
      <c r="G123" s="52"/>
      <c r="H123" s="52"/>
      <c r="I123" s="52"/>
      <c r="J123" s="52"/>
      <c r="K123" s="52"/>
      <c r="L123" s="52"/>
      <c r="M123" s="52"/>
      <c r="N123" s="127" t="s">
        <v>351</v>
      </c>
    </row>
    <row r="124" spans="1:14" ht="12.6">
      <c r="D124" s="104"/>
      <c r="E124" s="104"/>
      <c r="F124" s="130"/>
      <c r="G124" s="130"/>
      <c r="H124" s="130"/>
      <c r="I124" s="130"/>
      <c r="J124" s="130"/>
      <c r="K124" s="130"/>
      <c r="L124" s="130"/>
      <c r="M124" s="130"/>
      <c r="N124" s="127"/>
    </row>
    <row r="125" spans="1:14" ht="16.2">
      <c r="A125" s="133" t="s">
        <v>270</v>
      </c>
      <c r="C125" s="104"/>
      <c r="D125" s="104"/>
      <c r="E125" s="104"/>
      <c r="F125" s="113"/>
      <c r="G125" s="105"/>
      <c r="H125" s="105"/>
      <c r="I125" s="105"/>
      <c r="J125" s="105"/>
      <c r="K125" s="105"/>
      <c r="L125" s="105"/>
      <c r="M125" s="105"/>
      <c r="N125" s="127"/>
    </row>
    <row r="126" spans="1:14" ht="12.6">
      <c r="A126" s="136" t="s">
        <v>359</v>
      </c>
      <c r="C126" s="104"/>
      <c r="D126" s="104"/>
      <c r="E126" s="104"/>
      <c r="F126" s="105"/>
      <c r="G126" s="105"/>
      <c r="H126" s="105"/>
      <c r="I126" s="105"/>
      <c r="J126" s="105"/>
      <c r="K126" s="105"/>
      <c r="L126" s="105"/>
      <c r="M126" s="105"/>
      <c r="N126" s="127"/>
    </row>
    <row r="127" spans="1:14" ht="12.6">
      <c r="A127" s="137" t="s">
        <v>160</v>
      </c>
      <c r="C127" s="105"/>
      <c r="D127" s="104"/>
      <c r="E127" s="104"/>
      <c r="F127" s="105"/>
      <c r="G127" s="105"/>
      <c r="H127" s="105"/>
      <c r="I127" s="105"/>
      <c r="J127" s="105"/>
      <c r="K127" s="105"/>
      <c r="L127" s="105"/>
      <c r="M127" s="105"/>
      <c r="N127" s="127"/>
    </row>
    <row r="128" spans="1:14" ht="12.6">
      <c r="A128" s="136" t="s">
        <v>161</v>
      </c>
      <c r="B128" s="105" t="s">
        <v>352</v>
      </c>
      <c r="C128" s="285" t="s">
        <v>1</v>
      </c>
      <c r="D128" s="104"/>
      <c r="E128" s="104"/>
      <c r="F128" s="52"/>
      <c r="G128" s="52"/>
      <c r="H128" s="52"/>
      <c r="I128" s="52"/>
      <c r="J128" s="52"/>
      <c r="K128" s="52"/>
      <c r="L128" s="52"/>
      <c r="M128" s="52"/>
      <c r="N128" s="127" t="s">
        <v>352</v>
      </c>
    </row>
    <row r="129" spans="1:14" ht="16.5" customHeight="1">
      <c r="A129" s="136" t="s">
        <v>162</v>
      </c>
      <c r="B129" s="105" t="s">
        <v>353</v>
      </c>
      <c r="C129" s="285" t="s">
        <v>1</v>
      </c>
      <c r="D129" s="104"/>
      <c r="E129" s="104"/>
      <c r="F129" s="52"/>
      <c r="G129" s="52"/>
      <c r="H129" s="52"/>
      <c r="I129" s="52"/>
      <c r="J129" s="52"/>
      <c r="K129" s="52"/>
      <c r="L129" s="52"/>
      <c r="M129" s="52"/>
      <c r="N129" s="127" t="s">
        <v>353</v>
      </c>
    </row>
    <row r="130" spans="1:14" ht="12.6">
      <c r="A130" s="136" t="s">
        <v>163</v>
      </c>
      <c r="B130" s="105" t="s">
        <v>273</v>
      </c>
      <c r="C130" s="285" t="s">
        <v>1</v>
      </c>
      <c r="D130" s="104"/>
      <c r="E130" s="104"/>
      <c r="F130" s="52"/>
      <c r="G130" s="52"/>
      <c r="H130" s="52"/>
      <c r="I130" s="52"/>
      <c r="J130" s="52"/>
      <c r="K130" s="52"/>
      <c r="L130" s="52"/>
      <c r="M130" s="52"/>
      <c r="N130" s="127" t="s">
        <v>273</v>
      </c>
    </row>
    <row r="131" spans="1:14" ht="12.6">
      <c r="A131" s="136" t="s">
        <v>72</v>
      </c>
      <c r="B131" s="105" t="s">
        <v>354</v>
      </c>
      <c r="C131" s="285" t="s">
        <v>1</v>
      </c>
      <c r="D131" s="104"/>
      <c r="E131" s="104"/>
      <c r="F131" s="52"/>
      <c r="G131" s="52"/>
      <c r="H131" s="52"/>
      <c r="I131" s="52"/>
      <c r="J131" s="52"/>
      <c r="K131" s="52"/>
      <c r="L131" s="52"/>
      <c r="M131" s="52"/>
      <c r="N131" s="127" t="s">
        <v>354</v>
      </c>
    </row>
    <row r="132" spans="1:14" ht="16.5" customHeight="1">
      <c r="A132" s="136" t="s">
        <v>164</v>
      </c>
      <c r="B132" s="105" t="s">
        <v>355</v>
      </c>
      <c r="C132" s="285" t="s">
        <v>1</v>
      </c>
      <c r="D132" s="104"/>
      <c r="E132" s="104"/>
      <c r="F132" s="52"/>
      <c r="G132" s="52"/>
      <c r="H132" s="52"/>
      <c r="I132" s="52"/>
      <c r="J132" s="52"/>
      <c r="K132" s="52"/>
      <c r="L132" s="52"/>
      <c r="M132" s="52"/>
      <c r="N132" s="127" t="s">
        <v>355</v>
      </c>
    </row>
    <row r="133" spans="1:14" ht="16.5" customHeight="1">
      <c r="A133" s="136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27"/>
    </row>
    <row r="134" spans="1:14" ht="16.2">
      <c r="A134" s="133" t="s">
        <v>361</v>
      </c>
      <c r="C134" s="104"/>
      <c r="D134" s="104"/>
      <c r="E134" s="104"/>
      <c r="F134" s="113"/>
      <c r="G134" s="105"/>
      <c r="H134" s="105"/>
      <c r="I134" s="105"/>
      <c r="J134" s="105"/>
      <c r="K134" s="105"/>
      <c r="L134" s="105"/>
      <c r="M134" s="105"/>
      <c r="N134" s="127"/>
    </row>
    <row r="135" spans="1:14" ht="12.6">
      <c r="A135" s="131" t="s">
        <v>360</v>
      </c>
      <c r="C135" s="104"/>
      <c r="D135" s="104"/>
      <c r="E135" s="104"/>
      <c r="F135" s="105"/>
      <c r="G135" s="105"/>
      <c r="H135" s="105"/>
      <c r="I135" s="105"/>
      <c r="J135" s="105"/>
      <c r="K135" s="105"/>
      <c r="L135" s="105"/>
      <c r="M135" s="105"/>
      <c r="N135" s="127"/>
    </row>
    <row r="136" spans="1:14" ht="12.6">
      <c r="A136" s="137" t="s">
        <v>160</v>
      </c>
      <c r="C136" s="105"/>
      <c r="D136" s="104"/>
      <c r="E136" s="104"/>
      <c r="F136" s="105"/>
      <c r="G136" s="105"/>
      <c r="H136" s="105"/>
      <c r="I136" s="105"/>
      <c r="J136" s="105"/>
      <c r="K136" s="105"/>
      <c r="L136" s="105"/>
      <c r="M136" s="105"/>
      <c r="N136" s="127"/>
    </row>
    <row r="137" spans="1:14" ht="12.6">
      <c r="A137" s="136" t="s">
        <v>161</v>
      </c>
      <c r="B137" s="105" t="s">
        <v>362</v>
      </c>
      <c r="C137" s="285" t="s">
        <v>1</v>
      </c>
      <c r="D137" s="104"/>
      <c r="E137" s="104"/>
      <c r="F137" s="52"/>
      <c r="G137" s="52"/>
      <c r="H137" s="52"/>
      <c r="I137" s="52"/>
      <c r="J137" s="52"/>
      <c r="K137" s="52"/>
      <c r="L137" s="52"/>
      <c r="M137" s="52"/>
      <c r="N137" s="127" t="s">
        <v>362</v>
      </c>
    </row>
    <row r="138" spans="1:14" ht="16.5" customHeight="1">
      <c r="A138" s="136" t="s">
        <v>162</v>
      </c>
      <c r="B138" s="105" t="s">
        <v>363</v>
      </c>
      <c r="C138" s="285" t="s">
        <v>1</v>
      </c>
      <c r="D138" s="104"/>
      <c r="E138" s="104"/>
      <c r="F138" s="52"/>
      <c r="G138" s="52"/>
      <c r="H138" s="52"/>
      <c r="I138" s="52"/>
      <c r="J138" s="52"/>
      <c r="K138" s="52"/>
      <c r="L138" s="52"/>
      <c r="M138" s="52"/>
      <c r="N138" s="127" t="s">
        <v>363</v>
      </c>
    </row>
    <row r="139" spans="1:14" ht="12.6">
      <c r="A139" s="136" t="s">
        <v>163</v>
      </c>
      <c r="B139" s="105" t="s">
        <v>364</v>
      </c>
      <c r="C139" s="285" t="s">
        <v>1</v>
      </c>
      <c r="D139" s="104"/>
      <c r="E139" s="104"/>
      <c r="F139" s="52"/>
      <c r="G139" s="52"/>
      <c r="H139" s="52"/>
      <c r="I139" s="52"/>
      <c r="J139" s="52"/>
      <c r="K139" s="52"/>
      <c r="L139" s="52"/>
      <c r="M139" s="52"/>
      <c r="N139" s="127" t="s">
        <v>364</v>
      </c>
    </row>
    <row r="140" spans="1:14" ht="12.6">
      <c r="A140" s="136" t="s">
        <v>72</v>
      </c>
      <c r="B140" s="105" t="s">
        <v>365</v>
      </c>
      <c r="C140" s="285" t="s">
        <v>1</v>
      </c>
      <c r="D140" s="104"/>
      <c r="E140" s="104"/>
      <c r="F140" s="52"/>
      <c r="G140" s="52"/>
      <c r="H140" s="52"/>
      <c r="I140" s="52"/>
      <c r="J140" s="52"/>
      <c r="K140" s="52"/>
      <c r="L140" s="52"/>
      <c r="M140" s="52"/>
      <c r="N140" s="127" t="s">
        <v>365</v>
      </c>
    </row>
    <row r="141" spans="1:14" ht="16.5" customHeight="1">
      <c r="A141" s="136" t="s">
        <v>164</v>
      </c>
      <c r="B141" s="105" t="s">
        <v>366</v>
      </c>
      <c r="C141" s="285" t="s">
        <v>1</v>
      </c>
      <c r="D141" s="104"/>
      <c r="E141" s="104"/>
      <c r="F141" s="52"/>
      <c r="G141" s="52"/>
      <c r="H141" s="52"/>
      <c r="I141" s="52"/>
      <c r="J141" s="52"/>
      <c r="K141" s="52"/>
      <c r="L141" s="52"/>
      <c r="M141" s="52"/>
      <c r="N141" s="127" t="s">
        <v>366</v>
      </c>
    </row>
    <row r="142" spans="1:14" ht="16.5" customHeight="1">
      <c r="A142" s="136"/>
      <c r="C142" s="105"/>
      <c r="D142" s="104"/>
      <c r="E142" s="104"/>
      <c r="F142" s="105"/>
      <c r="G142" s="105"/>
      <c r="H142" s="105"/>
      <c r="I142" s="105"/>
      <c r="J142" s="105"/>
      <c r="K142" s="105"/>
      <c r="L142" s="105"/>
      <c r="M142" s="105"/>
    </row>
    <row r="143" spans="1:14" ht="12.6">
      <c r="F143" s="130"/>
      <c r="G143" s="130"/>
      <c r="H143" s="130"/>
      <c r="I143" s="130"/>
      <c r="J143" s="130"/>
      <c r="K143" s="130"/>
      <c r="L143" s="130"/>
      <c r="M143" s="130"/>
    </row>
    <row r="144" spans="1:14" ht="12.6"/>
    <row r="145" ht="12.6"/>
    <row r="146" ht="12.6"/>
    <row r="147" ht="12.6"/>
    <row r="148" ht="12.6"/>
    <row r="149" ht="12.6"/>
    <row r="150" ht="12.6"/>
    <row r="151" ht="12.6"/>
    <row r="152" ht="12.6"/>
    <row r="153" ht="12.6"/>
    <row r="154" ht="12.6"/>
    <row r="155" ht="12.6"/>
    <row r="156" ht="12.6"/>
    <row r="157" ht="12.6"/>
    <row r="158" ht="12.6"/>
    <row r="159" ht="12.6"/>
    <row r="160" ht="12.6"/>
    <row r="161" ht="12.6"/>
    <row r="162" ht="12.6"/>
    <row r="163" ht="12.6"/>
    <row r="164" ht="12.6"/>
    <row r="165" ht="12.6"/>
    <row r="166" ht="12.6"/>
    <row r="167" ht="12.6"/>
    <row r="168" ht="12.6"/>
    <row r="169" ht="12.6"/>
    <row r="170" ht="12.6"/>
    <row r="171" ht="12.6"/>
    <row r="172" ht="12.6"/>
    <row r="173" ht="12.6"/>
    <row r="174" ht="12.6"/>
    <row r="175" ht="12.6"/>
    <row r="176" ht="12.6"/>
    <row r="177" ht="12.6"/>
    <row r="178" ht="12.6"/>
    <row r="179" ht="12.6"/>
    <row r="180" ht="12.6"/>
    <row r="181" ht="12.6"/>
    <row r="182" ht="12.6"/>
    <row r="183" ht="12.6"/>
    <row r="184" ht="12.6"/>
    <row r="185" ht="12.6"/>
    <row r="186" ht="12.6"/>
    <row r="187" ht="12.6"/>
    <row r="188" ht="12.6"/>
    <row r="189" ht="12.6"/>
    <row r="190" ht="12.6"/>
    <row r="191" ht="12.6"/>
    <row r="192" ht="12.6"/>
    <row r="193" ht="12.6"/>
    <row r="194" ht="12.6"/>
    <row r="195" ht="12.6"/>
    <row r="196" ht="12.6"/>
    <row r="197" ht="12.6"/>
    <row r="198" ht="12.6"/>
    <row r="199" ht="12.6"/>
    <row r="200" ht="12.6"/>
    <row r="201" ht="12.6"/>
    <row r="202" ht="12.6"/>
    <row r="203" ht="12.6"/>
    <row r="204" ht="12.6"/>
    <row r="205" ht="12.6"/>
    <row r="206" ht="12.6"/>
    <row r="207" ht="12.6"/>
    <row r="208" ht="12.6"/>
    <row r="209" ht="12.6"/>
    <row r="210" ht="12.6"/>
    <row r="211" ht="12.6"/>
    <row r="212" ht="12.6"/>
    <row r="213" ht="12.6"/>
    <row r="214" ht="12.6"/>
    <row r="215" ht="12.6"/>
    <row r="216" ht="12.6"/>
    <row r="217" ht="12.6"/>
    <row r="218" ht="12.6"/>
    <row r="219" ht="12.6"/>
    <row r="220" ht="12.6"/>
    <row r="221" ht="12.6"/>
    <row r="222" ht="12.6"/>
    <row r="223" ht="12.6"/>
    <row r="224" ht="12.6"/>
    <row r="225" ht="12.6"/>
    <row r="226" ht="12.6"/>
    <row r="227" ht="12.6"/>
    <row r="228" ht="12.6"/>
    <row r="229" ht="12.6"/>
    <row r="230" ht="12.6"/>
    <row r="231" ht="12.6"/>
    <row r="232" ht="12.6"/>
    <row r="233" ht="12.6"/>
    <row r="234" ht="12.6"/>
    <row r="235" ht="12.6"/>
    <row r="236" ht="12.6"/>
    <row r="237" ht="12.6"/>
    <row r="238" ht="12.6"/>
    <row r="239" ht="12.6"/>
    <row r="240" ht="12.6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</sheetData>
  <sheetProtection formatCells="0" formatColumns="0" formatRows="0" insertHyperlinks="0" autoFilter="0" pivotTables="0"/>
  <mergeCells count="3">
    <mergeCell ref="G3:H3"/>
    <mergeCell ref="F7:I7"/>
    <mergeCell ref="E6:J6"/>
  </mergeCells>
  <pageMargins left="0.23622047244094491" right="0.23622047244094491" top="0.39370078740157483" bottom="0.43307086614173229" header="0.19685039370078741" footer="0.19685039370078741"/>
  <pageSetup paperSize="9" scale="38" orientation="portrait" r:id="rId1"/>
  <headerFooter>
    <oddHeader>&amp;C&amp;A</oddHeader>
    <oddFooter>&amp;L&amp;D &amp;T&amp;C&amp;Z&amp;R&amp;F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000047"/>
  <sheetViews>
    <sheetView showGridLines="0" zoomScale="75" zoomScaleNormal="7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26" sqref="E26"/>
    </sheetView>
  </sheetViews>
  <sheetFormatPr defaultColWidth="9" defaultRowHeight="12.6"/>
  <cols>
    <col min="1" max="1" width="34.26953125" style="122" customWidth="1"/>
    <col min="2" max="2" width="12.7265625" style="122" customWidth="1"/>
    <col min="3" max="3" width="7.36328125" style="122" customWidth="1"/>
    <col min="4" max="4" width="15.6328125" style="122" customWidth="1"/>
    <col min="5" max="5" width="8.6328125" style="122" customWidth="1"/>
    <col min="6" max="9" width="10" style="122" customWidth="1"/>
    <col min="10" max="12" width="10.26953125" style="122" bestFit="1" customWidth="1"/>
    <col min="13" max="13" width="11.90625" style="122" customWidth="1"/>
    <col min="14" max="16384" width="9" style="122"/>
  </cols>
  <sheetData>
    <row r="1" spans="1:14" s="140" customFormat="1" ht="16.2">
      <c r="A1" s="139" t="s">
        <v>113</v>
      </c>
      <c r="C1" s="141"/>
      <c r="D1" s="141"/>
      <c r="E1" s="141"/>
    </row>
    <row r="2" spans="1:14" s="140" customFormat="1" ht="16.2">
      <c r="A2" s="139" t="str">
        <f>CompName</f>
        <v>Scottish Power Transmission plc</v>
      </c>
      <c r="C2" s="141"/>
      <c r="D2" s="141"/>
      <c r="E2" s="141"/>
    </row>
    <row r="3" spans="1:14" s="140" customFormat="1">
      <c r="A3" s="142" t="str">
        <f>RegYr</f>
        <v>Regulatory Year ending 31 March 2017</v>
      </c>
      <c r="C3" s="141"/>
      <c r="D3" s="141"/>
      <c r="E3" s="141"/>
    </row>
    <row r="4" spans="1:14" s="140" customFormat="1">
      <c r="A4" s="142"/>
      <c r="C4" s="141"/>
      <c r="D4" s="141"/>
      <c r="E4" s="141"/>
    </row>
    <row r="5" spans="1:14" s="140" customFormat="1">
      <c r="A5" s="142" t="s">
        <v>514</v>
      </c>
      <c r="C5" s="141"/>
      <c r="D5" s="141"/>
      <c r="E5" s="141"/>
    </row>
    <row r="6" spans="1:14" ht="28.5" customHeight="1">
      <c r="A6" s="143" t="s">
        <v>87</v>
      </c>
      <c r="C6" s="114" t="s">
        <v>0</v>
      </c>
      <c r="N6" s="116" t="s">
        <v>104</v>
      </c>
    </row>
    <row r="7" spans="1:14" ht="13.8">
      <c r="B7" s="144"/>
      <c r="C7" s="144"/>
      <c r="D7" s="144"/>
      <c r="E7" s="144"/>
      <c r="F7" s="144"/>
      <c r="G7" s="144"/>
      <c r="H7" s="144"/>
      <c r="I7" s="144"/>
    </row>
    <row r="8" spans="1:14" ht="14.25" customHeight="1">
      <c r="A8" s="132"/>
      <c r="B8" s="129"/>
      <c r="F8" s="125">
        <v>2014</v>
      </c>
      <c r="G8" s="125">
        <v>2015</v>
      </c>
      <c r="H8" s="125">
        <v>2016</v>
      </c>
      <c r="I8" s="125">
        <v>2017</v>
      </c>
      <c r="J8" s="125">
        <v>2018</v>
      </c>
      <c r="K8" s="125">
        <v>2019</v>
      </c>
      <c r="L8" s="125">
        <v>2020</v>
      </c>
      <c r="M8" s="125">
        <v>2021</v>
      </c>
    </row>
    <row r="9" spans="1:14" ht="13.8">
      <c r="B9" s="129"/>
      <c r="C9" s="272"/>
      <c r="F9" s="129"/>
      <c r="G9" s="129"/>
      <c r="H9" s="129"/>
      <c r="I9" s="129"/>
    </row>
    <row r="10" spans="1:14">
      <c r="A10" s="122" t="s">
        <v>18</v>
      </c>
      <c r="B10" s="145" t="s">
        <v>107</v>
      </c>
      <c r="C10" s="272" t="s">
        <v>1</v>
      </c>
      <c r="F10" s="169">
        <f t="shared" ref="F10:M10" si="0">PU</f>
        <v>225.12200000000001</v>
      </c>
      <c r="G10" s="169">
        <f t="shared" si="0"/>
        <v>236.95</v>
      </c>
      <c r="H10" s="169">
        <f t="shared" si="0"/>
        <v>258.63299999999998</v>
      </c>
      <c r="I10" s="169">
        <f t="shared" si="0"/>
        <v>244.655</v>
      </c>
      <c r="J10" s="169">
        <f t="shared" si="0"/>
        <v>249.43899999999999</v>
      </c>
      <c r="K10" s="169">
        <f t="shared" si="0"/>
        <v>253.065</v>
      </c>
      <c r="L10" s="169">
        <f t="shared" si="0"/>
        <v>256.44499999999999</v>
      </c>
      <c r="M10" s="169">
        <f t="shared" si="0"/>
        <v>254.238</v>
      </c>
      <c r="N10" s="132" t="s">
        <v>107</v>
      </c>
    </row>
    <row r="11" spans="1:14">
      <c r="A11" s="122" t="s">
        <v>17</v>
      </c>
      <c r="B11" s="145" t="s">
        <v>294</v>
      </c>
      <c r="C11" s="272" t="s">
        <v>1</v>
      </c>
      <c r="F11" s="248"/>
      <c r="G11" s="169">
        <f t="shared" ref="G11:M11" si="1">MOD</f>
        <v>6.2</v>
      </c>
      <c r="H11" s="169">
        <f t="shared" si="1"/>
        <v>-20.3</v>
      </c>
      <c r="I11" s="169">
        <f t="shared" si="1"/>
        <v>-21.8</v>
      </c>
      <c r="J11" s="169">
        <f t="shared" si="1"/>
        <v>-13.5</v>
      </c>
      <c r="K11" s="169">
        <f t="shared" si="1"/>
        <v>0</v>
      </c>
      <c r="L11" s="169">
        <f t="shared" si="1"/>
        <v>0</v>
      </c>
      <c r="M11" s="169">
        <f t="shared" si="1"/>
        <v>0</v>
      </c>
      <c r="N11" s="132" t="s">
        <v>294</v>
      </c>
    </row>
    <row r="12" spans="1:14">
      <c r="A12" s="122" t="s">
        <v>70</v>
      </c>
      <c r="B12" s="145" t="s">
        <v>338</v>
      </c>
      <c r="C12" s="272" t="s">
        <v>1</v>
      </c>
      <c r="F12" s="248"/>
      <c r="G12" s="169">
        <f t="shared" ref="G12:M12" si="2">G41</f>
        <v>-6.7868323235976205E-2</v>
      </c>
      <c r="H12" s="169">
        <f t="shared" si="2"/>
        <v>0.93388015563242766</v>
      </c>
      <c r="I12" s="169">
        <f t="shared" si="2"/>
        <v>-3.5951501564083563</v>
      </c>
      <c r="J12" s="169">
        <f t="shared" si="2"/>
        <v>-5.2613304251651272</v>
      </c>
      <c r="K12" s="169">
        <f t="shared" si="2"/>
        <v>-0.89469853086495243</v>
      </c>
      <c r="L12" s="169">
        <f t="shared" si="2"/>
        <v>3.1763921742161116</v>
      </c>
      <c r="M12" s="169">
        <f t="shared" si="2"/>
        <v>19.969331532723348</v>
      </c>
      <c r="N12" s="132" t="s">
        <v>338</v>
      </c>
    </row>
    <row r="13" spans="1:14">
      <c r="A13" s="122" t="s">
        <v>61</v>
      </c>
      <c r="B13" s="145" t="s">
        <v>117</v>
      </c>
      <c r="C13" s="272" t="s">
        <v>118</v>
      </c>
      <c r="F13" s="169">
        <f t="shared" ref="F13:M13" si="3">RPIF</f>
        <v>1.163</v>
      </c>
      <c r="G13" s="169">
        <f t="shared" si="3"/>
        <v>1.2050000000000001</v>
      </c>
      <c r="H13" s="169">
        <f t="shared" si="3"/>
        <v>1.2270000000000001</v>
      </c>
      <c r="I13" s="169">
        <f t="shared" si="3"/>
        <v>1.2330000000000001</v>
      </c>
      <c r="J13" s="169">
        <f t="shared" si="3"/>
        <v>1.2709999999999999</v>
      </c>
      <c r="K13" s="169">
        <f t="shared" si="3"/>
        <v>1.228</v>
      </c>
      <c r="L13" s="169">
        <f t="shared" si="3"/>
        <v>1.2869999999999999</v>
      </c>
      <c r="M13" s="169">
        <f t="shared" si="3"/>
        <v>1.323</v>
      </c>
      <c r="N13" s="132" t="s">
        <v>117</v>
      </c>
    </row>
    <row r="14" spans="1:14">
      <c r="A14" s="122" t="s">
        <v>14</v>
      </c>
      <c r="B14" s="145" t="s">
        <v>307</v>
      </c>
      <c r="C14" s="272" t="s">
        <v>1</v>
      </c>
      <c r="F14" s="323">
        <f>SUM(F10:F12)*F13</f>
        <v>261.81688600000001</v>
      </c>
      <c r="G14" s="323">
        <f t="shared" ref="G14:M14" si="4">SUM(G10:G12)*G13</f>
        <v>292.91396867050065</v>
      </c>
      <c r="H14" s="323">
        <f t="shared" si="4"/>
        <v>293.58046195096097</v>
      </c>
      <c r="I14" s="323">
        <f t="shared" si="4"/>
        <v>270.34739485714852</v>
      </c>
      <c r="J14" s="249">
        <f t="shared" si="4"/>
        <v>293.19131802961505</v>
      </c>
      <c r="K14" s="249">
        <f t="shared" si="4"/>
        <v>309.66513020409781</v>
      </c>
      <c r="L14" s="249">
        <f t="shared" si="4"/>
        <v>334.13273172821613</v>
      </c>
      <c r="M14" s="249">
        <f t="shared" si="4"/>
        <v>362.77629961779297</v>
      </c>
      <c r="N14" s="132" t="s">
        <v>307</v>
      </c>
    </row>
    <row r="15" spans="1:14">
      <c r="C15" s="272"/>
      <c r="F15" s="132"/>
      <c r="G15" s="132"/>
      <c r="H15" s="132"/>
      <c r="I15" s="132"/>
    </row>
    <row r="16" spans="1:14">
      <c r="C16" s="272"/>
    </row>
    <row r="17" spans="1:14" ht="18">
      <c r="A17" s="124" t="s">
        <v>447</v>
      </c>
      <c r="C17" s="272"/>
      <c r="F17" s="143" t="s">
        <v>88</v>
      </c>
      <c r="K17" s="132"/>
    </row>
    <row r="18" spans="1:14">
      <c r="C18" s="272"/>
    </row>
    <row r="19" spans="1:14">
      <c r="C19" s="273"/>
      <c r="D19" s="148"/>
      <c r="E19" s="148"/>
    </row>
    <row r="20" spans="1:14" ht="14.4">
      <c r="C20" s="272"/>
      <c r="D20" s="125">
        <v>2012</v>
      </c>
      <c r="E20" s="125">
        <v>2013</v>
      </c>
      <c r="F20" s="125">
        <v>2014</v>
      </c>
      <c r="G20" s="125">
        <v>2015</v>
      </c>
      <c r="H20" s="125">
        <v>2016</v>
      </c>
      <c r="I20" s="125">
        <v>2017</v>
      </c>
      <c r="J20" s="125">
        <v>2018</v>
      </c>
      <c r="K20" s="125">
        <v>2019</v>
      </c>
      <c r="L20" s="125">
        <v>2020</v>
      </c>
      <c r="M20" s="125">
        <v>2021</v>
      </c>
    </row>
    <row r="21" spans="1:14">
      <c r="B21" s="122" t="s">
        <v>339</v>
      </c>
      <c r="C21" s="272" t="s">
        <v>105</v>
      </c>
      <c r="D21" s="247">
        <f t="shared" ref="D21:M21" si="5">RPIA</f>
        <v>1.1000000000000001</v>
      </c>
      <c r="E21" s="247">
        <f t="shared" si="5"/>
        <v>1.1339999999999999</v>
      </c>
      <c r="F21" s="247">
        <f t="shared" si="5"/>
        <v>1.167</v>
      </c>
      <c r="G21" s="247">
        <f t="shared" si="5"/>
        <v>1.19</v>
      </c>
      <c r="H21" s="247">
        <f t="shared" si="5"/>
        <v>1.202</v>
      </c>
      <c r="I21" s="247">
        <f t="shared" si="5"/>
        <v>1.228</v>
      </c>
      <c r="J21" s="247">
        <f t="shared" si="5"/>
        <v>1.2869999999999999</v>
      </c>
      <c r="K21" s="247">
        <f t="shared" si="5"/>
        <v>1.323</v>
      </c>
      <c r="L21" s="247">
        <f t="shared" si="5"/>
        <v>1.36</v>
      </c>
      <c r="M21" s="247">
        <f t="shared" si="5"/>
        <v>1.3979999999999999</v>
      </c>
      <c r="N21" s="132" t="s">
        <v>124</v>
      </c>
    </row>
    <row r="22" spans="1:14">
      <c r="B22" s="122" t="s">
        <v>340</v>
      </c>
      <c r="C22" s="122" t="s">
        <v>168</v>
      </c>
      <c r="E22" s="138">
        <f>0.75*'R5 Input page'!D16+0.25*'R5 Input page'!E16</f>
        <v>0.03</v>
      </c>
      <c r="F22" s="138">
        <f>0.75*'R5 Input page'!E16+0.25*'R5 Input page'!F16</f>
        <v>2.6500000000000003E-2</v>
      </c>
      <c r="G22" s="246"/>
      <c r="H22" s="246"/>
      <c r="I22" s="246"/>
      <c r="J22" s="246"/>
      <c r="K22" s="246"/>
      <c r="L22" s="246"/>
      <c r="M22" s="246"/>
    </row>
    <row r="23" spans="1:14">
      <c r="B23" s="122" t="s">
        <v>340</v>
      </c>
      <c r="C23" s="122" t="s">
        <v>169</v>
      </c>
      <c r="E23" s="246"/>
      <c r="F23" s="138">
        <f>0.75*'R5 Input page'!E17+0.25*'R5 Input page'!F17</f>
        <v>3.1E-2</v>
      </c>
      <c r="G23" s="138">
        <f>0.75*'R5 Input page'!F17+0.25*'R5 Input page'!G17</f>
        <v>3.075E-2</v>
      </c>
      <c r="H23" s="246"/>
      <c r="I23" s="246"/>
      <c r="J23" s="246"/>
      <c r="K23" s="246"/>
      <c r="L23" s="246"/>
      <c r="M23" s="246"/>
    </row>
    <row r="24" spans="1:14">
      <c r="B24" s="122" t="s">
        <v>340</v>
      </c>
      <c r="C24" s="122" t="s">
        <v>170</v>
      </c>
      <c r="E24" s="246"/>
      <c r="F24" s="246"/>
      <c r="G24" s="324">
        <f>0.75*'R5 Input page'!F18+0.25*'R5 Input page'!G18</f>
        <v>2.4750000000000001E-2</v>
      </c>
      <c r="H24" s="324">
        <f>0.75*'R5 Input page'!G18+0.25*'R5 Input page'!H18</f>
        <v>2.6000000000000002E-2</v>
      </c>
      <c r="I24" s="325"/>
      <c r="J24" s="325"/>
      <c r="K24" s="325"/>
      <c r="L24" s="325"/>
      <c r="M24" s="325"/>
    </row>
    <row r="25" spans="1:14">
      <c r="B25" s="122" t="s">
        <v>340</v>
      </c>
      <c r="C25" s="122" t="s">
        <v>171</v>
      </c>
      <c r="E25" s="246"/>
      <c r="F25" s="246"/>
      <c r="G25" s="325"/>
      <c r="H25" s="324">
        <f>0.75*'R5 Input page'!G19+0.25*'R5 Input page'!H19</f>
        <v>1.2750000000000001E-2</v>
      </c>
      <c r="I25" s="324">
        <f>0.75*'R5 Input page'!H19+0.25*'R5 Input page'!I19</f>
        <v>2.325E-2</v>
      </c>
      <c r="J25" s="325"/>
      <c r="K25" s="325"/>
      <c r="L25" s="325"/>
      <c r="M25" s="325"/>
    </row>
    <row r="26" spans="1:14">
      <c r="B26" s="122" t="s">
        <v>340</v>
      </c>
      <c r="C26" s="122" t="s">
        <v>172</v>
      </c>
      <c r="E26" s="246"/>
      <c r="F26" s="246"/>
      <c r="G26" s="325"/>
      <c r="H26" s="325"/>
      <c r="I26" s="324">
        <f>0.75*'R5 Input page'!H20+0.25*'R5 Input page'!I20</f>
        <v>2.2249999999999999E-2</v>
      </c>
      <c r="J26" s="324">
        <f>0.75*'R5 Input page'!I20+0.25*'R5 Input page'!J20</f>
        <v>3.4000000000000002E-2</v>
      </c>
      <c r="K26" s="325"/>
      <c r="L26" s="325"/>
      <c r="M26" s="325"/>
    </row>
    <row r="27" spans="1:14">
      <c r="B27" s="122" t="s">
        <v>340</v>
      </c>
      <c r="C27" s="122" t="s">
        <v>173</v>
      </c>
      <c r="E27" s="246"/>
      <c r="F27" s="246"/>
      <c r="G27" s="325"/>
      <c r="H27" s="325"/>
      <c r="I27" s="325"/>
      <c r="J27" s="324">
        <f>0.75*'R5 Input page'!I21+0.25*'R5 Input page'!J21</f>
        <v>0</v>
      </c>
      <c r="K27" s="324">
        <f>0.75*'R5 Input page'!J21+0.25*'R5 Input page'!K21</f>
        <v>0</v>
      </c>
      <c r="L27" s="325"/>
      <c r="M27" s="325"/>
    </row>
    <row r="28" spans="1:14">
      <c r="B28" s="122" t="s">
        <v>340</v>
      </c>
      <c r="C28" s="122" t="s">
        <v>174</v>
      </c>
      <c r="E28" s="246"/>
      <c r="F28" s="246"/>
      <c r="G28" s="325"/>
      <c r="H28" s="325"/>
      <c r="I28" s="325"/>
      <c r="J28" s="325"/>
      <c r="K28" s="324">
        <f>0.75*'R5 Input page'!J22+0.25*'R5 Input page'!K22</f>
        <v>0</v>
      </c>
      <c r="L28" s="324">
        <f>0.75*'R5 Input page'!K22+0.25*'R5 Input page'!L22</f>
        <v>0</v>
      </c>
      <c r="M28" s="325"/>
    </row>
    <row r="29" spans="1:14">
      <c r="B29" s="122" t="s">
        <v>340</v>
      </c>
      <c r="C29" s="122" t="s">
        <v>175</v>
      </c>
      <c r="E29" s="246"/>
      <c r="F29" s="246"/>
      <c r="G29" s="325"/>
      <c r="H29" s="325"/>
      <c r="I29" s="325"/>
      <c r="J29" s="325"/>
      <c r="K29" s="325"/>
      <c r="L29" s="324">
        <f>0.75*'R5 Input page'!K23+0.25*'R5 Input page'!L23</f>
        <v>0</v>
      </c>
      <c r="M29" s="324">
        <f>0.75*'R5 Input page'!L23+0.25*'R5 Input page'!M23</f>
        <v>0</v>
      </c>
    </row>
    <row r="30" spans="1:14">
      <c r="B30" s="122" t="s">
        <v>341</v>
      </c>
      <c r="E30" s="381">
        <v>1.1344000000000001</v>
      </c>
      <c r="F30" s="247">
        <f>ROUND(D21*(1+$E$22)*(1+$F$22),3)</f>
        <v>1.163</v>
      </c>
      <c r="G30" s="247">
        <f>ROUND(E21*(1+$F$23)*(1+$G$23),3)</f>
        <v>1.2050000000000001</v>
      </c>
      <c r="H30" s="247">
        <f>ROUND(F21*(1+$G$24)*(1+$H$24),3)</f>
        <v>1.2270000000000001</v>
      </c>
      <c r="I30" s="247">
        <f>ROUND(G21*(1+$H$25)*(1+$I$25),3)</f>
        <v>1.2330000000000001</v>
      </c>
      <c r="J30" s="247">
        <f>ROUND(H21*(1+$I$26)*(1+$J$26),3)</f>
        <v>1.2709999999999999</v>
      </c>
      <c r="K30" s="247">
        <f>ROUND(I21*(1+$J$27)*(1+$K$27),3)</f>
        <v>1.228</v>
      </c>
      <c r="L30" s="247">
        <f>ROUND(J21*(1+$K$28)*(1+$L$28),3)</f>
        <v>1.2869999999999999</v>
      </c>
      <c r="M30" s="247">
        <f>ROUND(K21*(1+$L$29)*(1+$M$29),3)</f>
        <v>1.323</v>
      </c>
      <c r="N30" s="149" t="s">
        <v>117</v>
      </c>
    </row>
    <row r="31" spans="1:14">
      <c r="G31" s="132"/>
      <c r="H31" s="132"/>
      <c r="I31" s="132"/>
    </row>
    <row r="34" spans="1:14">
      <c r="A34" s="124" t="s">
        <v>38</v>
      </c>
    </row>
    <row r="35" spans="1:14">
      <c r="A35" s="124" t="s">
        <v>448</v>
      </c>
      <c r="M35" s="132"/>
    </row>
    <row r="37" spans="1:14">
      <c r="C37" s="272"/>
    </row>
    <row r="38" spans="1:14" ht="14.4">
      <c r="C38" s="272"/>
      <c r="E38" s="125">
        <v>2013</v>
      </c>
      <c r="F38" s="125">
        <v>2014</v>
      </c>
      <c r="G38" s="125">
        <v>2015</v>
      </c>
      <c r="H38" s="125">
        <v>2016</v>
      </c>
      <c r="I38" s="125">
        <v>2017</v>
      </c>
      <c r="J38" s="125">
        <v>2018</v>
      </c>
      <c r="K38" s="125">
        <v>2019</v>
      </c>
      <c r="L38" s="125">
        <v>2020</v>
      </c>
      <c r="M38" s="125">
        <v>2021</v>
      </c>
    </row>
    <row r="39" spans="1:14">
      <c r="A39" s="122" t="s">
        <v>39</v>
      </c>
      <c r="B39" s="122" t="s">
        <v>342</v>
      </c>
      <c r="C39" s="272" t="s">
        <v>1</v>
      </c>
      <c r="E39" s="169">
        <f>E59</f>
        <v>175.33582510578276</v>
      </c>
      <c r="F39" s="169">
        <f t="shared" ref="F39:M39" si="6">REV</f>
        <v>248.52340161650903</v>
      </c>
      <c r="G39" s="169">
        <f t="shared" si="6"/>
        <v>260.674819676764</v>
      </c>
      <c r="H39" s="169">
        <f t="shared" si="6"/>
        <v>231.62196976108692</v>
      </c>
      <c r="I39" s="169">
        <f t="shared" si="6"/>
        <v>200.80001132512646</v>
      </c>
      <c r="J39" s="169">
        <f t="shared" si="6"/>
        <v>232.81003820429731</v>
      </c>
      <c r="K39" s="169">
        <f t="shared" si="6"/>
        <v>253.40126969373506</v>
      </c>
      <c r="L39" s="169">
        <f t="shared" si="6"/>
        <v>259.43556172621612</v>
      </c>
      <c r="M39" s="169">
        <f t="shared" si="6"/>
        <v>268.47693308472333</v>
      </c>
      <c r="N39" s="132" t="s">
        <v>342</v>
      </c>
    </row>
    <row r="40" spans="1:14">
      <c r="A40" s="122" t="s">
        <v>40</v>
      </c>
      <c r="B40" s="122" t="s">
        <v>128</v>
      </c>
      <c r="C40" s="293" t="s">
        <v>118</v>
      </c>
      <c r="E40" s="250">
        <f>E85</f>
        <v>1.0475000000000001</v>
      </c>
      <c r="F40" s="250">
        <f>F85</f>
        <v>1.0476000000000001</v>
      </c>
      <c r="G40" s="250">
        <f t="shared" ref="G40:M40" si="7">G85</f>
        <v>1.0465</v>
      </c>
      <c r="H40" s="250">
        <f t="shared" si="7"/>
        <v>1.045525</v>
      </c>
      <c r="I40" s="250">
        <f t="shared" si="7"/>
        <v>1.0445899999999999</v>
      </c>
      <c r="J40" s="250">
        <f t="shared" si="7"/>
        <v>1.0476000000000001</v>
      </c>
      <c r="K40" s="250">
        <f t="shared" si="7"/>
        <v>1.0476000000000001</v>
      </c>
      <c r="L40" s="250">
        <f t="shared" si="7"/>
        <v>1.0476000000000001</v>
      </c>
      <c r="M40" s="250">
        <f t="shared" si="7"/>
        <v>1.0476000000000001</v>
      </c>
      <c r="N40" s="149" t="s">
        <v>128</v>
      </c>
    </row>
    <row r="41" spans="1:14">
      <c r="A41" s="122" t="s">
        <v>70</v>
      </c>
      <c r="B41" s="145" t="s">
        <v>338</v>
      </c>
      <c r="C41" s="293" t="s">
        <v>1</v>
      </c>
      <c r="E41" s="248"/>
      <c r="F41" s="248"/>
      <c r="G41" s="347">
        <f>IFERROR(((E$21-E$30)/E$21)*E$39*E$40*F$40,"ERROR")</f>
        <v>-6.7868323235976205E-2</v>
      </c>
      <c r="H41" s="251">
        <f>IFERROR(((F$21-F$30)/F$21)*F$39*F$40*G$40,"ERROR")</f>
        <v>0.93388015563242766</v>
      </c>
      <c r="I41" s="251">
        <f t="shared" ref="I41:M41" si="8">IFERROR(((G$21-G$30)/G$21)*G$39*G$40*H$40,"ERROR")</f>
        <v>-3.5951501564083563</v>
      </c>
      <c r="J41" s="251">
        <f t="shared" si="8"/>
        <v>-5.2613304251651272</v>
      </c>
      <c r="K41" s="251">
        <f t="shared" si="8"/>
        <v>-0.89469853086495243</v>
      </c>
      <c r="L41" s="251">
        <f t="shared" si="8"/>
        <v>3.1763921742161116</v>
      </c>
      <c r="M41" s="251">
        <f t="shared" si="8"/>
        <v>19.969331532723348</v>
      </c>
      <c r="N41" s="132" t="s">
        <v>338</v>
      </c>
    </row>
    <row r="42" spans="1:14">
      <c r="C42" s="272"/>
      <c r="F42" s="132"/>
      <c r="G42" s="132"/>
      <c r="H42" s="132"/>
      <c r="I42" s="132"/>
    </row>
    <row r="43" spans="1:14">
      <c r="C43" s="272"/>
    </row>
    <row r="44" spans="1:14">
      <c r="B44" s="132"/>
      <c r="C44" s="272"/>
    </row>
    <row r="45" spans="1:14">
      <c r="B45" s="132"/>
      <c r="C45" s="272"/>
    </row>
    <row r="46" spans="1:14">
      <c r="A46" s="124" t="s">
        <v>257</v>
      </c>
      <c r="B46" s="132"/>
      <c r="C46" s="272"/>
    </row>
    <row r="47" spans="1:14">
      <c r="A47" s="124"/>
      <c r="B47" s="132"/>
      <c r="C47" s="272"/>
    </row>
    <row r="48" spans="1:14">
      <c r="A48" s="124" t="s">
        <v>483</v>
      </c>
      <c r="B48" s="132"/>
      <c r="C48" s="272"/>
    </row>
    <row r="49" spans="1:7">
      <c r="A49" s="124"/>
      <c r="B49" s="132"/>
      <c r="C49" s="272"/>
      <c r="D49" s="122" t="s">
        <v>450</v>
      </c>
    </row>
    <row r="50" spans="1:7">
      <c r="A50" s="124"/>
      <c r="B50" s="132"/>
      <c r="C50" s="274"/>
    </row>
    <row r="51" spans="1:7">
      <c r="A51" s="124"/>
      <c r="B51" s="132"/>
      <c r="C51" s="272"/>
    </row>
    <row r="52" spans="1:7" ht="14.4">
      <c r="A52" s="124"/>
      <c r="B52" s="145"/>
      <c r="C52" s="272"/>
      <c r="E52" s="125">
        <v>2013</v>
      </c>
      <c r="F52" s="305"/>
    </row>
    <row r="53" spans="1:7">
      <c r="A53" s="150" t="s">
        <v>451</v>
      </c>
      <c r="B53" s="145" t="s">
        <v>452</v>
      </c>
      <c r="C53" s="294" t="s">
        <v>1</v>
      </c>
      <c r="E53" s="201">
        <f>'R5 Input page'!E32</f>
        <v>200.79</v>
      </c>
      <c r="F53" s="252"/>
    </row>
    <row r="54" spans="1:7" ht="25.2">
      <c r="A54" s="253" t="s">
        <v>453</v>
      </c>
      <c r="B54" s="145" t="s">
        <v>454</v>
      </c>
      <c r="C54" s="294" t="s">
        <v>1</v>
      </c>
      <c r="E54" s="201">
        <f>'R5 Input page'!E35</f>
        <v>0.91</v>
      </c>
      <c r="F54" s="252"/>
    </row>
    <row r="55" spans="1:7">
      <c r="A55" s="122" t="s">
        <v>455</v>
      </c>
      <c r="B55" s="145" t="s">
        <v>456</v>
      </c>
      <c r="C55" s="294" t="s">
        <v>1</v>
      </c>
      <c r="E55" s="201">
        <f>'R5 Input page'!E37</f>
        <v>17.760000000000002</v>
      </c>
      <c r="F55" s="252"/>
    </row>
    <row r="56" spans="1:7" ht="25.2">
      <c r="A56" s="254" t="s">
        <v>457</v>
      </c>
      <c r="B56" s="145" t="s">
        <v>458</v>
      </c>
      <c r="C56" s="294" t="s">
        <v>1</v>
      </c>
      <c r="E56" s="201">
        <f>'R5 Input page'!E36</f>
        <v>6.78</v>
      </c>
      <c r="F56" s="252"/>
      <c r="G56" s="132"/>
    </row>
    <row r="57" spans="1:7">
      <c r="A57" s="122" t="s">
        <v>459</v>
      </c>
      <c r="B57" s="145" t="s">
        <v>460</v>
      </c>
      <c r="C57" s="294" t="s">
        <v>118</v>
      </c>
      <c r="E57" s="201">
        <f>RPIF</f>
        <v>1.1344000000000001</v>
      </c>
      <c r="F57" s="252"/>
    </row>
    <row r="58" spans="1:7">
      <c r="A58" s="150" t="s">
        <v>461</v>
      </c>
      <c r="B58" s="145" t="s">
        <v>462</v>
      </c>
      <c r="C58" s="294" t="s">
        <v>1</v>
      </c>
      <c r="E58" s="201">
        <f>'R5 Input page'!E38</f>
        <v>24.1</v>
      </c>
      <c r="F58" s="252"/>
    </row>
    <row r="59" spans="1:7">
      <c r="A59" s="124"/>
      <c r="B59" s="145" t="s">
        <v>342</v>
      </c>
      <c r="C59" s="294" t="s">
        <v>1</v>
      </c>
      <c r="E59" s="255">
        <f>((E53+E54+E55+E56)/E57)-E58</f>
        <v>175.33582510578276</v>
      </c>
    </row>
    <row r="60" spans="1:7">
      <c r="A60" s="124"/>
      <c r="B60" s="132"/>
      <c r="C60" s="272"/>
      <c r="E60" s="132"/>
    </row>
    <row r="61" spans="1:7">
      <c r="A61" s="124"/>
      <c r="B61" s="132"/>
      <c r="C61" s="272"/>
    </row>
    <row r="62" spans="1:7">
      <c r="A62" s="124"/>
      <c r="B62" s="132"/>
      <c r="C62" s="272"/>
    </row>
    <row r="63" spans="1:7">
      <c r="A63" s="124"/>
      <c r="B63" s="132"/>
      <c r="C63" s="272"/>
      <c r="D63" s="122" t="s">
        <v>470</v>
      </c>
    </row>
    <row r="64" spans="1:7">
      <c r="B64" s="132"/>
      <c r="C64" s="272"/>
      <c r="F64" s="132"/>
    </row>
    <row r="65" spans="1:14">
      <c r="B65" s="132"/>
      <c r="C65" s="272"/>
    </row>
    <row r="66" spans="1:14">
      <c r="A66" s="124" t="s">
        <v>449</v>
      </c>
      <c r="B66" s="132"/>
      <c r="C66" s="272"/>
      <c r="E66" s="132"/>
    </row>
    <row r="67" spans="1:14">
      <c r="B67" s="132"/>
      <c r="C67" s="272"/>
    </row>
    <row r="68" spans="1:14" ht="14.4">
      <c r="B68" s="132"/>
      <c r="C68" s="272"/>
      <c r="E68" s="125">
        <v>2013</v>
      </c>
      <c r="F68" s="125">
        <v>2014</v>
      </c>
      <c r="G68" s="125">
        <v>2015</v>
      </c>
      <c r="H68" s="125">
        <v>2016</v>
      </c>
      <c r="I68" s="125">
        <v>2017</v>
      </c>
      <c r="J68" s="125">
        <v>2018</v>
      </c>
      <c r="K68" s="125">
        <v>2019</v>
      </c>
      <c r="L68" s="125">
        <v>2020</v>
      </c>
      <c r="M68" s="125">
        <v>2021</v>
      </c>
    </row>
    <row r="69" spans="1:14">
      <c r="A69" s="122" t="s">
        <v>14</v>
      </c>
      <c r="B69" s="145" t="s">
        <v>463</v>
      </c>
      <c r="C69" s="272" t="s">
        <v>1</v>
      </c>
      <c r="E69" s="305"/>
      <c r="F69" s="201">
        <f t="shared" ref="F69:M69" si="9">BR</f>
        <v>261.81688600000001</v>
      </c>
      <c r="G69" s="201">
        <f t="shared" si="9"/>
        <v>292.91396867050065</v>
      </c>
      <c r="H69" s="201">
        <f t="shared" si="9"/>
        <v>293.58046195096097</v>
      </c>
      <c r="I69" s="201">
        <f t="shared" si="9"/>
        <v>270.34739485714852</v>
      </c>
      <c r="J69" s="201">
        <f t="shared" si="9"/>
        <v>293.19131802961505</v>
      </c>
      <c r="K69" s="201">
        <f t="shared" si="9"/>
        <v>309.66513020409781</v>
      </c>
      <c r="L69" s="201">
        <f t="shared" si="9"/>
        <v>334.13273172821613</v>
      </c>
      <c r="M69" s="201">
        <f t="shared" si="9"/>
        <v>362.77629961779297</v>
      </c>
      <c r="N69" s="132" t="s">
        <v>307</v>
      </c>
    </row>
    <row r="70" spans="1:14">
      <c r="A70" s="122" t="s">
        <v>20</v>
      </c>
      <c r="B70" s="145" t="s">
        <v>464</v>
      </c>
      <c r="C70" s="272" t="s">
        <v>1</v>
      </c>
      <c r="E70" s="305"/>
      <c r="F70" s="257"/>
      <c r="G70" s="312"/>
      <c r="H70" s="201">
        <f t="shared" ref="H70:M70" si="10">RBt</f>
        <v>-32.418754657380006</v>
      </c>
      <c r="I70" s="201">
        <f t="shared" si="10"/>
        <v>-32.512755172511255</v>
      </c>
      <c r="J70" s="201">
        <f t="shared" si="10"/>
        <v>-33.453601476598223</v>
      </c>
      <c r="K70" s="201">
        <f t="shared" si="10"/>
        <v>-32.385959101483202</v>
      </c>
      <c r="L70" s="201">
        <f t="shared" si="10"/>
        <v>-34.039766238192001</v>
      </c>
      <c r="M70" s="201">
        <f t="shared" si="10"/>
        <v>-34.991927531568003</v>
      </c>
      <c r="N70" s="132" t="s">
        <v>336</v>
      </c>
    </row>
    <row r="71" spans="1:14" hidden="1">
      <c r="B71" s="145"/>
      <c r="C71" s="275"/>
      <c r="D71" s="145"/>
      <c r="E71" s="305"/>
      <c r="F71" s="258"/>
      <c r="G71" s="313"/>
      <c r="H71" s="258"/>
      <c r="I71" s="258"/>
      <c r="J71" s="258"/>
      <c r="K71" s="258"/>
      <c r="L71" s="258"/>
      <c r="M71" s="258"/>
      <c r="N71" s="132"/>
    </row>
    <row r="72" spans="1:14">
      <c r="A72" s="122" t="s">
        <v>22</v>
      </c>
      <c r="B72" s="145" t="s">
        <v>465</v>
      </c>
      <c r="C72" s="272" t="s">
        <v>1</v>
      </c>
      <c r="E72" s="305"/>
      <c r="F72" s="257"/>
      <c r="G72" s="201">
        <f t="shared" ref="G72:M72" si="11">TPD</f>
        <v>0</v>
      </c>
      <c r="H72" s="201">
        <f t="shared" si="11"/>
        <v>0</v>
      </c>
      <c r="I72" s="201">
        <f t="shared" si="11"/>
        <v>0</v>
      </c>
      <c r="J72" s="201">
        <f t="shared" si="11"/>
        <v>0</v>
      </c>
      <c r="K72" s="201">
        <f t="shared" si="11"/>
        <v>0</v>
      </c>
      <c r="L72" s="201">
        <f t="shared" si="11"/>
        <v>0</v>
      </c>
      <c r="M72" s="201">
        <f t="shared" si="11"/>
        <v>0</v>
      </c>
      <c r="N72" s="132" t="s">
        <v>131</v>
      </c>
    </row>
    <row r="73" spans="1:14" hidden="1">
      <c r="B73" s="145"/>
      <c r="C73" s="272"/>
      <c r="E73" s="305"/>
      <c r="F73" s="257"/>
      <c r="G73" s="312"/>
      <c r="H73" s="257"/>
      <c r="I73" s="257"/>
      <c r="J73" s="257"/>
      <c r="K73" s="257"/>
      <c r="L73" s="257"/>
      <c r="M73" s="257"/>
      <c r="N73" s="132"/>
    </row>
    <row r="74" spans="1:14">
      <c r="A74" s="122" t="s">
        <v>28</v>
      </c>
      <c r="B74" s="122" t="s">
        <v>25</v>
      </c>
      <c r="C74" s="272" t="s">
        <v>1</v>
      </c>
      <c r="E74" s="305"/>
      <c r="F74" s="257"/>
      <c r="G74" s="312"/>
      <c r="H74" s="201">
        <f t="shared" ref="H74:M74" si="12">SFI</f>
        <v>0</v>
      </c>
      <c r="I74" s="201">
        <f t="shared" si="12"/>
        <v>0</v>
      </c>
      <c r="J74" s="201">
        <f t="shared" si="12"/>
        <v>0</v>
      </c>
      <c r="K74" s="201">
        <f t="shared" si="12"/>
        <v>0</v>
      </c>
      <c r="L74" s="201">
        <f t="shared" si="12"/>
        <v>0</v>
      </c>
      <c r="M74" s="201">
        <f t="shared" si="12"/>
        <v>0</v>
      </c>
      <c r="N74" s="132" t="s">
        <v>225</v>
      </c>
    </row>
    <row r="75" spans="1:14">
      <c r="A75" s="122" t="s">
        <v>260</v>
      </c>
      <c r="B75" s="145" t="s">
        <v>466</v>
      </c>
      <c r="C75" s="272" t="s">
        <v>1</v>
      </c>
      <c r="E75" s="305"/>
      <c r="F75" s="201">
        <f t="shared" ref="F75:M75" si="13">RI</f>
        <v>1.0039499999999999</v>
      </c>
      <c r="G75" s="312"/>
      <c r="H75" s="201">
        <f t="shared" si="13"/>
        <v>3.1445685392727274</v>
      </c>
      <c r="I75" s="201">
        <f t="shared" si="13"/>
        <v>3.0738462792436705</v>
      </c>
      <c r="J75" s="201">
        <f t="shared" si="13"/>
        <v>3.1232615486450621</v>
      </c>
      <c r="K75" s="201">
        <f t="shared" si="13"/>
        <v>3.023585393292</v>
      </c>
      <c r="L75" s="201">
        <f t="shared" si="13"/>
        <v>2.5423891796160003</v>
      </c>
      <c r="M75" s="201">
        <f t="shared" si="13"/>
        <v>2.6135049608640006</v>
      </c>
      <c r="N75" s="132" t="s">
        <v>259</v>
      </c>
    </row>
    <row r="76" spans="1:14">
      <c r="A76" s="122" t="s">
        <v>267</v>
      </c>
      <c r="B76" s="145" t="s">
        <v>467</v>
      </c>
      <c r="C76" s="272" t="s">
        <v>1</v>
      </c>
      <c r="E76" s="305"/>
      <c r="F76" s="201">
        <f t="shared" ref="F76:M76" si="14">SubTIRG</f>
        <v>26.21188008</v>
      </c>
      <c r="G76" s="201">
        <f t="shared" si="14"/>
        <v>21.199189039999997</v>
      </c>
      <c r="H76" s="201">
        <f t="shared" si="14"/>
        <v>19.893881064000002</v>
      </c>
      <c r="I76" s="201">
        <f t="shared" si="14"/>
        <v>6.6779280000000005</v>
      </c>
      <c r="J76" s="201">
        <f t="shared" si="14"/>
        <v>33.040580456000001</v>
      </c>
      <c r="K76" s="201">
        <f t="shared" si="14"/>
        <v>30.874002687999997</v>
      </c>
      <c r="L76" s="201">
        <f t="shared" si="14"/>
        <v>31.258213271999999</v>
      </c>
      <c r="M76" s="201">
        <f t="shared" si="14"/>
        <v>24.797105424000002</v>
      </c>
      <c r="N76" s="132" t="s">
        <v>117</v>
      </c>
    </row>
    <row r="77" spans="1:14" ht="15">
      <c r="A77" s="122" t="s">
        <v>61</v>
      </c>
      <c r="B77" s="145" t="s">
        <v>468</v>
      </c>
      <c r="C77" s="272" t="s">
        <v>118</v>
      </c>
      <c r="E77" s="305"/>
      <c r="F77" s="201">
        <f t="shared" ref="F77:M77" si="15">RPIF</f>
        <v>1.163</v>
      </c>
      <c r="G77" s="201">
        <f t="shared" si="15"/>
        <v>1.2050000000000001</v>
      </c>
      <c r="H77" s="201">
        <f t="shared" si="15"/>
        <v>1.2270000000000001</v>
      </c>
      <c r="I77" s="201">
        <f t="shared" si="15"/>
        <v>1.2330000000000001</v>
      </c>
      <c r="J77" s="201">
        <f t="shared" si="15"/>
        <v>1.2709999999999999</v>
      </c>
      <c r="K77" s="201">
        <f t="shared" si="15"/>
        <v>1.228</v>
      </c>
      <c r="L77" s="201">
        <f t="shared" si="15"/>
        <v>1.2869999999999999</v>
      </c>
      <c r="M77" s="201">
        <f t="shared" si="15"/>
        <v>1.323</v>
      </c>
      <c r="N77" s="132" t="s">
        <v>342</v>
      </c>
    </row>
    <row r="78" spans="1:14">
      <c r="B78" s="145" t="s">
        <v>469</v>
      </c>
      <c r="C78" s="272" t="s">
        <v>1</v>
      </c>
      <c r="E78" s="259">
        <f>E59</f>
        <v>175.33582510578276</v>
      </c>
      <c r="F78" s="259">
        <f>SUM(F69:F76)/F77</f>
        <v>248.52340161650903</v>
      </c>
      <c r="G78" s="259">
        <f>SUM(G69:G76)/G77</f>
        <v>260.674819676764</v>
      </c>
      <c r="H78" s="259">
        <f>SUM(H69:H76)/H77</f>
        <v>231.62196976108692</v>
      </c>
      <c r="I78" s="259">
        <f t="shared" ref="I78:M78" si="16">SUM(I69:I76)/I77</f>
        <v>200.80001132512646</v>
      </c>
      <c r="J78" s="259">
        <f t="shared" si="16"/>
        <v>232.81003820429731</v>
      </c>
      <c r="K78" s="259">
        <f t="shared" si="16"/>
        <v>253.40126969373506</v>
      </c>
      <c r="L78" s="259">
        <f t="shared" si="16"/>
        <v>259.43556172621612</v>
      </c>
      <c r="M78" s="259">
        <f t="shared" si="16"/>
        <v>268.47693308472333</v>
      </c>
    </row>
    <row r="79" spans="1:14" s="123" customFormat="1">
      <c r="B79" s="206"/>
      <c r="C79" s="276"/>
      <c r="E79" s="132"/>
      <c r="F79" s="256"/>
      <c r="G79" s="260"/>
      <c r="H79" s="256"/>
      <c r="I79" s="256"/>
      <c r="J79" s="256"/>
      <c r="K79" s="256"/>
      <c r="L79" s="256"/>
      <c r="M79" s="256"/>
    </row>
    <row r="80" spans="1:14" s="123" customFormat="1">
      <c r="B80" s="206"/>
      <c r="C80" s="276"/>
      <c r="E80" s="256"/>
      <c r="F80" s="256"/>
      <c r="G80" s="256"/>
      <c r="H80" s="256"/>
      <c r="I80" s="256"/>
      <c r="J80" s="256"/>
      <c r="K80" s="256"/>
      <c r="L80" s="256"/>
      <c r="M80" s="256"/>
    </row>
    <row r="81" spans="1:14">
      <c r="A81" s="124" t="s">
        <v>120</v>
      </c>
      <c r="C81" s="272"/>
    </row>
    <row r="82" spans="1:14" ht="14.4">
      <c r="A82" s="124"/>
      <c r="C82" s="272"/>
      <c r="E82" s="125">
        <v>2013</v>
      </c>
      <c r="F82" s="125">
        <v>2014</v>
      </c>
      <c r="G82" s="125">
        <v>2015</v>
      </c>
      <c r="H82" s="125">
        <v>2016</v>
      </c>
      <c r="I82" s="125">
        <v>2017</v>
      </c>
      <c r="J82" s="125">
        <v>2018</v>
      </c>
      <c r="K82" s="125">
        <v>2019</v>
      </c>
      <c r="L82" s="125">
        <v>2020</v>
      </c>
      <c r="M82" s="125">
        <v>2021</v>
      </c>
    </row>
    <row r="83" spans="1:14">
      <c r="A83" s="150" t="s">
        <v>121</v>
      </c>
      <c r="C83" s="275" t="s">
        <v>105</v>
      </c>
      <c r="D83" s="132"/>
      <c r="E83" s="151">
        <f t="shared" ref="E83:M83" si="17">WACC</f>
        <v>4.7500000000000001E-2</v>
      </c>
      <c r="F83" s="151">
        <f t="shared" si="17"/>
        <v>4.7600000000000003E-2</v>
      </c>
      <c r="G83" s="151">
        <f t="shared" si="17"/>
        <v>4.65E-2</v>
      </c>
      <c r="H83" s="151">
        <f t="shared" si="17"/>
        <v>4.5525000000000003E-2</v>
      </c>
      <c r="I83" s="151">
        <f t="shared" si="17"/>
        <v>4.4590000000000005E-2</v>
      </c>
      <c r="J83" s="151">
        <f t="shared" si="17"/>
        <v>4.7600000000000003E-2</v>
      </c>
      <c r="K83" s="151">
        <f t="shared" si="17"/>
        <v>4.7600000000000003E-2</v>
      </c>
      <c r="L83" s="151">
        <f t="shared" si="17"/>
        <v>4.7600000000000003E-2</v>
      </c>
      <c r="M83" s="151">
        <f t="shared" si="17"/>
        <v>4.7600000000000003E-2</v>
      </c>
      <c r="N83" s="132" t="s">
        <v>255</v>
      </c>
    </row>
    <row r="84" spans="1:14">
      <c r="A84" s="150"/>
      <c r="C84" s="295" t="s">
        <v>118</v>
      </c>
    </row>
    <row r="85" spans="1:14">
      <c r="A85" s="150" t="s">
        <v>190</v>
      </c>
      <c r="E85" s="154">
        <f>1+E83</f>
        <v>1.0475000000000001</v>
      </c>
      <c r="F85" s="154">
        <f t="shared" ref="F85:M85" si="18">1+F83</f>
        <v>1.0476000000000001</v>
      </c>
      <c r="G85" s="154">
        <f t="shared" si="18"/>
        <v>1.0465</v>
      </c>
      <c r="H85" s="154">
        <f t="shared" si="18"/>
        <v>1.045525</v>
      </c>
      <c r="I85" s="154">
        <f t="shared" si="18"/>
        <v>1.0445899999999999</v>
      </c>
      <c r="J85" s="154">
        <f t="shared" si="18"/>
        <v>1.0476000000000001</v>
      </c>
      <c r="K85" s="154">
        <f t="shared" si="18"/>
        <v>1.0476000000000001</v>
      </c>
      <c r="L85" s="154">
        <f t="shared" si="18"/>
        <v>1.0476000000000001</v>
      </c>
      <c r="M85" s="154">
        <f t="shared" si="18"/>
        <v>1.0476000000000001</v>
      </c>
      <c r="N85" s="149" t="s">
        <v>128</v>
      </c>
    </row>
    <row r="86" spans="1:14">
      <c r="E86" s="132"/>
    </row>
    <row r="1000042" spans="1:1">
      <c r="A1000042" s="122" t="s">
        <v>7</v>
      </c>
    </row>
    <row r="1000043" spans="1:1">
      <c r="A1000043" s="122" t="s">
        <v>2</v>
      </c>
    </row>
    <row r="1000044" spans="1:1">
      <c r="A1000044" s="122" t="s">
        <v>6</v>
      </c>
    </row>
    <row r="1000045" spans="1:1">
      <c r="A1000045" s="122" t="s">
        <v>3</v>
      </c>
    </row>
    <row r="1000046" spans="1:1">
      <c r="A1000046" s="122" t="s">
        <v>4</v>
      </c>
    </row>
    <row r="1000047" spans="1:1">
      <c r="A1000047" s="122" t="s">
        <v>5</v>
      </c>
    </row>
  </sheetData>
  <pageMargins left="0.15748031496062992" right="0.15748031496062992" top="0.39" bottom="0.47" header="0.19685039370078741" footer="0.23622047244094491"/>
  <pageSetup paperSize="9" scale="67" fitToHeight="2" orientation="landscape" r:id="rId1"/>
  <headerFooter>
    <oddFooter>&amp;C&amp;D&amp;R&amp;F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000013"/>
  <sheetViews>
    <sheetView showGridLines="0" topLeftCell="A46" zoomScale="70" zoomScaleNormal="70" workbookViewId="0"/>
  </sheetViews>
  <sheetFormatPr defaultColWidth="9" defaultRowHeight="12.6"/>
  <cols>
    <col min="1" max="1" width="40" style="122" customWidth="1"/>
    <col min="2" max="2" width="8.08984375" style="122" customWidth="1"/>
    <col min="3" max="3" width="7.26953125" style="122" customWidth="1"/>
    <col min="4" max="4" width="8.08984375" style="122" customWidth="1"/>
    <col min="5" max="5" width="9" style="122" customWidth="1"/>
    <col min="6" max="13" width="9.08984375" style="122" bestFit="1" customWidth="1"/>
    <col min="14" max="14" width="6.90625" style="122" customWidth="1"/>
    <col min="15" max="16384" width="9" style="122"/>
  </cols>
  <sheetData>
    <row r="1" spans="1:19" s="140" customFormat="1" ht="16.2">
      <c r="A1" s="139" t="s">
        <v>114</v>
      </c>
    </row>
    <row r="2" spans="1:19" s="140" customFormat="1" ht="16.2">
      <c r="A2" s="139" t="str">
        <f>CompName</f>
        <v>Scottish Power Transmission plc</v>
      </c>
    </row>
    <row r="3" spans="1:19" s="140" customFormat="1">
      <c r="A3" s="142" t="str">
        <f>RegYr</f>
        <v>Regulatory Year ending 31 March 2017</v>
      </c>
    </row>
    <row r="4" spans="1:19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19" ht="17.399999999999999">
      <c r="A5" s="156" t="s">
        <v>24</v>
      </c>
      <c r="B5" s="144"/>
      <c r="C5" s="144"/>
      <c r="D5" s="144"/>
      <c r="E5" s="144"/>
      <c r="G5" s="144"/>
      <c r="H5" s="144"/>
      <c r="I5" s="144"/>
    </row>
    <row r="6" spans="1:19" ht="18">
      <c r="A6" s="143" t="s">
        <v>413</v>
      </c>
      <c r="B6" s="144"/>
      <c r="C6" s="144"/>
      <c r="D6" s="144"/>
      <c r="E6" s="144"/>
      <c r="F6" s="144"/>
      <c r="G6" s="144"/>
      <c r="H6" s="144"/>
      <c r="I6" s="144"/>
    </row>
    <row r="7" spans="1:19" ht="13.8">
      <c r="A7" s="261" t="s">
        <v>471</v>
      </c>
      <c r="B7" s="144"/>
      <c r="C7" s="144"/>
      <c r="D7" s="144"/>
      <c r="E7" s="144"/>
      <c r="F7" s="144"/>
      <c r="G7" s="144"/>
      <c r="H7" s="144"/>
      <c r="I7" s="144"/>
    </row>
    <row r="8" spans="1:19" ht="14.25" customHeight="1">
      <c r="A8" s="132"/>
      <c r="B8" s="129"/>
      <c r="C8" s="157" t="s">
        <v>0</v>
      </c>
      <c r="D8" s="129"/>
      <c r="F8" s="125">
        <v>2014</v>
      </c>
      <c r="G8" s="125">
        <v>2015</v>
      </c>
      <c r="H8" s="125">
        <v>2016</v>
      </c>
      <c r="I8" s="125">
        <v>2017</v>
      </c>
      <c r="J8" s="125">
        <v>2018</v>
      </c>
      <c r="K8" s="125">
        <v>2019</v>
      </c>
      <c r="L8" s="125">
        <v>2020</v>
      </c>
      <c r="M8" s="125">
        <v>2021</v>
      </c>
    </row>
    <row r="9" spans="1:19" ht="13.8">
      <c r="B9" s="129"/>
      <c r="C9" s="129"/>
      <c r="D9" s="129"/>
      <c r="F9" s="129"/>
      <c r="G9" s="129"/>
      <c r="H9" s="129"/>
      <c r="I9" s="129"/>
    </row>
    <row r="10" spans="1:19" ht="12" customHeight="1">
      <c r="A10" s="145" t="s">
        <v>20</v>
      </c>
      <c r="B10" s="145" t="s">
        <v>336</v>
      </c>
      <c r="C10" s="145" t="s">
        <v>1</v>
      </c>
      <c r="D10" s="129"/>
      <c r="F10" s="168">
        <f>F23</f>
        <v>0</v>
      </c>
      <c r="G10" s="168">
        <f t="shared" ref="G10:M10" si="0">G23</f>
        <v>0</v>
      </c>
      <c r="H10" s="168">
        <f t="shared" si="0"/>
        <v>-32.418754657380006</v>
      </c>
      <c r="I10" s="168">
        <f t="shared" si="0"/>
        <v>-32.512755172511255</v>
      </c>
      <c r="J10" s="168">
        <f t="shared" si="0"/>
        <v>-33.453601476598223</v>
      </c>
      <c r="K10" s="168">
        <f t="shared" si="0"/>
        <v>-32.385959101483202</v>
      </c>
      <c r="L10" s="168">
        <f t="shared" si="0"/>
        <v>-34.039766238192001</v>
      </c>
      <c r="M10" s="168">
        <f t="shared" si="0"/>
        <v>-34.991927531568003</v>
      </c>
      <c r="N10" s="132" t="s">
        <v>336</v>
      </c>
      <c r="O10" s="159"/>
    </row>
    <row r="11" spans="1:19" ht="12" customHeight="1">
      <c r="A11" s="145" t="s">
        <v>22</v>
      </c>
      <c r="B11" s="145" t="s">
        <v>131</v>
      </c>
      <c r="C11" s="145" t="s">
        <v>1</v>
      </c>
      <c r="D11" s="129"/>
      <c r="F11" s="168">
        <f t="shared" ref="F11:M11" si="1">F43</f>
        <v>0</v>
      </c>
      <c r="G11" s="168">
        <f t="shared" si="1"/>
        <v>0</v>
      </c>
      <c r="H11" s="168">
        <f t="shared" si="1"/>
        <v>0</v>
      </c>
      <c r="I11" s="168">
        <f t="shared" si="1"/>
        <v>0</v>
      </c>
      <c r="J11" s="168">
        <f t="shared" si="1"/>
        <v>0</v>
      </c>
      <c r="K11" s="168">
        <f t="shared" si="1"/>
        <v>0</v>
      </c>
      <c r="L11" s="168">
        <f t="shared" si="1"/>
        <v>0</v>
      </c>
      <c r="M11" s="168">
        <f t="shared" si="1"/>
        <v>0</v>
      </c>
      <c r="N11" s="132" t="s">
        <v>131</v>
      </c>
      <c r="O11" s="159"/>
    </row>
    <row r="12" spans="1:19" ht="13.8">
      <c r="A12" s="145" t="s">
        <v>19</v>
      </c>
      <c r="B12" s="145" t="s">
        <v>337</v>
      </c>
      <c r="C12" s="145" t="s">
        <v>1</v>
      </c>
      <c r="D12" s="129"/>
      <c r="F12" s="249">
        <f>SUM(F10:F11)</f>
        <v>0</v>
      </c>
      <c r="G12" s="249">
        <f t="shared" ref="G12:M12" si="2">SUM(G10:G11)</f>
        <v>0</v>
      </c>
      <c r="H12" s="249">
        <f t="shared" si="2"/>
        <v>-32.418754657380006</v>
      </c>
      <c r="I12" s="249">
        <f t="shared" si="2"/>
        <v>-32.512755172511255</v>
      </c>
      <c r="J12" s="249">
        <f>SUM(J10:J11)</f>
        <v>-33.453601476598223</v>
      </c>
      <c r="K12" s="249">
        <f t="shared" si="2"/>
        <v>-32.385959101483202</v>
      </c>
      <c r="L12" s="249">
        <f t="shared" si="2"/>
        <v>-34.039766238192001</v>
      </c>
      <c r="M12" s="249">
        <f t="shared" si="2"/>
        <v>-34.991927531568003</v>
      </c>
      <c r="N12" s="132" t="s">
        <v>337</v>
      </c>
    </row>
    <row r="13" spans="1:19">
      <c r="A13" s="145"/>
      <c r="B13" s="145"/>
      <c r="C13" s="145"/>
      <c r="D13" s="145"/>
      <c r="F13" s="132"/>
      <c r="G13" s="132"/>
      <c r="H13" s="132"/>
      <c r="I13" s="132"/>
    </row>
    <row r="14" spans="1:19">
      <c r="A14" s="145"/>
      <c r="B14" s="145"/>
      <c r="C14" s="145"/>
      <c r="D14" s="145"/>
    </row>
    <row r="15" spans="1:19" ht="14.25" customHeight="1">
      <c r="A15" s="157" t="s">
        <v>69</v>
      </c>
      <c r="B15" s="145"/>
      <c r="C15" s="145"/>
      <c r="D15" s="145"/>
      <c r="G15" s="143"/>
    </row>
    <row r="16" spans="1:19" ht="20.25" customHeight="1">
      <c r="A16" s="261" t="s">
        <v>472</v>
      </c>
      <c r="B16" s="145"/>
      <c r="C16" s="145"/>
      <c r="D16" s="145"/>
      <c r="L16" s="132"/>
    </row>
    <row r="17" spans="1:15" ht="14.4">
      <c r="A17" s="261"/>
      <c r="B17" s="145"/>
      <c r="C17" s="145"/>
      <c r="D17" s="145"/>
      <c r="F17" s="125">
        <v>2014</v>
      </c>
      <c r="G17" s="125">
        <v>2015</v>
      </c>
      <c r="H17" s="125">
        <v>2016</v>
      </c>
      <c r="I17" s="125">
        <v>2017</v>
      </c>
      <c r="J17" s="125">
        <v>2018</v>
      </c>
      <c r="K17" s="125">
        <v>2019</v>
      </c>
      <c r="L17" s="125">
        <v>2020</v>
      </c>
      <c r="M17" s="125">
        <v>2021</v>
      </c>
    </row>
    <row r="18" spans="1:15">
      <c r="A18" s="145" t="s">
        <v>68</v>
      </c>
      <c r="B18" s="145" t="s">
        <v>123</v>
      </c>
      <c r="C18" s="296" t="s">
        <v>1</v>
      </c>
      <c r="D18" s="145"/>
      <c r="F18" s="169">
        <f t="shared" ref="F18:M18" si="3">RBA</f>
        <v>0</v>
      </c>
      <c r="G18" s="169">
        <f t="shared" si="3"/>
        <v>0</v>
      </c>
      <c r="H18" s="169">
        <f t="shared" si="3"/>
        <v>0</v>
      </c>
      <c r="I18" s="169">
        <f t="shared" si="3"/>
        <v>0</v>
      </c>
      <c r="J18" s="169">
        <f t="shared" si="3"/>
        <v>0</v>
      </c>
      <c r="K18" s="169">
        <f t="shared" si="3"/>
        <v>0</v>
      </c>
      <c r="L18" s="169">
        <f t="shared" si="3"/>
        <v>0</v>
      </c>
      <c r="M18" s="169">
        <f t="shared" si="3"/>
        <v>0</v>
      </c>
    </row>
    <row r="19" spans="1:15">
      <c r="A19" s="145" t="s">
        <v>125</v>
      </c>
      <c r="B19" s="145" t="s">
        <v>124</v>
      </c>
      <c r="C19" s="296" t="s">
        <v>515</v>
      </c>
      <c r="D19" s="145"/>
      <c r="F19" s="169">
        <f t="shared" ref="F19:M19" si="4">RPIA</f>
        <v>1.167</v>
      </c>
      <c r="G19" s="169">
        <f t="shared" si="4"/>
        <v>1.19</v>
      </c>
      <c r="H19" s="169">
        <f t="shared" si="4"/>
        <v>1.202</v>
      </c>
      <c r="I19" s="169">
        <f t="shared" si="4"/>
        <v>1.228</v>
      </c>
      <c r="J19" s="169">
        <f t="shared" si="4"/>
        <v>1.2869999999999999</v>
      </c>
      <c r="K19" s="169">
        <f t="shared" si="4"/>
        <v>1.323</v>
      </c>
      <c r="L19" s="169">
        <f t="shared" si="4"/>
        <v>1.36</v>
      </c>
      <c r="M19" s="169">
        <f t="shared" si="4"/>
        <v>1.3979999999999999</v>
      </c>
    </row>
    <row r="20" spans="1:15">
      <c r="A20" s="145" t="s">
        <v>67</v>
      </c>
      <c r="B20" s="145" t="s">
        <v>122</v>
      </c>
      <c r="C20" s="296" t="s">
        <v>1</v>
      </c>
      <c r="D20" s="145"/>
      <c r="F20" s="169">
        <f t="shared" ref="F20:M20" si="5">RBE</f>
        <v>24.1</v>
      </c>
      <c r="G20" s="169">
        <f t="shared" si="5"/>
        <v>24.1</v>
      </c>
      <c r="H20" s="169">
        <f t="shared" si="5"/>
        <v>24.1</v>
      </c>
      <c r="I20" s="169">
        <f t="shared" si="5"/>
        <v>24.1</v>
      </c>
      <c r="J20" s="169">
        <f t="shared" si="5"/>
        <v>24.1</v>
      </c>
      <c r="K20" s="169">
        <f t="shared" si="5"/>
        <v>24.1</v>
      </c>
      <c r="L20" s="169">
        <f t="shared" si="5"/>
        <v>24.1</v>
      </c>
      <c r="M20" s="169">
        <f t="shared" si="5"/>
        <v>24.1</v>
      </c>
    </row>
    <row r="21" spans="1:15">
      <c r="A21" s="145" t="s">
        <v>129</v>
      </c>
      <c r="B21" s="145" t="s">
        <v>128</v>
      </c>
      <c r="C21" s="296" t="s">
        <v>118</v>
      </c>
      <c r="D21" s="145"/>
      <c r="F21" s="169">
        <f t="shared" ref="F21:M21" si="6">PVF</f>
        <v>1.0476000000000001</v>
      </c>
      <c r="G21" s="169">
        <f t="shared" si="6"/>
        <v>1.0465</v>
      </c>
      <c r="H21" s="169">
        <f t="shared" si="6"/>
        <v>1.045525</v>
      </c>
      <c r="I21" s="169">
        <f t="shared" si="6"/>
        <v>1.0445899999999999</v>
      </c>
      <c r="J21" s="169">
        <f t="shared" si="6"/>
        <v>1.0476000000000001</v>
      </c>
      <c r="K21" s="169">
        <f t="shared" si="6"/>
        <v>1.0476000000000001</v>
      </c>
      <c r="L21" s="169">
        <f t="shared" si="6"/>
        <v>1.0476000000000001</v>
      </c>
      <c r="M21" s="169">
        <f t="shared" si="6"/>
        <v>1.0476000000000001</v>
      </c>
    </row>
    <row r="22" spans="1:15">
      <c r="A22" s="145" t="s">
        <v>61</v>
      </c>
      <c r="B22" s="145" t="s">
        <v>117</v>
      </c>
      <c r="C22" s="296" t="s">
        <v>118</v>
      </c>
      <c r="D22" s="145"/>
      <c r="F22" s="169">
        <f t="shared" ref="F22:M22" si="7">RPIF</f>
        <v>1.163</v>
      </c>
      <c r="G22" s="169">
        <f t="shared" si="7"/>
        <v>1.2050000000000001</v>
      </c>
      <c r="H22" s="169">
        <f t="shared" si="7"/>
        <v>1.2270000000000001</v>
      </c>
      <c r="I22" s="169">
        <f t="shared" si="7"/>
        <v>1.2330000000000001</v>
      </c>
      <c r="J22" s="169">
        <f t="shared" si="7"/>
        <v>1.2709999999999999</v>
      </c>
      <c r="K22" s="169">
        <f t="shared" si="7"/>
        <v>1.228</v>
      </c>
      <c r="L22" s="169">
        <f t="shared" si="7"/>
        <v>1.2869999999999999</v>
      </c>
      <c r="M22" s="169">
        <f t="shared" si="7"/>
        <v>1.323</v>
      </c>
    </row>
    <row r="23" spans="1:15">
      <c r="A23" s="145" t="s">
        <v>20</v>
      </c>
      <c r="B23" s="145" t="s">
        <v>336</v>
      </c>
      <c r="C23" s="296" t="s">
        <v>1</v>
      </c>
      <c r="D23" s="145"/>
      <c r="F23" s="248"/>
      <c r="G23" s="248"/>
      <c r="H23" s="249">
        <f>IFERROR(((F18/F19)-F20)*F21*G21*H22,0)</f>
        <v>-32.418754657380006</v>
      </c>
      <c r="I23" s="249">
        <f t="shared" ref="I23:M23" si="8">IFERROR(((G18/G19)-G20)*G21*H21*I22,0)</f>
        <v>-32.512755172511255</v>
      </c>
      <c r="J23" s="249">
        <f t="shared" si="8"/>
        <v>-33.453601476598223</v>
      </c>
      <c r="K23" s="249">
        <f t="shared" si="8"/>
        <v>-32.385959101483202</v>
      </c>
      <c r="L23" s="249">
        <f t="shared" si="8"/>
        <v>-34.039766238192001</v>
      </c>
      <c r="M23" s="249">
        <f t="shared" si="8"/>
        <v>-34.991927531568003</v>
      </c>
    </row>
    <row r="24" spans="1:15" ht="13.8">
      <c r="A24" s="129"/>
      <c r="B24" s="129"/>
      <c r="C24" s="129"/>
      <c r="D24" s="145"/>
      <c r="F24" s="132"/>
      <c r="G24" s="132"/>
      <c r="H24" s="132"/>
      <c r="I24" s="132"/>
      <c r="J24" s="160"/>
      <c r="K24" s="160"/>
      <c r="L24" s="160"/>
      <c r="M24" s="160"/>
    </row>
    <row r="25" spans="1:15" ht="15.6">
      <c r="A25" s="157"/>
      <c r="B25" s="145"/>
      <c r="C25" s="145"/>
      <c r="D25" s="145"/>
      <c r="G25" s="143"/>
    </row>
    <row r="26" spans="1:15" ht="17.25" hidden="1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</row>
    <row r="27" spans="1:15" hidden="1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</row>
    <row r="28" spans="1:15" hidden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</row>
    <row r="29" spans="1:15" hidden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</row>
    <row r="30" spans="1:15" hidden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</row>
    <row r="31" spans="1:15" hidden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</row>
    <row r="32" spans="1:15" hidden="1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</row>
    <row r="33" spans="1:15" hidden="1">
      <c r="A33" s="145"/>
      <c r="B33" s="145"/>
      <c r="C33" s="145"/>
      <c r="D33" s="145"/>
    </row>
    <row r="34" spans="1:15">
      <c r="A34" s="145"/>
      <c r="B34" s="145"/>
      <c r="C34" s="145"/>
      <c r="D34" s="145"/>
    </row>
    <row r="35" spans="1:15" ht="15.6">
      <c r="A35" s="157" t="s">
        <v>130</v>
      </c>
      <c r="B35" s="145"/>
      <c r="C35" s="145"/>
      <c r="D35" s="145"/>
      <c r="G35" s="143"/>
      <c r="K35" s="132"/>
    </row>
    <row r="36" spans="1:15">
      <c r="A36" s="164" t="s">
        <v>484</v>
      </c>
      <c r="B36" s="145"/>
      <c r="C36" s="145"/>
      <c r="D36" s="145"/>
    </row>
    <row r="37" spans="1:15">
      <c r="A37" s="145"/>
      <c r="B37" s="145"/>
      <c r="C37" s="145"/>
      <c r="D37" s="145"/>
    </row>
    <row r="38" spans="1:15" ht="14.4">
      <c r="A38" s="145"/>
      <c r="B38" s="145"/>
      <c r="C38" s="145"/>
      <c r="D38" s="145"/>
      <c r="E38" s="125">
        <v>2013</v>
      </c>
      <c r="F38" s="125">
        <v>2014</v>
      </c>
      <c r="G38" s="125">
        <v>2015</v>
      </c>
      <c r="H38" s="125">
        <v>2016</v>
      </c>
      <c r="I38" s="125">
        <v>2017</v>
      </c>
      <c r="J38" s="125">
        <v>2018</v>
      </c>
      <c r="K38" s="125">
        <v>2019</v>
      </c>
      <c r="L38" s="125">
        <v>2020</v>
      </c>
      <c r="M38" s="125">
        <v>2021</v>
      </c>
    </row>
    <row r="39" spans="1:15">
      <c r="A39" s="145" t="s">
        <v>133</v>
      </c>
      <c r="B39" s="145" t="s">
        <v>132</v>
      </c>
      <c r="C39" s="297" t="s">
        <v>1</v>
      </c>
      <c r="D39" s="145"/>
      <c r="E39" s="169">
        <f>TPA</f>
        <v>0</v>
      </c>
      <c r="F39" s="169">
        <f>TPA</f>
        <v>0</v>
      </c>
      <c r="G39" s="169">
        <f t="shared" ref="G39:M39" si="9">TPA</f>
        <v>0</v>
      </c>
      <c r="H39" s="169">
        <f t="shared" si="9"/>
        <v>0</v>
      </c>
      <c r="I39" s="169">
        <f t="shared" si="9"/>
        <v>0</v>
      </c>
      <c r="J39" s="169">
        <f t="shared" si="9"/>
        <v>0</v>
      </c>
      <c r="K39" s="169">
        <f t="shared" si="9"/>
        <v>0</v>
      </c>
      <c r="L39" s="169">
        <f t="shared" si="9"/>
        <v>0</v>
      </c>
      <c r="M39" s="169">
        <f t="shared" si="9"/>
        <v>0</v>
      </c>
    </row>
    <row r="40" spans="1:15">
      <c r="A40" s="145" t="s">
        <v>125</v>
      </c>
      <c r="B40" s="145" t="s">
        <v>124</v>
      </c>
      <c r="C40" s="297" t="s">
        <v>515</v>
      </c>
      <c r="D40" s="145"/>
      <c r="E40" s="169">
        <f t="shared" ref="E40:M40" si="10">RPIA</f>
        <v>1.1339999999999999</v>
      </c>
      <c r="F40" s="169">
        <f t="shared" si="10"/>
        <v>1.167</v>
      </c>
      <c r="G40" s="169">
        <f t="shared" si="10"/>
        <v>1.19</v>
      </c>
      <c r="H40" s="169">
        <f t="shared" si="10"/>
        <v>1.202</v>
      </c>
      <c r="I40" s="169">
        <f t="shared" si="10"/>
        <v>1.228</v>
      </c>
      <c r="J40" s="169">
        <f t="shared" si="10"/>
        <v>1.2869999999999999</v>
      </c>
      <c r="K40" s="169">
        <f t="shared" si="10"/>
        <v>1.323</v>
      </c>
      <c r="L40" s="169">
        <f t="shared" si="10"/>
        <v>1.36</v>
      </c>
      <c r="M40" s="169">
        <f t="shared" si="10"/>
        <v>1.3979999999999999</v>
      </c>
    </row>
    <row r="41" spans="1:15">
      <c r="A41" s="145" t="s">
        <v>129</v>
      </c>
      <c r="B41" s="145" t="s">
        <v>128</v>
      </c>
      <c r="C41" s="297" t="s">
        <v>118</v>
      </c>
      <c r="D41" s="145"/>
      <c r="E41" s="169">
        <f t="shared" ref="E41:M41" si="11">PVF</f>
        <v>1.0475000000000001</v>
      </c>
      <c r="F41" s="169">
        <f t="shared" si="11"/>
        <v>1.0476000000000001</v>
      </c>
      <c r="G41" s="169">
        <f t="shared" si="11"/>
        <v>1.0465</v>
      </c>
      <c r="H41" s="169">
        <f t="shared" si="11"/>
        <v>1.045525</v>
      </c>
      <c r="I41" s="169">
        <f t="shared" si="11"/>
        <v>1.0445899999999999</v>
      </c>
      <c r="J41" s="169">
        <f t="shared" si="11"/>
        <v>1.0476000000000001</v>
      </c>
      <c r="K41" s="169">
        <f t="shared" si="11"/>
        <v>1.0476000000000001</v>
      </c>
      <c r="L41" s="169">
        <f t="shared" si="11"/>
        <v>1.0476000000000001</v>
      </c>
      <c r="M41" s="169">
        <f t="shared" si="11"/>
        <v>1.0476000000000001</v>
      </c>
    </row>
    <row r="42" spans="1:15">
      <c r="A42" s="145" t="s">
        <v>61</v>
      </c>
      <c r="B42" s="145" t="s">
        <v>117</v>
      </c>
      <c r="C42" s="297" t="s">
        <v>118</v>
      </c>
      <c r="D42" s="145"/>
      <c r="E42" s="169">
        <f t="shared" ref="E42:M42" si="12">RPIF</f>
        <v>1.1344000000000001</v>
      </c>
      <c r="F42" s="169">
        <f t="shared" si="12"/>
        <v>1.163</v>
      </c>
      <c r="G42" s="169">
        <f t="shared" si="12"/>
        <v>1.2050000000000001</v>
      </c>
      <c r="H42" s="169">
        <f t="shared" si="12"/>
        <v>1.2270000000000001</v>
      </c>
      <c r="I42" s="169">
        <f t="shared" si="12"/>
        <v>1.2330000000000001</v>
      </c>
      <c r="J42" s="169">
        <f t="shared" si="12"/>
        <v>1.2709999999999999</v>
      </c>
      <c r="K42" s="169">
        <f t="shared" si="12"/>
        <v>1.228</v>
      </c>
      <c r="L42" s="169">
        <f t="shared" si="12"/>
        <v>1.2869999999999999</v>
      </c>
      <c r="M42" s="169">
        <f t="shared" si="12"/>
        <v>1.323</v>
      </c>
    </row>
    <row r="43" spans="1:15">
      <c r="A43" s="145" t="s">
        <v>21</v>
      </c>
      <c r="B43" s="145" t="s">
        <v>131</v>
      </c>
      <c r="C43" s="297" t="s">
        <v>1</v>
      </c>
      <c r="D43" s="145"/>
      <c r="F43" s="248"/>
      <c r="G43" s="249">
        <f>IFERROR(((E39/E40))*E41*F41*G42,0)</f>
        <v>0</v>
      </c>
      <c r="H43" s="249">
        <f>IFERROR(((F39/F40))*F41*G41*H42,0)</f>
        <v>0</v>
      </c>
      <c r="I43" s="249">
        <f t="shared" ref="I43:M43" si="13">IFERROR(((G39/G40))*G41*H41*I42,0)</f>
        <v>0</v>
      </c>
      <c r="J43" s="249">
        <f t="shared" si="13"/>
        <v>0</v>
      </c>
      <c r="K43" s="249">
        <f t="shared" si="13"/>
        <v>0</v>
      </c>
      <c r="L43" s="249">
        <f t="shared" si="13"/>
        <v>0</v>
      </c>
      <c r="M43" s="249">
        <f t="shared" si="13"/>
        <v>0</v>
      </c>
      <c r="N43" s="132" t="s">
        <v>131</v>
      </c>
    </row>
    <row r="44" spans="1:15" ht="13.8">
      <c r="A44" s="145"/>
      <c r="B44" s="145"/>
      <c r="C44" s="145"/>
      <c r="D44" s="145"/>
      <c r="F44" s="132"/>
      <c r="G44" s="132"/>
      <c r="H44" s="132"/>
      <c r="I44" s="132"/>
      <c r="J44" s="129"/>
      <c r="K44" s="129"/>
      <c r="L44" s="129"/>
      <c r="M44" s="129"/>
      <c r="N44" s="132"/>
    </row>
    <row r="45" spans="1:15" ht="13.8">
      <c r="A45" s="129"/>
      <c r="B45" s="129"/>
      <c r="C45" s="129"/>
      <c r="D45" s="145"/>
      <c r="F45" s="160"/>
      <c r="G45" s="160"/>
      <c r="H45" s="160"/>
      <c r="I45" s="160"/>
      <c r="J45" s="160"/>
      <c r="K45" s="160"/>
      <c r="L45" s="160"/>
      <c r="M45" s="160"/>
    </row>
    <row r="46" spans="1:15" ht="13.8">
      <c r="A46" s="157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</row>
    <row r="47" spans="1:15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</row>
    <row r="48" spans="1:1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</row>
    <row r="49" spans="1:15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</row>
    <row r="50" spans="1:15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</row>
    <row r="51" spans="1:15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</row>
    <row r="52" spans="1:15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</row>
    <row r="53" spans="1:15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</row>
    <row r="54" spans="1:15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</row>
    <row r="55" spans="1:15">
      <c r="D55" s="145"/>
    </row>
    <row r="56" spans="1:15">
      <c r="D56" s="145"/>
    </row>
    <row r="57" spans="1:15">
      <c r="D57" s="145"/>
    </row>
    <row r="58" spans="1:15">
      <c r="D58" s="145"/>
    </row>
    <row r="59" spans="1:15">
      <c r="D59" s="145"/>
    </row>
    <row r="60" spans="1:15">
      <c r="D60" s="145"/>
    </row>
    <row r="61" spans="1:15">
      <c r="D61" s="145"/>
    </row>
    <row r="62" spans="1:15">
      <c r="D62" s="145"/>
    </row>
    <row r="1000008" spans="1:1">
      <c r="A1000008" s="122" t="s">
        <v>7</v>
      </c>
    </row>
    <row r="1000009" spans="1:1">
      <c r="A1000009" s="122" t="s">
        <v>2</v>
      </c>
    </row>
    <row r="1000010" spans="1:1">
      <c r="A1000010" s="122" t="s">
        <v>6</v>
      </c>
    </row>
    <row r="1000011" spans="1:1">
      <c r="A1000011" s="122" t="s">
        <v>3</v>
      </c>
    </row>
    <row r="1000012" spans="1:1">
      <c r="A1000012" s="122" t="s">
        <v>4</v>
      </c>
    </row>
    <row r="1000013" spans="1:1">
      <c r="A1000013" s="122" t="s">
        <v>5</v>
      </c>
    </row>
  </sheetData>
  <pageMargins left="0.15748031496062992" right="0.15748031496062992" top="0.51181102362204722" bottom="0.74803149606299213" header="0.31496062992125984" footer="0.31496062992125984"/>
  <pageSetup paperSize="9" scale="75" orientation="landscape" r:id="rId1"/>
  <headerFooter>
    <oddFooter>&amp;C&amp;D&amp;R&amp;F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00123"/>
  <sheetViews>
    <sheetView showGridLines="0" zoomScale="70" zoomScaleNormal="70" workbookViewId="0">
      <selection activeCell="O67" sqref="O67"/>
    </sheetView>
  </sheetViews>
  <sheetFormatPr defaultColWidth="9" defaultRowHeight="12.6"/>
  <cols>
    <col min="1" max="1" width="37.453125" style="145" customWidth="1"/>
    <col min="2" max="2" width="11.26953125" style="145" customWidth="1"/>
    <col min="3" max="3" width="9.453125" style="145" customWidth="1"/>
    <col min="4" max="4" width="7.6328125" style="145" customWidth="1"/>
    <col min="5" max="5" width="6.26953125" style="145" customWidth="1"/>
    <col min="6" max="6" width="13.36328125" style="145" customWidth="1"/>
    <col min="7" max="7" width="9.7265625" style="122" bestFit="1" customWidth="1"/>
    <col min="8" max="8" width="13.26953125" style="122" customWidth="1"/>
    <col min="9" max="9" width="14.90625" style="122" customWidth="1"/>
    <col min="10" max="10" width="11.26953125" style="122" customWidth="1"/>
    <col min="11" max="11" width="12.08984375" style="122" customWidth="1"/>
    <col min="12" max="12" width="14.453125" style="122" customWidth="1"/>
    <col min="13" max="13" width="10.453125" style="122" bestFit="1" customWidth="1"/>
    <col min="14" max="16384" width="9" style="122"/>
  </cols>
  <sheetData>
    <row r="1" spans="1:19" s="140" customFormat="1" ht="16.2">
      <c r="A1" s="161" t="s">
        <v>115</v>
      </c>
    </row>
    <row r="2" spans="1:19" s="140" customFormat="1" ht="16.2">
      <c r="A2" s="161" t="str">
        <f>CompName</f>
        <v>Scottish Power Transmission plc</v>
      </c>
    </row>
    <row r="3" spans="1:19" s="140" customFormat="1">
      <c r="A3" s="162" t="str">
        <f>RegYr</f>
        <v>Regulatory Year ending 31 March 2017</v>
      </c>
    </row>
    <row r="4" spans="1:19">
      <c r="A4" s="163"/>
      <c r="B4" s="163"/>
      <c r="C4" s="163"/>
      <c r="D4" s="163"/>
      <c r="E4" s="163"/>
      <c r="F4" s="164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19" ht="24" customHeight="1">
      <c r="A5" s="165" t="s">
        <v>23</v>
      </c>
      <c r="G5" s="143" t="s">
        <v>317</v>
      </c>
      <c r="L5" s="132"/>
    </row>
    <row r="6" spans="1:19" ht="13.8">
      <c r="B6" s="144"/>
      <c r="C6" s="144"/>
      <c r="D6" s="144"/>
      <c r="E6" s="144"/>
      <c r="F6" s="144"/>
      <c r="G6" s="144"/>
      <c r="H6" s="144"/>
      <c r="I6" s="144"/>
    </row>
    <row r="7" spans="1:19" ht="15" customHeight="1">
      <c r="A7" s="164" t="s">
        <v>497</v>
      </c>
      <c r="B7" s="164"/>
      <c r="C7" s="129"/>
      <c r="D7" s="144"/>
      <c r="E7" s="144"/>
      <c r="F7" s="166">
        <v>2014</v>
      </c>
      <c r="G7" s="125">
        <v>2015</v>
      </c>
      <c r="H7" s="125">
        <v>2016</v>
      </c>
      <c r="I7" s="125">
        <v>2017</v>
      </c>
      <c r="J7" s="125">
        <v>2018</v>
      </c>
      <c r="K7" s="125">
        <v>2019</v>
      </c>
      <c r="L7" s="125">
        <v>2020</v>
      </c>
      <c r="M7" s="125">
        <v>2021</v>
      </c>
    </row>
    <row r="8" spans="1:19" ht="13.8">
      <c r="B8" s="129"/>
      <c r="C8" s="129"/>
      <c r="D8" s="129"/>
      <c r="E8" s="129"/>
      <c r="F8" s="129"/>
      <c r="G8" s="129"/>
      <c r="H8" s="129"/>
      <c r="I8" s="129"/>
    </row>
    <row r="9" spans="1:19">
      <c r="A9" s="145" t="s">
        <v>26</v>
      </c>
      <c r="B9" s="145" t="s">
        <v>259</v>
      </c>
      <c r="C9" s="145" t="s">
        <v>1</v>
      </c>
      <c r="F9" s="262">
        <f t="shared" ref="F9:M9" si="0">RI</f>
        <v>1.0039499999999999</v>
      </c>
      <c r="G9" s="262">
        <f t="shared" si="0"/>
        <v>0</v>
      </c>
      <c r="H9" s="262">
        <f t="shared" si="0"/>
        <v>3.1445685392727274</v>
      </c>
      <c r="I9" s="262">
        <f t="shared" si="0"/>
        <v>3.0738462792436705</v>
      </c>
      <c r="J9" s="262">
        <f t="shared" si="0"/>
        <v>3.1232615486450621</v>
      </c>
      <c r="K9" s="262">
        <f t="shared" si="0"/>
        <v>3.023585393292</v>
      </c>
      <c r="L9" s="262">
        <f t="shared" si="0"/>
        <v>2.5423891796160003</v>
      </c>
      <c r="M9" s="262">
        <f t="shared" si="0"/>
        <v>2.6135049608640006</v>
      </c>
      <c r="N9" s="132" t="s">
        <v>259</v>
      </c>
    </row>
    <row r="10" spans="1:19">
      <c r="A10" s="145" t="s">
        <v>27</v>
      </c>
      <c r="B10" s="145" t="s">
        <v>322</v>
      </c>
      <c r="C10" s="145" t="s">
        <v>1</v>
      </c>
      <c r="F10" s="262">
        <f t="shared" ref="F10:M10" si="1">SSO</f>
        <v>0</v>
      </c>
      <c r="G10" s="262">
        <f t="shared" si="1"/>
        <v>0</v>
      </c>
      <c r="H10" s="262">
        <f t="shared" si="1"/>
        <v>0</v>
      </c>
      <c r="I10" s="262">
        <f t="shared" si="1"/>
        <v>0</v>
      </c>
      <c r="J10" s="262">
        <f t="shared" si="1"/>
        <v>0</v>
      </c>
      <c r="K10" s="262">
        <f t="shared" si="1"/>
        <v>-2.5017048805937656</v>
      </c>
      <c r="L10" s="262">
        <f t="shared" si="1"/>
        <v>-2.9360870863705353</v>
      </c>
      <c r="M10" s="262">
        <f t="shared" si="1"/>
        <v>-3.0648521960288804</v>
      </c>
      <c r="N10" s="132" t="s">
        <v>322</v>
      </c>
    </row>
    <row r="11" spans="1:19">
      <c r="A11" s="145" t="s">
        <v>28</v>
      </c>
      <c r="B11" s="145" t="s">
        <v>225</v>
      </c>
      <c r="C11" s="145" t="s">
        <v>1</v>
      </c>
      <c r="F11" s="262">
        <f t="shared" ref="F11:M11" si="2">SFI</f>
        <v>0</v>
      </c>
      <c r="G11" s="262">
        <f t="shared" si="2"/>
        <v>0</v>
      </c>
      <c r="H11" s="262">
        <f t="shared" si="2"/>
        <v>0</v>
      </c>
      <c r="I11" s="262">
        <f t="shared" si="2"/>
        <v>0</v>
      </c>
      <c r="J11" s="262">
        <f t="shared" si="2"/>
        <v>0</v>
      </c>
      <c r="K11" s="262">
        <f t="shared" si="2"/>
        <v>0</v>
      </c>
      <c r="L11" s="262">
        <f t="shared" si="2"/>
        <v>0</v>
      </c>
      <c r="M11" s="262">
        <f t="shared" si="2"/>
        <v>0</v>
      </c>
      <c r="N11" s="132" t="s">
        <v>225</v>
      </c>
    </row>
    <row r="12" spans="1:19">
      <c r="A12" s="145" t="s">
        <v>29</v>
      </c>
      <c r="B12" s="145" t="s">
        <v>323</v>
      </c>
      <c r="C12" s="145" t="s">
        <v>1</v>
      </c>
      <c r="F12" s="262">
        <f t="shared" ref="F12:M12" si="3">EDR</f>
        <v>0</v>
      </c>
      <c r="G12" s="201">
        <f t="shared" si="3"/>
        <v>0</v>
      </c>
      <c r="H12" s="201">
        <f t="shared" si="3"/>
        <v>0</v>
      </c>
      <c r="I12" s="201">
        <f t="shared" si="3"/>
        <v>0</v>
      </c>
      <c r="J12" s="201">
        <f t="shared" si="3"/>
        <v>0</v>
      </c>
      <c r="K12" s="201">
        <f t="shared" si="3"/>
        <v>0</v>
      </c>
      <c r="L12" s="201">
        <f t="shared" si="3"/>
        <v>0</v>
      </c>
      <c r="M12" s="201">
        <f t="shared" si="3"/>
        <v>0</v>
      </c>
      <c r="N12" s="132" t="s">
        <v>323</v>
      </c>
    </row>
    <row r="13" spans="1:19">
      <c r="A13" s="145" t="s">
        <v>302</v>
      </c>
      <c r="B13" s="145" t="s">
        <v>301</v>
      </c>
      <c r="C13" s="145" t="s">
        <v>1</v>
      </c>
      <c r="F13" s="258"/>
      <c r="G13" s="257"/>
      <c r="H13" s="201">
        <f t="shared" ref="H13:M13" si="4">CONADJ</f>
        <v>0</v>
      </c>
      <c r="I13" s="201">
        <f t="shared" si="4"/>
        <v>0</v>
      </c>
      <c r="J13" s="201">
        <f t="shared" si="4"/>
        <v>0</v>
      </c>
      <c r="K13" s="201">
        <f t="shared" si="4"/>
        <v>0</v>
      </c>
      <c r="L13" s="201">
        <f t="shared" si="4"/>
        <v>0</v>
      </c>
      <c r="M13" s="201">
        <f t="shared" si="4"/>
        <v>0</v>
      </c>
      <c r="N13" s="132" t="s">
        <v>301</v>
      </c>
    </row>
    <row r="14" spans="1:19">
      <c r="A14" s="145" t="s">
        <v>15</v>
      </c>
      <c r="B14" s="145" t="s">
        <v>188</v>
      </c>
      <c r="C14" s="145" t="s">
        <v>1</v>
      </c>
      <c r="F14" s="263">
        <f>SUM(F9:F12)-F13</f>
        <v>1.0039499999999999</v>
      </c>
      <c r="G14" s="247">
        <f t="shared" ref="G14:M14" si="5">SUM(G9:G12)-G13</f>
        <v>0</v>
      </c>
      <c r="H14" s="247">
        <f>SUM(H9:H12)-H13</f>
        <v>3.1445685392727274</v>
      </c>
      <c r="I14" s="247">
        <f t="shared" si="5"/>
        <v>3.0738462792436705</v>
      </c>
      <c r="J14" s="247">
        <f t="shared" si="5"/>
        <v>3.1232615486450621</v>
      </c>
      <c r="K14" s="247">
        <f t="shared" si="5"/>
        <v>0.52188051269823443</v>
      </c>
      <c r="L14" s="247">
        <f t="shared" si="5"/>
        <v>-0.39369790675453498</v>
      </c>
      <c r="M14" s="247">
        <f t="shared" si="5"/>
        <v>-0.45134723516487973</v>
      </c>
      <c r="N14" s="132" t="s">
        <v>188</v>
      </c>
    </row>
    <row r="15" spans="1:19">
      <c r="F15" s="132"/>
      <c r="H15" s="132"/>
      <c r="I15" s="132"/>
    </row>
    <row r="16" spans="1:19" ht="13.8">
      <c r="A16" s="167" t="s">
        <v>26</v>
      </c>
    </row>
    <row r="17" spans="1:14" ht="24" customHeight="1">
      <c r="A17" s="279" t="s">
        <v>491</v>
      </c>
      <c r="E17" s="392" t="s">
        <v>492</v>
      </c>
      <c r="F17" s="392"/>
      <c r="G17" s="391"/>
      <c r="H17" s="391"/>
      <c r="I17" s="391"/>
      <c r="J17" s="391"/>
      <c r="K17" s="391"/>
      <c r="L17" s="391"/>
      <c r="M17" s="391"/>
      <c r="N17" s="132"/>
    </row>
    <row r="18" spans="1:14">
      <c r="A18" s="164" t="s">
        <v>318</v>
      </c>
      <c r="B18" s="164"/>
    </row>
    <row r="20" spans="1:14" ht="14.4">
      <c r="F20" s="166">
        <v>2014</v>
      </c>
      <c r="G20" s="125">
        <v>2015</v>
      </c>
      <c r="H20" s="125">
        <v>2016</v>
      </c>
      <c r="I20" s="125">
        <v>2017</v>
      </c>
      <c r="J20" s="125">
        <v>2018</v>
      </c>
      <c r="K20" s="125">
        <v>2019</v>
      </c>
      <c r="L20" s="125">
        <v>2020</v>
      </c>
      <c r="M20" s="125">
        <v>2021</v>
      </c>
    </row>
    <row r="21" spans="1:14">
      <c r="A21" s="145" t="s">
        <v>66</v>
      </c>
      <c r="B21" s="145" t="s">
        <v>194</v>
      </c>
      <c r="C21" s="299" t="s">
        <v>1</v>
      </c>
      <c r="F21" s="201">
        <f>F52</f>
        <v>1.0039499999999999</v>
      </c>
      <c r="G21" s="264">
        <v>0</v>
      </c>
    </row>
    <row r="22" spans="1:14">
      <c r="A22" s="145" t="s">
        <v>62</v>
      </c>
      <c r="B22" s="145" t="s">
        <v>197</v>
      </c>
      <c r="C22" s="299" t="s">
        <v>490</v>
      </c>
      <c r="F22" s="168">
        <f t="shared" ref="F22:M22" si="6">VOLL</f>
        <v>1.6E-2</v>
      </c>
      <c r="G22" s="169">
        <f t="shared" si="6"/>
        <v>1.6E-2</v>
      </c>
      <c r="H22" s="169">
        <f t="shared" si="6"/>
        <v>1.6E-2</v>
      </c>
      <c r="I22" s="169">
        <f t="shared" si="6"/>
        <v>1.6E-2</v>
      </c>
      <c r="J22" s="169">
        <f t="shared" si="6"/>
        <v>1.6E-2</v>
      </c>
      <c r="K22" s="169">
        <f t="shared" si="6"/>
        <v>1.6E-2</v>
      </c>
      <c r="L22" s="169">
        <f t="shared" si="6"/>
        <v>1.6E-2</v>
      </c>
      <c r="M22" s="169">
        <f t="shared" si="6"/>
        <v>1.6E-2</v>
      </c>
      <c r="N22" s="132" t="s">
        <v>197</v>
      </c>
    </row>
    <row r="23" spans="1:14">
      <c r="A23" s="145" t="s">
        <v>64</v>
      </c>
      <c r="B23" s="145" t="s">
        <v>199</v>
      </c>
      <c r="C23" s="299" t="s">
        <v>198</v>
      </c>
      <c r="F23" s="170">
        <f t="shared" ref="F23:M23" si="7">ENST</f>
        <v>225</v>
      </c>
      <c r="G23" s="171">
        <f t="shared" si="7"/>
        <v>225</v>
      </c>
      <c r="H23" s="171">
        <f t="shared" si="7"/>
        <v>225</v>
      </c>
      <c r="I23" s="171">
        <f t="shared" si="7"/>
        <v>225</v>
      </c>
      <c r="J23" s="171">
        <f t="shared" si="7"/>
        <v>225</v>
      </c>
      <c r="K23" s="171">
        <f t="shared" si="7"/>
        <v>225</v>
      </c>
      <c r="L23" s="171">
        <f t="shared" si="7"/>
        <v>225</v>
      </c>
      <c r="M23" s="171">
        <f t="shared" si="7"/>
        <v>225</v>
      </c>
      <c r="N23" s="132" t="s">
        <v>199</v>
      </c>
    </row>
    <row r="24" spans="1:14">
      <c r="A24" s="145" t="s">
        <v>65</v>
      </c>
      <c r="B24" s="145" t="s">
        <v>201</v>
      </c>
      <c r="C24" s="298" t="s">
        <v>506</v>
      </c>
      <c r="F24" s="170">
        <f t="shared" ref="F24:M24" si="8">ENSA</f>
        <v>0</v>
      </c>
      <c r="G24" s="171">
        <f t="shared" si="8"/>
        <v>0</v>
      </c>
      <c r="H24" s="171">
        <f t="shared" si="8"/>
        <v>0</v>
      </c>
      <c r="I24" s="171">
        <f t="shared" si="8"/>
        <v>0</v>
      </c>
      <c r="J24" s="171">
        <f t="shared" si="8"/>
        <v>0</v>
      </c>
      <c r="K24" s="171">
        <f t="shared" si="8"/>
        <v>0</v>
      </c>
      <c r="L24" s="171">
        <f t="shared" si="8"/>
        <v>0</v>
      </c>
      <c r="M24" s="171">
        <f t="shared" si="8"/>
        <v>0</v>
      </c>
      <c r="N24" s="132" t="s">
        <v>201</v>
      </c>
    </row>
    <row r="25" spans="1:14">
      <c r="A25" s="145" t="s">
        <v>319</v>
      </c>
      <c r="B25" s="145" t="s">
        <v>208</v>
      </c>
      <c r="C25" s="299" t="s">
        <v>105</v>
      </c>
      <c r="F25" s="170">
        <f t="shared" ref="F25:M25" si="9">PTIS</f>
        <v>0.64935064935064934</v>
      </c>
      <c r="G25" s="171">
        <f t="shared" si="9"/>
        <v>0.63291139240506322</v>
      </c>
      <c r="H25" s="171">
        <f t="shared" si="9"/>
        <v>0.625</v>
      </c>
      <c r="I25" s="171">
        <f t="shared" si="9"/>
        <v>0.625</v>
      </c>
      <c r="J25" s="171">
        <f t="shared" si="9"/>
        <v>0.5</v>
      </c>
      <c r="K25" s="171">
        <f t="shared" si="9"/>
        <v>0.5</v>
      </c>
      <c r="L25" s="171">
        <f t="shared" si="9"/>
        <v>0.5</v>
      </c>
      <c r="M25" s="171">
        <f t="shared" si="9"/>
        <v>0.5</v>
      </c>
      <c r="N25" s="132" t="s">
        <v>208</v>
      </c>
    </row>
    <row r="26" spans="1:14">
      <c r="A26" s="145" t="s">
        <v>63</v>
      </c>
      <c r="B26" s="145" t="s">
        <v>200</v>
      </c>
      <c r="C26" s="299" t="s">
        <v>105</v>
      </c>
      <c r="F26" s="172">
        <f t="shared" ref="F26:M26" si="10">RIDPA</f>
        <v>0.03</v>
      </c>
      <c r="G26" s="172">
        <f t="shared" si="10"/>
        <v>0.03</v>
      </c>
      <c r="H26" s="172">
        <f t="shared" si="10"/>
        <v>0.03</v>
      </c>
      <c r="I26" s="172">
        <f t="shared" si="10"/>
        <v>0.03</v>
      </c>
      <c r="J26" s="172">
        <f t="shared" si="10"/>
        <v>0.03</v>
      </c>
      <c r="K26" s="172">
        <f t="shared" si="10"/>
        <v>0.03</v>
      </c>
      <c r="L26" s="172">
        <f t="shared" si="10"/>
        <v>0.03</v>
      </c>
      <c r="M26" s="172">
        <f t="shared" si="10"/>
        <v>0.03</v>
      </c>
      <c r="N26" s="132" t="s">
        <v>200</v>
      </c>
    </row>
    <row r="27" spans="1:14">
      <c r="A27" s="145" t="s">
        <v>60</v>
      </c>
      <c r="B27" s="145" t="s">
        <v>307</v>
      </c>
      <c r="C27" s="299" t="s">
        <v>1</v>
      </c>
      <c r="F27" s="173">
        <f t="shared" ref="F27:M27" si="11">BR</f>
        <v>261.81688600000001</v>
      </c>
      <c r="G27" s="146">
        <f>BR</f>
        <v>292.91396867050065</v>
      </c>
      <c r="H27" s="146">
        <f t="shared" si="11"/>
        <v>293.58046195096097</v>
      </c>
      <c r="I27" s="146">
        <f t="shared" si="11"/>
        <v>270.34739485714852</v>
      </c>
      <c r="J27" s="146">
        <f t="shared" si="11"/>
        <v>293.19131802961505</v>
      </c>
      <c r="K27" s="146">
        <f t="shared" si="11"/>
        <v>309.66513020409781</v>
      </c>
      <c r="L27" s="146">
        <f t="shared" si="11"/>
        <v>334.13273172821613</v>
      </c>
      <c r="M27" s="146">
        <f t="shared" si="11"/>
        <v>362.77629961779297</v>
      </c>
      <c r="N27" s="132" t="s">
        <v>307</v>
      </c>
    </row>
    <row r="28" spans="1:14">
      <c r="A28" s="145" t="s">
        <v>138</v>
      </c>
      <c r="B28" s="145" t="s">
        <v>138</v>
      </c>
      <c r="C28" s="299" t="s">
        <v>1</v>
      </c>
      <c r="F28" s="158">
        <f t="shared" ref="F28:M28" si="12">TIRG</f>
        <v>26.21188008</v>
      </c>
      <c r="G28" s="147">
        <f t="shared" si="12"/>
        <v>21.199189039999997</v>
      </c>
      <c r="H28" s="147">
        <f t="shared" si="12"/>
        <v>19.893881064000002</v>
      </c>
      <c r="I28" s="147">
        <f t="shared" si="12"/>
        <v>6.6779280000000005</v>
      </c>
      <c r="J28" s="147">
        <f t="shared" si="12"/>
        <v>33.040580456000001</v>
      </c>
      <c r="K28" s="147">
        <f t="shared" si="12"/>
        <v>30.874002687999997</v>
      </c>
      <c r="L28" s="147">
        <f t="shared" si="12"/>
        <v>31.258213271999999</v>
      </c>
      <c r="M28" s="147">
        <f t="shared" si="12"/>
        <v>24.797105424000002</v>
      </c>
      <c r="N28" s="132" t="s">
        <v>138</v>
      </c>
    </row>
    <row r="29" spans="1:14">
      <c r="A29" s="145" t="s">
        <v>320</v>
      </c>
      <c r="B29" s="145" t="s">
        <v>124</v>
      </c>
      <c r="C29" s="299" t="s">
        <v>1</v>
      </c>
      <c r="F29" s="158">
        <f t="shared" ref="F29:M29" si="13">RPIA</f>
        <v>1.167</v>
      </c>
      <c r="G29" s="147">
        <f t="shared" si="13"/>
        <v>1.19</v>
      </c>
      <c r="H29" s="147">
        <f t="shared" si="13"/>
        <v>1.202</v>
      </c>
      <c r="I29" s="147">
        <f t="shared" si="13"/>
        <v>1.228</v>
      </c>
      <c r="J29" s="147">
        <f t="shared" si="13"/>
        <v>1.2869999999999999</v>
      </c>
      <c r="K29" s="147">
        <f t="shared" si="13"/>
        <v>1.323</v>
      </c>
      <c r="L29" s="147">
        <f t="shared" si="13"/>
        <v>1.36</v>
      </c>
      <c r="M29" s="147">
        <f t="shared" si="13"/>
        <v>1.3979999999999999</v>
      </c>
      <c r="N29" s="132" t="s">
        <v>124</v>
      </c>
    </row>
    <row r="30" spans="1:14">
      <c r="A30" s="145" t="s">
        <v>190</v>
      </c>
      <c r="B30" s="145" t="s">
        <v>128</v>
      </c>
      <c r="C30" s="299" t="s">
        <v>118</v>
      </c>
      <c r="F30" s="158">
        <f t="shared" ref="F30:M30" si="14">PVF</f>
        <v>1.0476000000000001</v>
      </c>
      <c r="G30" s="147">
        <f t="shared" si="14"/>
        <v>1.0465</v>
      </c>
      <c r="H30" s="147">
        <f t="shared" si="14"/>
        <v>1.045525</v>
      </c>
      <c r="I30" s="147">
        <f t="shared" si="14"/>
        <v>1.0445899999999999</v>
      </c>
      <c r="J30" s="147">
        <f t="shared" si="14"/>
        <v>1.0476000000000001</v>
      </c>
      <c r="K30" s="147">
        <f t="shared" si="14"/>
        <v>1.0476000000000001</v>
      </c>
      <c r="L30" s="147">
        <f t="shared" si="14"/>
        <v>1.0476000000000001</v>
      </c>
      <c r="M30" s="147">
        <f t="shared" si="14"/>
        <v>1.0476000000000001</v>
      </c>
      <c r="N30" s="132" t="s">
        <v>128</v>
      </c>
    </row>
    <row r="31" spans="1:14">
      <c r="A31" s="145" t="s">
        <v>321</v>
      </c>
      <c r="B31" s="145" t="s">
        <v>117</v>
      </c>
      <c r="C31" s="299" t="s">
        <v>118</v>
      </c>
      <c r="F31" s="158">
        <f t="shared" ref="F31:M31" si="15">RPIF</f>
        <v>1.163</v>
      </c>
      <c r="G31" s="147">
        <f t="shared" si="15"/>
        <v>1.2050000000000001</v>
      </c>
      <c r="H31" s="147">
        <f t="shared" si="15"/>
        <v>1.2270000000000001</v>
      </c>
      <c r="I31" s="147">
        <f t="shared" si="15"/>
        <v>1.2330000000000001</v>
      </c>
      <c r="J31" s="147">
        <f t="shared" si="15"/>
        <v>1.2709999999999999</v>
      </c>
      <c r="K31" s="147">
        <f t="shared" si="15"/>
        <v>1.228</v>
      </c>
      <c r="L31" s="147">
        <f t="shared" si="15"/>
        <v>1.2869999999999999</v>
      </c>
      <c r="M31" s="147">
        <f t="shared" si="15"/>
        <v>1.323</v>
      </c>
      <c r="N31" s="132" t="s">
        <v>117</v>
      </c>
    </row>
    <row r="32" spans="1:14">
      <c r="A32" s="145" t="s">
        <v>26</v>
      </c>
      <c r="B32" s="145" t="s">
        <v>259</v>
      </c>
      <c r="C32" s="299" t="s">
        <v>1</v>
      </c>
      <c r="F32" s="192">
        <f>SUM(F21)</f>
        <v>1.0039499999999999</v>
      </c>
      <c r="G32" s="132"/>
      <c r="H32" s="153">
        <f>MAX(H22*(F23-F24)*F25,-H26*(F27+F28)/F29)*F30*G30*H31</f>
        <v>3.1445685392727274</v>
      </c>
      <c r="I32" s="153">
        <f t="shared" ref="I32:M32" si="16">MAX(I22*(G23-G24)*G25,-I26*(G27+G28)/G29)*G30*H30*I31</f>
        <v>3.0738462792436705</v>
      </c>
      <c r="J32" s="153">
        <f t="shared" si="16"/>
        <v>3.1232615486450621</v>
      </c>
      <c r="K32" s="153">
        <f t="shared" si="16"/>
        <v>3.023585393292</v>
      </c>
      <c r="L32" s="153">
        <f t="shared" si="16"/>
        <v>2.5423891796160003</v>
      </c>
      <c r="M32" s="153">
        <f t="shared" si="16"/>
        <v>2.6135049608640006</v>
      </c>
      <c r="N32" s="132" t="s">
        <v>259</v>
      </c>
    </row>
    <row r="33" spans="1:10">
      <c r="C33" s="275"/>
      <c r="F33" s="132"/>
      <c r="G33" s="132"/>
      <c r="H33" s="132"/>
      <c r="I33" s="132"/>
      <c r="J33" s="132"/>
    </row>
    <row r="34" spans="1:10">
      <c r="C34" s="275"/>
      <c r="F34" s="132"/>
      <c r="G34" s="132"/>
      <c r="H34" s="132"/>
      <c r="I34" s="132"/>
      <c r="J34" s="132"/>
    </row>
    <row r="35" spans="1:10">
      <c r="A35" s="145" t="s">
        <v>415</v>
      </c>
      <c r="C35" s="275"/>
      <c r="G35" s="132"/>
    </row>
    <row r="36" spans="1:10" ht="14.4">
      <c r="C36" s="275"/>
      <c r="F36" s="166">
        <v>2014</v>
      </c>
      <c r="G36" s="132"/>
    </row>
    <row r="37" spans="1:10" ht="13.8">
      <c r="A37" s="128" t="s">
        <v>60</v>
      </c>
      <c r="B37" s="128" t="s">
        <v>416</v>
      </c>
      <c r="C37" s="280" t="s">
        <v>1</v>
      </c>
      <c r="D37" s="128"/>
      <c r="F37" s="174">
        <f>'R6 Base revenue'!F14</f>
        <v>261.81688600000001</v>
      </c>
      <c r="G37" s="129"/>
      <c r="H37" s="129"/>
    </row>
    <row r="38" spans="1:10" ht="13.8">
      <c r="A38" s="128" t="s">
        <v>417</v>
      </c>
      <c r="B38" s="128" t="s">
        <v>418</v>
      </c>
      <c r="C38" s="280" t="s">
        <v>1</v>
      </c>
      <c r="D38" s="128"/>
      <c r="F38" s="174">
        <f>'R6 Base revenue'!E53</f>
        <v>200.79</v>
      </c>
      <c r="G38" s="129"/>
      <c r="H38" s="129"/>
    </row>
    <row r="39" spans="1:10" ht="13.8">
      <c r="A39" s="128"/>
      <c r="B39" s="128"/>
      <c r="C39" s="280"/>
      <c r="D39" s="128"/>
      <c r="F39" s="129"/>
      <c r="G39" s="129"/>
      <c r="H39" s="129"/>
    </row>
    <row r="40" spans="1:10" ht="13.8">
      <c r="A40" s="175" t="s">
        <v>419</v>
      </c>
      <c r="B40" s="128"/>
      <c r="C40" s="280"/>
      <c r="D40" s="128"/>
      <c r="F40" s="129"/>
      <c r="G40" s="129"/>
      <c r="H40" s="129"/>
    </row>
    <row r="41" spans="1:10" ht="13.8">
      <c r="A41" s="128"/>
      <c r="B41" s="128"/>
      <c r="C41" s="280"/>
      <c r="D41" s="128"/>
      <c r="F41" s="129"/>
      <c r="G41" s="129"/>
      <c r="H41" s="129"/>
    </row>
    <row r="42" spans="1:10" ht="13.8">
      <c r="A42" s="128" t="s">
        <v>437</v>
      </c>
      <c r="B42" s="128" t="s">
        <v>420</v>
      </c>
      <c r="C42" s="280" t="s">
        <v>105</v>
      </c>
      <c r="D42" s="128"/>
      <c r="F42" s="176">
        <f>'R4 Licence Condition Values'!F34</f>
        <v>5.0000000000000001E-3</v>
      </c>
      <c r="G42" s="129"/>
      <c r="H42" s="129"/>
    </row>
    <row r="43" spans="1:10" ht="13.8">
      <c r="A43" s="128" t="s">
        <v>438</v>
      </c>
      <c r="B43" s="128" t="s">
        <v>200</v>
      </c>
      <c r="C43" s="280" t="s">
        <v>105</v>
      </c>
      <c r="D43" s="128"/>
      <c r="F43" s="176">
        <f>'R4 Licence Condition Values'!F35</f>
        <v>-7.4999999999999997E-3</v>
      </c>
      <c r="G43" s="129"/>
      <c r="H43" s="129"/>
    </row>
    <row r="44" spans="1:10" ht="13.8">
      <c r="A44" s="128" t="s">
        <v>439</v>
      </c>
      <c r="B44" s="128" t="s">
        <v>421</v>
      </c>
      <c r="C44" s="280" t="s">
        <v>442</v>
      </c>
      <c r="D44" s="128"/>
      <c r="F44" s="177">
        <f>'R4 Licence Condition Values'!F32</f>
        <v>10</v>
      </c>
      <c r="G44" s="129"/>
      <c r="H44" s="129"/>
    </row>
    <row r="45" spans="1:10" ht="13.8">
      <c r="A45" s="128" t="s">
        <v>440</v>
      </c>
      <c r="B45" s="128" t="s">
        <v>422</v>
      </c>
      <c r="C45" s="280" t="s">
        <v>442</v>
      </c>
      <c r="D45" s="128"/>
      <c r="F45" s="177">
        <f>'R4 Licence Condition Values'!F37</f>
        <v>22</v>
      </c>
      <c r="G45" s="129"/>
      <c r="H45" s="129"/>
    </row>
    <row r="46" spans="1:10" ht="13.8">
      <c r="A46" s="128" t="s">
        <v>436</v>
      </c>
      <c r="B46" s="128" t="s">
        <v>423</v>
      </c>
      <c r="C46" s="280"/>
      <c r="D46" s="128"/>
      <c r="F46" s="177">
        <f>'R5 Input page'!F57</f>
        <v>0</v>
      </c>
      <c r="G46" s="129"/>
      <c r="H46" s="129"/>
    </row>
    <row r="47" spans="1:10" ht="13.8">
      <c r="A47" s="128" t="s">
        <v>441</v>
      </c>
      <c r="B47" s="128" t="s">
        <v>424</v>
      </c>
      <c r="C47" s="280" t="s">
        <v>442</v>
      </c>
      <c r="D47" s="128"/>
      <c r="F47" s="177">
        <f>'R4 Licence Condition Values'!F31</f>
        <v>8</v>
      </c>
      <c r="G47" s="129"/>
      <c r="H47" s="129"/>
    </row>
    <row r="48" spans="1:10" ht="13.8">
      <c r="A48" s="128"/>
      <c r="B48" s="128"/>
      <c r="C48" s="275"/>
      <c r="F48" s="129"/>
      <c r="G48" s="129"/>
      <c r="H48" s="129"/>
    </row>
    <row r="49" spans="1:14" ht="13.8">
      <c r="A49" s="128"/>
      <c r="B49" s="128"/>
      <c r="C49" s="280"/>
      <c r="D49" s="128"/>
      <c r="F49" s="129"/>
      <c r="G49" s="129"/>
      <c r="H49" s="129"/>
    </row>
    <row r="50" spans="1:14" ht="13.2">
      <c r="A50" s="128" t="s">
        <v>425</v>
      </c>
      <c r="B50" s="128" t="s">
        <v>426</v>
      </c>
      <c r="C50" s="280" t="s">
        <v>105</v>
      </c>
      <c r="D50" s="128"/>
      <c r="F50" s="193">
        <f>IF(F46&lt;F47,F42*((F47-F46)/F47),IF(F46&gt;F44,MAX(F43,F43*((F46-F44)/(F45-F44))),0))</f>
        <v>5.0000000000000001E-3</v>
      </c>
    </row>
    <row r="51" spans="1:14" ht="13.8">
      <c r="A51" s="128"/>
      <c r="B51" s="128"/>
      <c r="D51" s="128"/>
      <c r="E51" s="129"/>
      <c r="G51" s="132"/>
      <c r="H51" s="132"/>
      <c r="I51" s="132"/>
      <c r="J51" s="132"/>
    </row>
    <row r="52" spans="1:14" ht="13.2">
      <c r="A52" s="128" t="s">
        <v>427</v>
      </c>
      <c r="B52" s="128" t="s">
        <v>259</v>
      </c>
      <c r="C52" s="280" t="s">
        <v>1</v>
      </c>
      <c r="D52" s="128"/>
      <c r="F52" s="194">
        <f>F38*F50</f>
        <v>1.0039499999999999</v>
      </c>
      <c r="G52" s="132"/>
      <c r="H52" s="132"/>
      <c r="I52" s="132"/>
      <c r="J52" s="132"/>
    </row>
    <row r="53" spans="1:14">
      <c r="C53" s="275"/>
      <c r="G53" s="132"/>
    </row>
    <row r="54" spans="1:14">
      <c r="C54" s="275"/>
      <c r="G54" s="132"/>
    </row>
    <row r="55" spans="1:14" ht="13.8">
      <c r="A55" s="167" t="s">
        <v>27</v>
      </c>
      <c r="C55" s="275"/>
      <c r="G55" s="132"/>
    </row>
    <row r="56" spans="1:14">
      <c r="C56" s="275"/>
      <c r="L56" s="132"/>
    </row>
    <row r="57" spans="1:14">
      <c r="A57" s="164" t="s">
        <v>324</v>
      </c>
      <c r="B57" s="164"/>
      <c r="C57" s="275"/>
      <c r="L57" s="132"/>
    </row>
    <row r="58" spans="1:14">
      <c r="A58" s="164" t="s">
        <v>493</v>
      </c>
      <c r="C58" s="275"/>
    </row>
    <row r="59" spans="1:14">
      <c r="C59" s="275"/>
    </row>
    <row r="60" spans="1:14" ht="14.4">
      <c r="C60" s="275"/>
      <c r="F60" s="166">
        <v>2014</v>
      </c>
      <c r="G60" s="125">
        <v>2015</v>
      </c>
      <c r="H60" s="125">
        <v>2016</v>
      </c>
      <c r="I60" s="125">
        <v>2017</v>
      </c>
      <c r="J60" s="125">
        <v>2018</v>
      </c>
      <c r="K60" s="125">
        <v>2019</v>
      </c>
      <c r="L60" s="125">
        <v>2020</v>
      </c>
      <c r="M60" s="125">
        <v>2021</v>
      </c>
    </row>
    <row r="61" spans="1:14">
      <c r="A61" s="145" t="s">
        <v>41</v>
      </c>
      <c r="B61" s="145" t="s">
        <v>326</v>
      </c>
      <c r="C61" s="301"/>
      <c r="F61" s="158">
        <f t="shared" ref="F61:M61" si="17">IF(SER&lt;F73*SERLIMIT,SER,F73*SERLIMIT)</f>
        <v>0</v>
      </c>
      <c r="G61" s="158">
        <f t="shared" si="17"/>
        <v>0</v>
      </c>
      <c r="H61" s="158">
        <f t="shared" si="17"/>
        <v>0</v>
      </c>
      <c r="I61" s="158">
        <f t="shared" si="17"/>
        <v>0</v>
      </c>
      <c r="J61" s="158">
        <f t="shared" si="17"/>
        <v>0</v>
      </c>
      <c r="K61" s="158">
        <f t="shared" si="17"/>
        <v>0</v>
      </c>
      <c r="L61" s="158">
        <f t="shared" si="17"/>
        <v>0</v>
      </c>
      <c r="M61" s="158">
        <f t="shared" si="17"/>
        <v>0</v>
      </c>
      <c r="N61" s="132" t="s">
        <v>326</v>
      </c>
    </row>
    <row r="62" spans="1:14">
      <c r="A62" s="145" t="s">
        <v>42</v>
      </c>
      <c r="B62" s="145" t="s">
        <v>311</v>
      </c>
      <c r="C62" s="300"/>
      <c r="F62" s="158">
        <f t="shared" ref="F62:M62" si="18">SSI</f>
        <v>0</v>
      </c>
      <c r="G62" s="158">
        <f t="shared" si="18"/>
        <v>0</v>
      </c>
      <c r="H62" s="158">
        <f t="shared" si="18"/>
        <v>0</v>
      </c>
      <c r="I62" s="158">
        <f t="shared" si="18"/>
        <v>-2.4932279057143365</v>
      </c>
      <c r="J62" s="158">
        <f t="shared" si="18"/>
        <v>-2.9360870863705353</v>
      </c>
      <c r="K62" s="158">
        <f t="shared" si="18"/>
        <v>-3.0648521960288804</v>
      </c>
      <c r="L62" s="158">
        <f t="shared" si="18"/>
        <v>-3.2885185050019445</v>
      </c>
      <c r="M62" s="158">
        <f t="shared" si="18"/>
        <v>-3.4881606453761362</v>
      </c>
      <c r="N62" s="132" t="s">
        <v>311</v>
      </c>
    </row>
    <row r="63" spans="1:14">
      <c r="A63" s="145" t="s">
        <v>206</v>
      </c>
      <c r="B63" s="145" t="s">
        <v>327</v>
      </c>
      <c r="C63" s="301" t="s">
        <v>105</v>
      </c>
      <c r="F63" s="158">
        <f t="shared" ref="F63:M63" si="19">It</f>
        <v>0.5</v>
      </c>
      <c r="G63" s="147">
        <f t="shared" si="19"/>
        <v>0.5</v>
      </c>
      <c r="H63" s="147">
        <f t="shared" si="19"/>
        <v>0.5</v>
      </c>
      <c r="I63" s="147">
        <f t="shared" si="19"/>
        <v>0.34</v>
      </c>
      <c r="J63" s="147">
        <f t="shared" si="19"/>
        <v>0</v>
      </c>
      <c r="K63" s="147">
        <f t="shared" si="19"/>
        <v>0</v>
      </c>
      <c r="L63" s="147">
        <f t="shared" si="19"/>
        <v>0</v>
      </c>
      <c r="M63" s="147">
        <f t="shared" si="19"/>
        <v>0</v>
      </c>
      <c r="N63" s="132" t="s">
        <v>327</v>
      </c>
    </row>
    <row r="64" spans="1:14">
      <c r="A64" s="145" t="s">
        <v>27</v>
      </c>
      <c r="B64" s="145" t="s">
        <v>322</v>
      </c>
      <c r="C64" s="300"/>
      <c r="F64" s="257"/>
      <c r="G64" s="257"/>
      <c r="H64" s="153">
        <f>SUM(F61:F62)*(1+F63/100)*(1+G63/100)</f>
        <v>0</v>
      </c>
      <c r="I64" s="153">
        <f t="shared" ref="I64:M64" si="20">SUM(G61:G62)*(1+G63/100)*(1+H63/100)</f>
        <v>0</v>
      </c>
      <c r="J64" s="153">
        <f t="shared" si="20"/>
        <v>0</v>
      </c>
      <c r="K64" s="153">
        <f t="shared" si="20"/>
        <v>-2.5017048805937656</v>
      </c>
      <c r="L64" s="153">
        <f t="shared" si="20"/>
        <v>-2.9360870863705353</v>
      </c>
      <c r="M64" s="153">
        <f t="shared" si="20"/>
        <v>-3.0648521960288804</v>
      </c>
      <c r="N64" s="132" t="s">
        <v>322</v>
      </c>
    </row>
    <row r="65" spans="1:14">
      <c r="C65" s="275"/>
      <c r="F65" s="132"/>
      <c r="H65" s="132"/>
      <c r="I65" s="132"/>
    </row>
    <row r="66" spans="1:14">
      <c r="C66" s="275"/>
    </row>
    <row r="67" spans="1:14" ht="13.8">
      <c r="A67" s="373"/>
      <c r="C67" s="275"/>
      <c r="E67" s="178"/>
    </row>
    <row r="68" spans="1:14" ht="18">
      <c r="A68" s="374" t="s">
        <v>312</v>
      </c>
      <c r="C68" s="275"/>
      <c r="D68" s="363"/>
      <c r="F68" s="179" t="s">
        <v>554</v>
      </c>
      <c r="L68" s="132"/>
    </row>
    <row r="69" spans="1:14">
      <c r="A69" s="374" t="s">
        <v>494</v>
      </c>
      <c r="C69" s="275"/>
    </row>
    <row r="70" spans="1:14" ht="14.4">
      <c r="A70" s="373"/>
      <c r="C70" s="275"/>
      <c r="E70" s="344"/>
      <c r="F70" s="166">
        <v>2014</v>
      </c>
      <c r="G70" s="125">
        <v>2015</v>
      </c>
      <c r="H70" s="125">
        <v>2016</v>
      </c>
      <c r="I70" s="125">
        <v>2017</v>
      </c>
      <c r="J70" s="125">
        <v>2018</v>
      </c>
      <c r="K70" s="125">
        <v>2019</v>
      </c>
      <c r="L70" s="125">
        <v>2020</v>
      </c>
      <c r="M70" s="125">
        <v>2021</v>
      </c>
    </row>
    <row r="71" spans="1:14">
      <c r="A71" s="373" t="s">
        <v>202</v>
      </c>
      <c r="B71" s="145" t="s">
        <v>307</v>
      </c>
      <c r="C71" s="302" t="s">
        <v>1</v>
      </c>
      <c r="E71" s="344"/>
      <c r="F71" s="173">
        <f t="shared" ref="F71:M71" si="21">BR</f>
        <v>261.81688600000001</v>
      </c>
      <c r="G71" s="146">
        <f t="shared" si="21"/>
        <v>292.91396867050065</v>
      </c>
      <c r="H71" s="146">
        <f t="shared" si="21"/>
        <v>293.58046195096097</v>
      </c>
      <c r="I71" s="146">
        <f t="shared" si="21"/>
        <v>270.34739485714852</v>
      </c>
      <c r="J71" s="146">
        <f t="shared" si="21"/>
        <v>293.19131802961505</v>
      </c>
      <c r="K71" s="146">
        <f t="shared" si="21"/>
        <v>309.66513020409781</v>
      </c>
      <c r="L71" s="146">
        <f t="shared" si="21"/>
        <v>334.13273172821613</v>
      </c>
      <c r="M71" s="146">
        <f t="shared" si="21"/>
        <v>362.77629961779297</v>
      </c>
      <c r="N71" s="132"/>
    </row>
    <row r="72" spans="1:14">
      <c r="A72" s="373" t="s">
        <v>203</v>
      </c>
      <c r="B72" s="145" t="s">
        <v>138</v>
      </c>
      <c r="C72" s="302" t="s">
        <v>1</v>
      </c>
      <c r="E72" s="344"/>
      <c r="F72" s="173">
        <f t="shared" ref="F72:M72" si="22">TIRG</f>
        <v>26.21188008</v>
      </c>
      <c r="G72" s="146">
        <f t="shared" si="22"/>
        <v>21.199189039999997</v>
      </c>
      <c r="H72" s="146">
        <f t="shared" si="22"/>
        <v>19.893881064000002</v>
      </c>
      <c r="I72" s="146">
        <f t="shared" si="22"/>
        <v>6.6779280000000005</v>
      </c>
      <c r="J72" s="146">
        <f t="shared" si="22"/>
        <v>33.040580456000001</v>
      </c>
      <c r="K72" s="146">
        <f t="shared" si="22"/>
        <v>30.874002687999997</v>
      </c>
      <c r="L72" s="146">
        <f t="shared" si="22"/>
        <v>31.258213271999999</v>
      </c>
      <c r="M72" s="146">
        <f t="shared" si="22"/>
        <v>24.797105424000002</v>
      </c>
      <c r="N72" s="132"/>
    </row>
    <row r="73" spans="1:14">
      <c r="A73" s="373"/>
      <c r="B73" s="145" t="s">
        <v>84</v>
      </c>
      <c r="C73" s="302" t="s">
        <v>1</v>
      </c>
      <c r="E73" s="344"/>
      <c r="F73" s="195">
        <f>F71+F72</f>
        <v>288.02876608000003</v>
      </c>
      <c r="G73" s="152">
        <f t="shared" ref="G73:M73" si="23">G71+G72</f>
        <v>314.11315771050067</v>
      </c>
      <c r="H73" s="152">
        <f t="shared" si="23"/>
        <v>313.47434301496099</v>
      </c>
      <c r="I73" s="152">
        <f t="shared" si="23"/>
        <v>277.02532285714852</v>
      </c>
      <c r="J73" s="152">
        <f t="shared" si="23"/>
        <v>326.23189848561503</v>
      </c>
      <c r="K73" s="152">
        <f t="shared" si="23"/>
        <v>340.53913289209783</v>
      </c>
      <c r="L73" s="152">
        <f t="shared" si="23"/>
        <v>365.39094500021611</v>
      </c>
      <c r="M73" s="152">
        <f t="shared" si="23"/>
        <v>387.57340504179297</v>
      </c>
      <c r="N73" s="132"/>
    </row>
    <row r="74" spans="1:14">
      <c r="A74" s="373" t="s">
        <v>550</v>
      </c>
      <c r="B74" s="145" t="s">
        <v>549</v>
      </c>
      <c r="C74" s="302" t="s">
        <v>118</v>
      </c>
      <c r="E74" s="344"/>
      <c r="F74" s="173">
        <f t="shared" ref="F74:M74" si="24">SSPRO</f>
        <v>0</v>
      </c>
      <c r="G74" s="173">
        <f t="shared" si="24"/>
        <v>0</v>
      </c>
      <c r="H74" s="173">
        <f t="shared" si="24"/>
        <v>0</v>
      </c>
      <c r="I74" s="173">
        <f t="shared" si="24"/>
        <v>0.6</v>
      </c>
      <c r="J74" s="173">
        <f t="shared" si="24"/>
        <v>0.6</v>
      </c>
      <c r="K74" s="173">
        <f t="shared" si="24"/>
        <v>0.6</v>
      </c>
      <c r="L74" s="173">
        <f t="shared" si="24"/>
        <v>0.6</v>
      </c>
      <c r="M74" s="173">
        <f t="shared" si="24"/>
        <v>0.6</v>
      </c>
      <c r="N74" s="132"/>
    </row>
    <row r="75" spans="1:14">
      <c r="A75" s="373" t="s">
        <v>204</v>
      </c>
      <c r="B75" s="145" t="s">
        <v>313</v>
      </c>
      <c r="C75" s="302" t="s">
        <v>118</v>
      </c>
      <c r="E75" s="344"/>
      <c r="F75" s="173">
        <f>F95</f>
        <v>0</v>
      </c>
      <c r="G75" s="173">
        <f t="shared" ref="G75:M75" si="25">G95</f>
        <v>0</v>
      </c>
      <c r="H75" s="173">
        <f t="shared" si="25"/>
        <v>0</v>
      </c>
      <c r="I75" s="173">
        <f t="shared" si="25"/>
        <v>-1</v>
      </c>
      <c r="J75" s="173">
        <f t="shared" si="25"/>
        <v>-1</v>
      </c>
      <c r="K75" s="173">
        <f t="shared" si="25"/>
        <v>-1</v>
      </c>
      <c r="L75" s="173">
        <f t="shared" si="25"/>
        <v>-1</v>
      </c>
      <c r="M75" s="173">
        <f t="shared" si="25"/>
        <v>-1</v>
      </c>
      <c r="N75" s="132"/>
    </row>
    <row r="76" spans="1:14">
      <c r="A76" s="373"/>
      <c r="B76" s="145" t="s">
        <v>205</v>
      </c>
      <c r="C76" s="302" t="s">
        <v>118</v>
      </c>
      <c r="E76" s="344"/>
      <c r="F76" s="192">
        <f>F74*F75</f>
        <v>0</v>
      </c>
      <c r="G76" s="153">
        <f t="shared" ref="G76:M76" si="26">G74*G75</f>
        <v>0</v>
      </c>
      <c r="H76" s="153">
        <f t="shared" si="26"/>
        <v>0</v>
      </c>
      <c r="I76" s="153">
        <f t="shared" si="26"/>
        <v>-0.6</v>
      </c>
      <c r="J76" s="153">
        <f t="shared" si="26"/>
        <v>-0.6</v>
      </c>
      <c r="K76" s="153">
        <f t="shared" si="26"/>
        <v>-0.6</v>
      </c>
      <c r="L76" s="153">
        <f t="shared" si="26"/>
        <v>-0.6</v>
      </c>
      <c r="M76" s="153">
        <f t="shared" si="26"/>
        <v>-0.6</v>
      </c>
      <c r="N76" s="132"/>
    </row>
    <row r="77" spans="1:14">
      <c r="A77" s="373" t="s">
        <v>550</v>
      </c>
      <c r="B77" s="145" t="s">
        <v>551</v>
      </c>
      <c r="C77" s="302" t="s">
        <v>118</v>
      </c>
      <c r="E77" s="344"/>
      <c r="F77" s="173">
        <f t="shared" ref="F77:M77" si="27">SKPIPRO</f>
        <v>0</v>
      </c>
      <c r="G77" s="173">
        <f t="shared" si="27"/>
        <v>0</v>
      </c>
      <c r="H77" s="173">
        <f t="shared" si="27"/>
        <v>0</v>
      </c>
      <c r="I77" s="173">
        <f t="shared" si="27"/>
        <v>0.3</v>
      </c>
      <c r="J77" s="173">
        <f t="shared" si="27"/>
        <v>0.3</v>
      </c>
      <c r="K77" s="173">
        <f t="shared" si="27"/>
        <v>0.3</v>
      </c>
      <c r="L77" s="173">
        <f t="shared" si="27"/>
        <v>0.3</v>
      </c>
      <c r="M77" s="173">
        <f t="shared" si="27"/>
        <v>0.3</v>
      </c>
      <c r="N77" s="132"/>
    </row>
    <row r="78" spans="1:14">
      <c r="A78" s="373" t="s">
        <v>204</v>
      </c>
      <c r="B78" s="145" t="s">
        <v>314</v>
      </c>
      <c r="C78" s="302" t="s">
        <v>118</v>
      </c>
      <c r="E78" s="344"/>
      <c r="F78" s="173">
        <f t="shared" ref="F78:M78" si="28">SKPI</f>
        <v>0</v>
      </c>
      <c r="G78" s="173">
        <f t="shared" si="28"/>
        <v>0</v>
      </c>
      <c r="H78" s="173">
        <f t="shared" si="28"/>
        <v>0</v>
      </c>
      <c r="I78" s="173">
        <f t="shared" si="28"/>
        <v>-1</v>
      </c>
      <c r="J78" s="173">
        <f t="shared" si="28"/>
        <v>-1</v>
      </c>
      <c r="K78" s="173">
        <f t="shared" si="28"/>
        <v>-1</v>
      </c>
      <c r="L78" s="173">
        <f t="shared" si="28"/>
        <v>-1</v>
      </c>
      <c r="M78" s="173">
        <f t="shared" si="28"/>
        <v>-1</v>
      </c>
      <c r="N78" s="132"/>
    </row>
    <row r="79" spans="1:14">
      <c r="A79" s="373"/>
      <c r="B79" s="145" t="s">
        <v>205</v>
      </c>
      <c r="C79" s="302" t="s">
        <v>118</v>
      </c>
      <c r="E79" s="344"/>
      <c r="F79" s="192">
        <f>F77*F78</f>
        <v>0</v>
      </c>
      <c r="G79" s="153">
        <f t="shared" ref="G79:M79" si="29">G77*G78</f>
        <v>0</v>
      </c>
      <c r="H79" s="153">
        <f t="shared" si="29"/>
        <v>0</v>
      </c>
      <c r="I79" s="153">
        <f t="shared" si="29"/>
        <v>-0.3</v>
      </c>
      <c r="J79" s="153">
        <f t="shared" si="29"/>
        <v>-0.3</v>
      </c>
      <c r="K79" s="153">
        <f t="shared" si="29"/>
        <v>-0.3</v>
      </c>
      <c r="L79" s="153">
        <f t="shared" si="29"/>
        <v>-0.3</v>
      </c>
      <c r="M79" s="153">
        <f t="shared" si="29"/>
        <v>-0.3</v>
      </c>
      <c r="N79" s="132"/>
    </row>
    <row r="80" spans="1:14">
      <c r="A80" s="373" t="s">
        <v>550</v>
      </c>
      <c r="B80" s="145" t="s">
        <v>552</v>
      </c>
      <c r="C80" s="302" t="s">
        <v>118</v>
      </c>
      <c r="E80" s="344"/>
      <c r="F80" s="173">
        <f t="shared" ref="F80:M80" si="30">SEAPRO</f>
        <v>0.1</v>
      </c>
      <c r="G80" s="173">
        <f t="shared" si="30"/>
        <v>0.1</v>
      </c>
      <c r="H80" s="173">
        <f t="shared" si="30"/>
        <v>0.1</v>
      </c>
      <c r="I80" s="173">
        <f t="shared" si="30"/>
        <v>0.1</v>
      </c>
      <c r="J80" s="173">
        <f t="shared" si="30"/>
        <v>0.1</v>
      </c>
      <c r="K80" s="173">
        <f t="shared" si="30"/>
        <v>0.1</v>
      </c>
      <c r="L80" s="173">
        <f t="shared" si="30"/>
        <v>0.1</v>
      </c>
      <c r="M80" s="173">
        <f t="shared" si="30"/>
        <v>0.1</v>
      </c>
      <c r="N80" s="132"/>
    </row>
    <row r="81" spans="1:14">
      <c r="A81" s="373" t="s">
        <v>204</v>
      </c>
      <c r="B81" s="145" t="s">
        <v>315</v>
      </c>
      <c r="C81" s="302" t="s">
        <v>118</v>
      </c>
      <c r="E81" s="344"/>
      <c r="F81" s="173">
        <f t="shared" ref="F81:M81" si="31">SEA</f>
        <v>0</v>
      </c>
      <c r="G81" s="173">
        <f t="shared" si="31"/>
        <v>0</v>
      </c>
      <c r="H81" s="173">
        <f t="shared" si="31"/>
        <v>0</v>
      </c>
      <c r="I81" s="173">
        <f t="shared" si="31"/>
        <v>0</v>
      </c>
      <c r="J81" s="173">
        <f t="shared" si="31"/>
        <v>0</v>
      </c>
      <c r="K81" s="173">
        <f t="shared" si="31"/>
        <v>0</v>
      </c>
      <c r="L81" s="173">
        <f t="shared" si="31"/>
        <v>0</v>
      </c>
      <c r="M81" s="173">
        <f t="shared" si="31"/>
        <v>0</v>
      </c>
      <c r="N81" s="132"/>
    </row>
    <row r="82" spans="1:14">
      <c r="A82" s="373"/>
      <c r="B82" s="145" t="s">
        <v>205</v>
      </c>
      <c r="C82" s="302" t="s">
        <v>118</v>
      </c>
      <c r="E82" s="344"/>
      <c r="F82" s="192">
        <f>F80*F81</f>
        <v>0</v>
      </c>
      <c r="G82" s="153">
        <f t="shared" ref="G82:M82" si="32">G80*G81</f>
        <v>0</v>
      </c>
      <c r="H82" s="153">
        <f t="shared" si="32"/>
        <v>0</v>
      </c>
      <c r="I82" s="153">
        <f t="shared" si="32"/>
        <v>0</v>
      </c>
      <c r="J82" s="153">
        <f t="shared" si="32"/>
        <v>0</v>
      </c>
      <c r="K82" s="153">
        <f t="shared" si="32"/>
        <v>0</v>
      </c>
      <c r="L82" s="153">
        <f t="shared" si="32"/>
        <v>0</v>
      </c>
      <c r="M82" s="153">
        <f t="shared" si="32"/>
        <v>0</v>
      </c>
    </row>
    <row r="83" spans="1:14">
      <c r="A83" s="373" t="s">
        <v>42</v>
      </c>
      <c r="B83" s="145" t="s">
        <v>311</v>
      </c>
      <c r="C83" s="272"/>
      <c r="E83" s="344"/>
      <c r="F83" s="368">
        <f>0.01*(F76+F79+F82)*(F71+F72)</f>
        <v>0</v>
      </c>
      <c r="G83" s="153">
        <f>0.01*(G76+G79+G82)*(G71+G72)</f>
        <v>0</v>
      </c>
      <c r="H83" s="153">
        <f t="shared" ref="H83:M83" si="33">0.01*(H76+H79+H82)*(H71+H72)</f>
        <v>0</v>
      </c>
      <c r="I83" s="153">
        <f t="shared" si="33"/>
        <v>-2.4932279057143365</v>
      </c>
      <c r="J83" s="153">
        <f t="shared" si="33"/>
        <v>-2.9360870863705353</v>
      </c>
      <c r="K83" s="153">
        <f t="shared" si="33"/>
        <v>-3.0648521960288804</v>
      </c>
      <c r="L83" s="153">
        <f t="shared" si="33"/>
        <v>-3.2885185050019445</v>
      </c>
      <c r="M83" s="153">
        <f t="shared" si="33"/>
        <v>-3.4881606453761362</v>
      </c>
      <c r="N83" s="132" t="s">
        <v>311</v>
      </c>
    </row>
    <row r="84" spans="1:14">
      <c r="A84" s="373"/>
      <c r="C84" s="275"/>
      <c r="F84" s="132"/>
      <c r="I84" s="132"/>
      <c r="N84" s="132"/>
    </row>
    <row r="85" spans="1:14" ht="15.6">
      <c r="A85" s="373"/>
      <c r="C85" s="275"/>
      <c r="F85" s="362" t="s">
        <v>553</v>
      </c>
      <c r="K85" s="362" t="s">
        <v>556</v>
      </c>
      <c r="N85" s="132"/>
    </row>
    <row r="86" spans="1:14" s="305" customFormat="1" ht="15.6">
      <c r="A86" s="374" t="s">
        <v>559</v>
      </c>
      <c r="B86" s="344"/>
      <c r="C86" s="309"/>
      <c r="D86" s="344"/>
      <c r="E86" s="344"/>
      <c r="F86" s="180" t="s">
        <v>555</v>
      </c>
      <c r="K86" s="180" t="s">
        <v>557</v>
      </c>
      <c r="N86" s="132"/>
    </row>
    <row r="87" spans="1:14" s="305" customFormat="1" ht="15.6">
      <c r="A87" s="374" t="s">
        <v>558</v>
      </c>
      <c r="B87" s="344"/>
      <c r="C87" s="309"/>
      <c r="D87" s="344"/>
      <c r="E87" s="344"/>
      <c r="F87" s="180"/>
      <c r="N87" s="132"/>
    </row>
    <row r="88" spans="1:14" s="305" customFormat="1" ht="15.6">
      <c r="A88" s="373"/>
      <c r="B88" s="344"/>
      <c r="C88" s="309"/>
      <c r="D88" s="344"/>
      <c r="E88" s="344"/>
      <c r="F88" s="180"/>
      <c r="N88" s="132"/>
    </row>
    <row r="89" spans="1:14" s="305" customFormat="1">
      <c r="A89" s="373" t="s">
        <v>560</v>
      </c>
      <c r="B89" s="140" t="s">
        <v>567</v>
      </c>
      <c r="C89" s="305" t="s">
        <v>561</v>
      </c>
      <c r="F89" s="158">
        <f t="shared" ref="F89:M89" si="34">SST</f>
        <v>0</v>
      </c>
      <c r="G89" s="158">
        <f t="shared" si="34"/>
        <v>0</v>
      </c>
      <c r="H89" s="158">
        <f t="shared" si="34"/>
        <v>0</v>
      </c>
      <c r="I89" s="158">
        <f t="shared" si="34"/>
        <v>7.4</v>
      </c>
      <c r="J89" s="158">
        <f t="shared" si="34"/>
        <v>7.4</v>
      </c>
      <c r="K89" s="158">
        <f t="shared" si="34"/>
        <v>7.4</v>
      </c>
      <c r="L89" s="158">
        <f t="shared" si="34"/>
        <v>7.4</v>
      </c>
      <c r="M89" s="158">
        <f t="shared" si="34"/>
        <v>7.4</v>
      </c>
      <c r="N89" s="365"/>
    </row>
    <row r="90" spans="1:14" s="305" customFormat="1">
      <c r="A90" s="373" t="s">
        <v>562</v>
      </c>
      <c r="B90" s="140" t="s">
        <v>568</v>
      </c>
      <c r="C90" s="305" t="s">
        <v>561</v>
      </c>
      <c r="F90" s="158">
        <f t="shared" ref="F90:M90" si="35">SSCAP</f>
        <v>0</v>
      </c>
      <c r="G90" s="158">
        <f t="shared" si="35"/>
        <v>0</v>
      </c>
      <c r="H90" s="158">
        <f t="shared" si="35"/>
        <v>0</v>
      </c>
      <c r="I90" s="158">
        <f t="shared" si="35"/>
        <v>9</v>
      </c>
      <c r="J90" s="158">
        <f t="shared" si="35"/>
        <v>9</v>
      </c>
      <c r="K90" s="158">
        <f t="shared" si="35"/>
        <v>9</v>
      </c>
      <c r="L90" s="158">
        <f t="shared" si="35"/>
        <v>9</v>
      </c>
      <c r="M90" s="158">
        <f t="shared" si="35"/>
        <v>9</v>
      </c>
      <c r="N90" s="365"/>
    </row>
    <row r="91" spans="1:14" s="305" customFormat="1">
      <c r="A91" s="373" t="s">
        <v>563</v>
      </c>
      <c r="B91" s="344" t="s">
        <v>569</v>
      </c>
      <c r="C91" s="305" t="s">
        <v>595</v>
      </c>
      <c r="F91" s="370">
        <f t="shared" ref="F91:M91" si="36">SSUPA</f>
        <v>1</v>
      </c>
      <c r="G91" s="370">
        <f t="shared" si="36"/>
        <v>1</v>
      </c>
      <c r="H91" s="370">
        <f t="shared" si="36"/>
        <v>1</v>
      </c>
      <c r="I91" s="370">
        <f t="shared" si="36"/>
        <v>1</v>
      </c>
      <c r="J91" s="370">
        <f t="shared" si="36"/>
        <v>1</v>
      </c>
      <c r="K91" s="370">
        <f t="shared" si="36"/>
        <v>1</v>
      </c>
      <c r="L91" s="370">
        <f t="shared" si="36"/>
        <v>1</v>
      </c>
      <c r="M91" s="370">
        <f t="shared" si="36"/>
        <v>1</v>
      </c>
      <c r="N91" s="132"/>
    </row>
    <row r="92" spans="1:14" s="305" customFormat="1">
      <c r="A92" s="373" t="s">
        <v>564</v>
      </c>
      <c r="B92" s="140" t="s">
        <v>570</v>
      </c>
      <c r="C92" s="305" t="s">
        <v>561</v>
      </c>
      <c r="F92" s="371">
        <f t="shared" ref="F92:M92" si="37">SSCOL</f>
        <v>0</v>
      </c>
      <c r="G92" s="371">
        <f t="shared" si="37"/>
        <v>0</v>
      </c>
      <c r="H92" s="371">
        <f t="shared" si="37"/>
        <v>0</v>
      </c>
      <c r="I92" s="371">
        <f t="shared" si="37"/>
        <v>5.8</v>
      </c>
      <c r="J92" s="371">
        <f t="shared" si="37"/>
        <v>5.8</v>
      </c>
      <c r="K92" s="371">
        <f t="shared" si="37"/>
        <v>5.8</v>
      </c>
      <c r="L92" s="371">
        <f t="shared" si="37"/>
        <v>5.8</v>
      </c>
      <c r="M92" s="371">
        <f t="shared" si="37"/>
        <v>5.8</v>
      </c>
      <c r="N92" s="365"/>
    </row>
    <row r="93" spans="1:14" s="305" customFormat="1">
      <c r="A93" s="373" t="s">
        <v>565</v>
      </c>
      <c r="B93" s="140" t="s">
        <v>571</v>
      </c>
      <c r="C93" s="305" t="s">
        <v>596</v>
      </c>
      <c r="F93" s="370">
        <f t="shared" ref="F93:M93" si="38">SSDPA</f>
        <v>-1</v>
      </c>
      <c r="G93" s="370">
        <f t="shared" si="38"/>
        <v>-1</v>
      </c>
      <c r="H93" s="370">
        <f t="shared" si="38"/>
        <v>-1</v>
      </c>
      <c r="I93" s="370">
        <f t="shared" si="38"/>
        <v>-1</v>
      </c>
      <c r="J93" s="370">
        <f t="shared" si="38"/>
        <v>-1</v>
      </c>
      <c r="K93" s="370">
        <f t="shared" si="38"/>
        <v>-1</v>
      </c>
      <c r="L93" s="370">
        <f t="shared" si="38"/>
        <v>-1</v>
      </c>
      <c r="M93" s="370">
        <f t="shared" si="38"/>
        <v>-1</v>
      </c>
      <c r="N93" s="365"/>
    </row>
    <row r="94" spans="1:14" s="305" customFormat="1">
      <c r="A94" s="373" t="s">
        <v>566</v>
      </c>
      <c r="B94" s="140" t="s">
        <v>325</v>
      </c>
      <c r="C94" s="305" t="s">
        <v>561</v>
      </c>
      <c r="F94" s="158">
        <f t="shared" ref="F94:M94" si="39">SSC</f>
        <v>0</v>
      </c>
      <c r="G94" s="158">
        <f t="shared" si="39"/>
        <v>0</v>
      </c>
      <c r="H94" s="158">
        <f t="shared" si="39"/>
        <v>0</v>
      </c>
      <c r="I94" s="158">
        <f t="shared" si="39"/>
        <v>0</v>
      </c>
      <c r="J94" s="158">
        <f t="shared" si="39"/>
        <v>0</v>
      </c>
      <c r="K94" s="158">
        <f t="shared" si="39"/>
        <v>0</v>
      </c>
      <c r="L94" s="158">
        <f t="shared" si="39"/>
        <v>0</v>
      </c>
      <c r="M94" s="158">
        <f t="shared" si="39"/>
        <v>0</v>
      </c>
      <c r="N94" s="132"/>
    </row>
    <row r="95" spans="1:14" s="305" customFormat="1">
      <c r="A95" s="373"/>
      <c r="B95" s="140" t="s">
        <v>313</v>
      </c>
      <c r="C95" s="305" t="s">
        <v>118</v>
      </c>
      <c r="D95" s="191"/>
      <c r="E95" s="191"/>
      <c r="F95" s="393"/>
      <c r="G95" s="393"/>
      <c r="H95" s="394"/>
      <c r="I95" s="364">
        <f t="shared" ref="I95:M95" si="40">IF(I94&gt;I89,MIN(I91,I91*(I94-I89)/(I90-I89)),IF(I94&lt;I89,MAX(I93,I93*(I89-I94)/(I89-I92)),0))</f>
        <v>-1</v>
      </c>
      <c r="J95" s="364">
        <f>IF(J94&gt;J89,MIN(J91,J91*(J94-J89)/(J90-J89)),IF(J94&lt;J89,MAX(J93,J93*(J89-J94)/(J89-J92)),0))</f>
        <v>-1</v>
      </c>
      <c r="K95" s="364">
        <f t="shared" si="40"/>
        <v>-1</v>
      </c>
      <c r="L95" s="364">
        <f t="shared" si="40"/>
        <v>-1</v>
      </c>
      <c r="M95" s="364">
        <f t="shared" si="40"/>
        <v>-1</v>
      </c>
      <c r="N95" s="132"/>
    </row>
    <row r="96" spans="1:14" s="305" customFormat="1" ht="15.6">
      <c r="A96" s="373"/>
      <c r="B96" s="344"/>
      <c r="C96" s="309"/>
      <c r="D96" s="344"/>
      <c r="E96" s="344"/>
      <c r="F96" s="180"/>
      <c r="N96" s="132"/>
    </row>
    <row r="97" spans="1:14" s="305" customFormat="1" ht="15.6">
      <c r="A97" s="190"/>
      <c r="B97" s="344"/>
      <c r="C97" s="309"/>
      <c r="D97" s="344"/>
      <c r="E97" s="344"/>
      <c r="F97" s="180"/>
      <c r="N97" s="132"/>
    </row>
    <row r="98" spans="1:14" ht="15.6">
      <c r="A98" s="374" t="s">
        <v>575</v>
      </c>
      <c r="C98" s="275"/>
      <c r="F98" s="362" t="s">
        <v>576</v>
      </c>
      <c r="J98" s="132"/>
      <c r="L98" s="362" t="s">
        <v>578</v>
      </c>
    </row>
    <row r="99" spans="1:14" ht="15.6">
      <c r="A99" s="374" t="s">
        <v>558</v>
      </c>
      <c r="C99" s="275"/>
      <c r="F99" s="180" t="s">
        <v>577</v>
      </c>
      <c r="L99" s="180" t="s">
        <v>579</v>
      </c>
    </row>
    <row r="100" spans="1:14">
      <c r="A100" s="373"/>
      <c r="C100" s="275"/>
    </row>
    <row r="101" spans="1:14" s="305" customFormat="1">
      <c r="A101" s="373" t="s">
        <v>581</v>
      </c>
      <c r="B101" s="140" t="s">
        <v>580</v>
      </c>
      <c r="C101" s="305" t="s">
        <v>561</v>
      </c>
      <c r="F101" s="158">
        <f t="shared" ref="F101:M101" si="41">SKPIT</f>
        <v>0</v>
      </c>
      <c r="G101" s="158">
        <f t="shared" si="41"/>
        <v>0</v>
      </c>
      <c r="H101" s="158">
        <f t="shared" si="41"/>
        <v>0</v>
      </c>
      <c r="I101" s="158">
        <f t="shared" si="41"/>
        <v>69</v>
      </c>
      <c r="J101" s="158">
        <f t="shared" si="41"/>
        <v>69</v>
      </c>
      <c r="K101" s="158">
        <f t="shared" si="41"/>
        <v>69</v>
      </c>
      <c r="L101" s="158">
        <f t="shared" si="41"/>
        <v>69</v>
      </c>
      <c r="M101" s="158">
        <f t="shared" si="41"/>
        <v>69</v>
      </c>
    </row>
    <row r="102" spans="1:14" s="305" customFormat="1">
      <c r="A102" s="373" t="s">
        <v>587</v>
      </c>
      <c r="B102" s="140" t="s">
        <v>582</v>
      </c>
      <c r="C102" s="305" t="s">
        <v>561</v>
      </c>
      <c r="F102" s="158">
        <f t="shared" ref="F102:M102" si="42">SKPICAP</f>
        <v>0</v>
      </c>
      <c r="G102" s="158">
        <f t="shared" si="42"/>
        <v>0</v>
      </c>
      <c r="H102" s="158">
        <f t="shared" si="42"/>
        <v>0</v>
      </c>
      <c r="I102" s="158">
        <f t="shared" si="42"/>
        <v>85</v>
      </c>
      <c r="J102" s="158">
        <f t="shared" si="42"/>
        <v>85</v>
      </c>
      <c r="K102" s="158">
        <f t="shared" si="42"/>
        <v>85</v>
      </c>
      <c r="L102" s="158">
        <f t="shared" si="42"/>
        <v>85</v>
      </c>
      <c r="M102" s="158">
        <f t="shared" si="42"/>
        <v>85</v>
      </c>
    </row>
    <row r="103" spans="1:14" s="305" customFormat="1">
      <c r="A103" s="373" t="s">
        <v>588</v>
      </c>
      <c r="B103" s="344" t="s">
        <v>583</v>
      </c>
      <c r="C103" s="305" t="s">
        <v>595</v>
      </c>
      <c r="F103" s="354">
        <f t="shared" ref="F103:M103" si="43">SKPIUPA</f>
        <v>1</v>
      </c>
      <c r="G103" s="354">
        <f t="shared" si="43"/>
        <v>1</v>
      </c>
      <c r="H103" s="354">
        <f t="shared" si="43"/>
        <v>1</v>
      </c>
      <c r="I103" s="354">
        <f t="shared" si="43"/>
        <v>1</v>
      </c>
      <c r="J103" s="354">
        <f t="shared" si="43"/>
        <v>1</v>
      </c>
      <c r="K103" s="354">
        <f t="shared" si="43"/>
        <v>1</v>
      </c>
      <c r="L103" s="354">
        <f t="shared" si="43"/>
        <v>1</v>
      </c>
      <c r="M103" s="354">
        <f t="shared" si="43"/>
        <v>1</v>
      </c>
    </row>
    <row r="104" spans="1:14" s="305" customFormat="1">
      <c r="A104" s="373" t="s">
        <v>589</v>
      </c>
      <c r="B104" s="140" t="s">
        <v>584</v>
      </c>
      <c r="C104" s="305" t="s">
        <v>561</v>
      </c>
      <c r="F104" s="354">
        <f t="shared" ref="F104:M104" si="44">SKPICOL</f>
        <v>0</v>
      </c>
      <c r="G104" s="354">
        <f t="shared" si="44"/>
        <v>0</v>
      </c>
      <c r="H104" s="354">
        <f t="shared" si="44"/>
        <v>0</v>
      </c>
      <c r="I104" s="354">
        <f t="shared" si="44"/>
        <v>53</v>
      </c>
      <c r="J104" s="354">
        <f t="shared" si="44"/>
        <v>53</v>
      </c>
      <c r="K104" s="354">
        <f t="shared" si="44"/>
        <v>53</v>
      </c>
      <c r="L104" s="354">
        <f t="shared" si="44"/>
        <v>53</v>
      </c>
      <c r="M104" s="354">
        <f t="shared" si="44"/>
        <v>53</v>
      </c>
    </row>
    <row r="105" spans="1:14" s="305" customFormat="1">
      <c r="A105" s="373" t="s">
        <v>590</v>
      </c>
      <c r="B105" s="140" t="s">
        <v>585</v>
      </c>
      <c r="C105" s="305" t="s">
        <v>595</v>
      </c>
      <c r="F105" s="354">
        <f t="shared" ref="F105:M105" si="45">SKPIDPA</f>
        <v>-1</v>
      </c>
      <c r="G105" s="354">
        <f t="shared" si="45"/>
        <v>-1</v>
      </c>
      <c r="H105" s="354">
        <f t="shared" si="45"/>
        <v>-1</v>
      </c>
      <c r="I105" s="354">
        <f t="shared" si="45"/>
        <v>-1</v>
      </c>
      <c r="J105" s="354">
        <f t="shared" si="45"/>
        <v>-1</v>
      </c>
      <c r="K105" s="354">
        <f t="shared" si="45"/>
        <v>-1</v>
      </c>
      <c r="L105" s="354">
        <f t="shared" si="45"/>
        <v>-1</v>
      </c>
      <c r="M105" s="354">
        <f t="shared" si="45"/>
        <v>-1</v>
      </c>
    </row>
    <row r="106" spans="1:14" s="305" customFormat="1">
      <c r="A106" s="373" t="s">
        <v>591</v>
      </c>
      <c r="B106" s="140" t="s">
        <v>586</v>
      </c>
      <c r="C106" s="305" t="s">
        <v>561</v>
      </c>
      <c r="F106" s="158">
        <f t="shared" ref="F106:M106" si="46">SKPIC</f>
        <v>0</v>
      </c>
      <c r="G106" s="158">
        <f t="shared" si="46"/>
        <v>0</v>
      </c>
      <c r="H106" s="158">
        <f t="shared" si="46"/>
        <v>0</v>
      </c>
      <c r="I106" s="158">
        <f t="shared" si="46"/>
        <v>0</v>
      </c>
      <c r="J106" s="158">
        <f t="shared" si="46"/>
        <v>0</v>
      </c>
      <c r="K106" s="158">
        <f t="shared" si="46"/>
        <v>0</v>
      </c>
      <c r="L106" s="158">
        <f t="shared" si="46"/>
        <v>0</v>
      </c>
      <c r="M106" s="158">
        <f t="shared" si="46"/>
        <v>0</v>
      </c>
    </row>
    <row r="107" spans="1:14" s="305" customFormat="1">
      <c r="A107" s="373"/>
      <c r="B107" s="140" t="s">
        <v>314</v>
      </c>
      <c r="C107" s="305" t="s">
        <v>118</v>
      </c>
      <c r="D107" s="191"/>
      <c r="E107" s="191"/>
      <c r="F107" s="393"/>
      <c r="G107" s="393"/>
      <c r="H107" s="394"/>
      <c r="I107" s="364">
        <f t="shared" ref="I107" si="47">IF(I106&gt;I101,MIN(I103,I103*(I106-I101)/(I102-I101)),IF(I106&lt;I101,MAX(I105,I105*(I101-I106)/(I101-I104)),0))</f>
        <v>-1</v>
      </c>
      <c r="J107" s="364">
        <f>IF(J106&gt;J101,MIN(J103,J103*(J106-J101)/(J102-J101)),IF(J106&lt;J101,MAX(J105,J105*(J101-J106)/(J101-J104)),0))</f>
        <v>-1</v>
      </c>
      <c r="K107" s="364">
        <f t="shared" ref="K107:L107" si="48">IF(K106&gt;K101,MIN(K103,K103*(K106-K101)/(K102-K101)),IF(K106&lt;K101,MAX(K105,K105*(K101-K106)/(K101-K104)),0))</f>
        <v>-1</v>
      </c>
      <c r="L107" s="364">
        <f t="shared" si="48"/>
        <v>-1</v>
      </c>
      <c r="M107" s="364">
        <f>IF(M106&gt;M101,MIN(M103,M103*(M106-M101)/(M102-M101)),IF(M106&lt;M101,MAX(M105,M105*(M101-M106)/(M101-M104)),0))</f>
        <v>-1</v>
      </c>
      <c r="N107" s="132" t="s">
        <v>314</v>
      </c>
    </row>
    <row r="108" spans="1:14" s="305" customFormat="1">
      <c r="A108" s="344"/>
      <c r="B108" s="344"/>
      <c r="C108" s="309"/>
      <c r="D108" s="344"/>
      <c r="E108" s="344"/>
      <c r="F108" s="344"/>
    </row>
    <row r="109" spans="1:14">
      <c r="C109" s="275"/>
    </row>
    <row r="110" spans="1:14" ht="13.8">
      <c r="A110" s="167" t="s">
        <v>207</v>
      </c>
      <c r="C110" s="275"/>
    </row>
    <row r="111" spans="1:14">
      <c r="A111" s="164"/>
      <c r="C111" s="275"/>
      <c r="L111" s="132"/>
    </row>
    <row r="112" spans="1:14" ht="18">
      <c r="A112" s="164" t="s">
        <v>43</v>
      </c>
      <c r="C112" s="275"/>
      <c r="F112" s="181" t="s">
        <v>443</v>
      </c>
    </row>
    <row r="113" spans="1:14" ht="14.4">
      <c r="A113" s="164" t="s">
        <v>495</v>
      </c>
      <c r="C113" s="275"/>
      <c r="F113" s="166">
        <v>2014</v>
      </c>
      <c r="G113" s="125">
        <v>2015</v>
      </c>
      <c r="H113" s="125">
        <v>2016</v>
      </c>
      <c r="I113" s="125">
        <v>2017</v>
      </c>
      <c r="J113" s="125">
        <v>2018</v>
      </c>
      <c r="K113" s="125">
        <v>2019</v>
      </c>
      <c r="L113" s="125">
        <v>2020</v>
      </c>
      <c r="M113" s="125">
        <v>2021</v>
      </c>
    </row>
    <row r="114" spans="1:14">
      <c r="A114" s="145" t="s">
        <v>45</v>
      </c>
      <c r="B114" s="145" t="s">
        <v>316</v>
      </c>
      <c r="C114" s="272" t="s">
        <v>480</v>
      </c>
      <c r="F114" s="147">
        <f>F165</f>
        <v>0</v>
      </c>
      <c r="G114" s="147">
        <f t="shared" ref="G114:M114" si="49">G165</f>
        <v>0</v>
      </c>
      <c r="H114" s="147">
        <f t="shared" si="49"/>
        <v>0</v>
      </c>
      <c r="I114" s="147">
        <f t="shared" si="49"/>
        <v>0</v>
      </c>
      <c r="J114" s="147">
        <f t="shared" si="49"/>
        <v>0</v>
      </c>
      <c r="K114" s="147">
        <f t="shared" si="49"/>
        <v>0</v>
      </c>
      <c r="L114" s="147">
        <f t="shared" si="49"/>
        <v>0</v>
      </c>
      <c r="M114" s="147">
        <f t="shared" si="49"/>
        <v>0</v>
      </c>
      <c r="N114" s="132" t="s">
        <v>316</v>
      </c>
    </row>
    <row r="115" spans="1:14">
      <c r="A115" s="145" t="s">
        <v>46</v>
      </c>
      <c r="B115" s="145" t="s">
        <v>222</v>
      </c>
      <c r="C115" s="272" t="s">
        <v>480</v>
      </c>
      <c r="F115" s="158">
        <f t="shared" ref="F115:M115" si="50">ALE</f>
        <v>0</v>
      </c>
      <c r="G115" s="147">
        <f t="shared" si="50"/>
        <v>0</v>
      </c>
      <c r="H115" s="147">
        <f t="shared" si="50"/>
        <v>0</v>
      </c>
      <c r="I115" s="147">
        <f t="shared" si="50"/>
        <v>0</v>
      </c>
      <c r="J115" s="147">
        <f t="shared" si="50"/>
        <v>0</v>
      </c>
      <c r="K115" s="147">
        <f t="shared" si="50"/>
        <v>0</v>
      </c>
      <c r="L115" s="147">
        <f t="shared" si="50"/>
        <v>0</v>
      </c>
      <c r="M115" s="147">
        <f t="shared" si="50"/>
        <v>0</v>
      </c>
      <c r="N115" s="132" t="s">
        <v>222</v>
      </c>
    </row>
    <row r="116" spans="1:14">
      <c r="A116" s="145" t="s">
        <v>47</v>
      </c>
      <c r="B116" s="145" t="s">
        <v>44</v>
      </c>
      <c r="C116" s="272" t="s">
        <v>118</v>
      </c>
      <c r="F116" s="158">
        <f t="shared" ref="F116:M116" si="51">CF</f>
        <v>23.9</v>
      </c>
      <c r="G116" s="147">
        <f t="shared" si="51"/>
        <v>23.9</v>
      </c>
      <c r="H116" s="147">
        <f t="shared" si="51"/>
        <v>23.9</v>
      </c>
      <c r="I116" s="147">
        <f t="shared" si="51"/>
        <v>23.9</v>
      </c>
      <c r="J116" s="147">
        <f t="shared" si="51"/>
        <v>23.9</v>
      </c>
      <c r="K116" s="147">
        <f t="shared" si="51"/>
        <v>23.9</v>
      </c>
      <c r="L116" s="147">
        <f t="shared" si="51"/>
        <v>23.9</v>
      </c>
      <c r="M116" s="147">
        <f t="shared" si="51"/>
        <v>23.9</v>
      </c>
      <c r="N116" s="132" t="s">
        <v>44</v>
      </c>
    </row>
    <row r="117" spans="1:14">
      <c r="A117" s="145" t="s">
        <v>48</v>
      </c>
      <c r="B117" s="145" t="s">
        <v>223</v>
      </c>
      <c r="C117" s="272" t="s">
        <v>401</v>
      </c>
      <c r="F117" s="158">
        <f t="shared" ref="F117:M117" si="52">NTPC</f>
        <v>50</v>
      </c>
      <c r="G117" s="147">
        <f t="shared" si="52"/>
        <v>51</v>
      </c>
      <c r="H117" s="147">
        <f t="shared" si="52"/>
        <v>52</v>
      </c>
      <c r="I117" s="147">
        <f t="shared" si="52"/>
        <v>53</v>
      </c>
      <c r="J117" s="147">
        <f t="shared" si="52"/>
        <v>54</v>
      </c>
      <c r="K117" s="147">
        <f t="shared" si="52"/>
        <v>55</v>
      </c>
      <c r="L117" s="147">
        <f t="shared" si="52"/>
        <v>56</v>
      </c>
      <c r="M117" s="147">
        <f t="shared" si="52"/>
        <v>57</v>
      </c>
      <c r="N117" s="132" t="s">
        <v>223</v>
      </c>
    </row>
    <row r="118" spans="1:14">
      <c r="A118" s="145" t="s">
        <v>215</v>
      </c>
      <c r="B118" s="145" t="s">
        <v>208</v>
      </c>
      <c r="C118" s="272"/>
      <c r="F118" s="158">
        <f>F130</f>
        <v>0.64935064935064934</v>
      </c>
      <c r="G118" s="158">
        <f t="shared" ref="G118:M118" si="53">G130</f>
        <v>0.63291139240506322</v>
      </c>
      <c r="H118" s="158">
        <f t="shared" si="53"/>
        <v>0.625</v>
      </c>
      <c r="I118" s="158">
        <f t="shared" si="53"/>
        <v>0.625</v>
      </c>
      <c r="J118" s="158">
        <f t="shared" si="53"/>
        <v>0.5</v>
      </c>
      <c r="K118" s="158">
        <f t="shared" si="53"/>
        <v>0.5</v>
      </c>
      <c r="L118" s="158">
        <f t="shared" si="53"/>
        <v>0.5</v>
      </c>
      <c r="M118" s="158">
        <f t="shared" si="53"/>
        <v>0.5</v>
      </c>
      <c r="N118" s="132" t="s">
        <v>208</v>
      </c>
    </row>
    <row r="119" spans="1:14">
      <c r="A119" s="145" t="s">
        <v>190</v>
      </c>
      <c r="B119" s="145" t="s">
        <v>128</v>
      </c>
      <c r="C119" s="303" t="s">
        <v>118</v>
      </c>
      <c r="F119" s="158">
        <f t="shared" ref="F119:M119" si="54">PVF</f>
        <v>1.0476000000000001</v>
      </c>
      <c r="G119" s="158">
        <f t="shared" si="54"/>
        <v>1.0465</v>
      </c>
      <c r="H119" s="158">
        <f t="shared" si="54"/>
        <v>1.045525</v>
      </c>
      <c r="I119" s="158">
        <f t="shared" si="54"/>
        <v>1.0445899999999999</v>
      </c>
      <c r="J119" s="158">
        <f t="shared" si="54"/>
        <v>1.0476000000000001</v>
      </c>
      <c r="K119" s="158">
        <f t="shared" si="54"/>
        <v>1.0476000000000001</v>
      </c>
      <c r="L119" s="158">
        <f t="shared" si="54"/>
        <v>1.0476000000000001</v>
      </c>
      <c r="M119" s="158">
        <f t="shared" si="54"/>
        <v>1.0476000000000001</v>
      </c>
      <c r="N119" s="132" t="s">
        <v>128</v>
      </c>
    </row>
    <row r="120" spans="1:14">
      <c r="A120" s="145" t="s">
        <v>209</v>
      </c>
      <c r="B120" s="145" t="s">
        <v>117</v>
      </c>
      <c r="C120" s="303" t="s">
        <v>118</v>
      </c>
      <c r="F120" s="158">
        <f t="shared" ref="F120:M120" si="55">RPIF</f>
        <v>1.163</v>
      </c>
      <c r="G120" s="147">
        <f t="shared" si="55"/>
        <v>1.2050000000000001</v>
      </c>
      <c r="H120" s="147">
        <f t="shared" si="55"/>
        <v>1.2270000000000001</v>
      </c>
      <c r="I120" s="147">
        <f t="shared" si="55"/>
        <v>1.2330000000000001</v>
      </c>
      <c r="J120" s="147">
        <f t="shared" si="55"/>
        <v>1.2709999999999999</v>
      </c>
      <c r="K120" s="147">
        <f t="shared" si="55"/>
        <v>1.228</v>
      </c>
      <c r="L120" s="147">
        <f t="shared" si="55"/>
        <v>1.2869999999999999</v>
      </c>
      <c r="M120" s="147">
        <f t="shared" si="55"/>
        <v>1.323</v>
      </c>
      <c r="N120" s="132" t="s">
        <v>117</v>
      </c>
    </row>
    <row r="121" spans="1:14">
      <c r="A121" s="145" t="s">
        <v>28</v>
      </c>
      <c r="B121" s="145" t="s">
        <v>25</v>
      </c>
      <c r="C121" s="303" t="s">
        <v>480</v>
      </c>
      <c r="F121" s="248"/>
      <c r="G121" s="248"/>
      <c r="H121" s="153">
        <f>(F114-F115)*H116*F117*F118*F119*G119*H120/1000000</f>
        <v>0</v>
      </c>
      <c r="I121" s="153">
        <f t="shared" ref="I121:M121" si="56">(G114-G115)*I116*G117*G118*G119*H119*I120/1000000</f>
        <v>0</v>
      </c>
      <c r="J121" s="153">
        <f t="shared" si="56"/>
        <v>0</v>
      </c>
      <c r="K121" s="153">
        <f t="shared" si="56"/>
        <v>0</v>
      </c>
      <c r="L121" s="153">
        <f t="shared" si="56"/>
        <v>0</v>
      </c>
      <c r="M121" s="153">
        <f t="shared" si="56"/>
        <v>0</v>
      </c>
      <c r="N121" s="132" t="s">
        <v>225</v>
      </c>
    </row>
    <row r="122" spans="1:14">
      <c r="G122" s="132"/>
      <c r="H122" s="132"/>
      <c r="I122" s="265"/>
      <c r="J122" s="265"/>
      <c r="K122" s="132"/>
      <c r="N122" s="132"/>
    </row>
    <row r="123" spans="1:14">
      <c r="N123" s="132"/>
    </row>
    <row r="125" spans="1:14">
      <c r="A125" s="164" t="s">
        <v>210</v>
      </c>
      <c r="F125" s="182"/>
      <c r="H125" s="132"/>
    </row>
    <row r="126" spans="1:14">
      <c r="A126" s="164" t="s">
        <v>496</v>
      </c>
      <c r="C126" s="275"/>
      <c r="F126" s="182"/>
      <c r="H126" s="132"/>
    </row>
    <row r="127" spans="1:14" ht="14.4">
      <c r="C127" s="275"/>
      <c r="D127" s="344"/>
      <c r="E127" s="344"/>
      <c r="F127" s="166">
        <v>2014</v>
      </c>
      <c r="G127" s="125">
        <v>2015</v>
      </c>
      <c r="H127" s="125">
        <v>2016</v>
      </c>
      <c r="I127" s="125">
        <v>2017</v>
      </c>
      <c r="J127" s="125">
        <v>2018</v>
      </c>
      <c r="K127" s="125">
        <v>2019</v>
      </c>
      <c r="L127" s="125">
        <v>2020</v>
      </c>
      <c r="M127" s="125">
        <v>2021</v>
      </c>
    </row>
    <row r="128" spans="1:14">
      <c r="A128" s="145" t="s">
        <v>212</v>
      </c>
      <c r="B128" s="145" t="s">
        <v>211</v>
      </c>
      <c r="C128" s="275" t="s">
        <v>105</v>
      </c>
      <c r="D128" s="344"/>
      <c r="E128" s="344"/>
      <c r="F128" s="183">
        <f t="shared" ref="F128:M128" si="57">TIS</f>
        <v>0.5</v>
      </c>
      <c r="G128" s="184">
        <f t="shared" si="57"/>
        <v>0.5</v>
      </c>
      <c r="H128" s="184">
        <f t="shared" si="57"/>
        <v>0.5</v>
      </c>
      <c r="I128" s="184">
        <f t="shared" si="57"/>
        <v>0.5</v>
      </c>
      <c r="J128" s="184">
        <f t="shared" si="57"/>
        <v>0.5</v>
      </c>
      <c r="K128" s="184">
        <f t="shared" si="57"/>
        <v>0.5</v>
      </c>
      <c r="L128" s="184">
        <f t="shared" si="57"/>
        <v>0.5</v>
      </c>
      <c r="M128" s="184">
        <f t="shared" si="57"/>
        <v>0.5</v>
      </c>
      <c r="N128" s="132" t="s">
        <v>211</v>
      </c>
    </row>
    <row r="129" spans="1:14">
      <c r="A129" s="145" t="s">
        <v>214</v>
      </c>
      <c r="B129" s="145" t="s">
        <v>213</v>
      </c>
      <c r="C129" s="304" t="s">
        <v>105</v>
      </c>
      <c r="D129" s="344"/>
      <c r="E129" s="344"/>
      <c r="F129" s="158">
        <f t="shared" ref="F129:M129" si="58">TR</f>
        <v>0.23</v>
      </c>
      <c r="G129" s="147">
        <f t="shared" si="58"/>
        <v>0.21</v>
      </c>
      <c r="H129" s="147">
        <f t="shared" si="58"/>
        <v>0.2</v>
      </c>
      <c r="I129" s="147">
        <f t="shared" si="58"/>
        <v>0.2</v>
      </c>
      <c r="J129" s="147">
        <f t="shared" si="58"/>
        <v>0</v>
      </c>
      <c r="K129" s="147">
        <f t="shared" si="58"/>
        <v>0</v>
      </c>
      <c r="L129" s="147">
        <f t="shared" si="58"/>
        <v>0</v>
      </c>
      <c r="M129" s="147">
        <f t="shared" si="58"/>
        <v>0</v>
      </c>
      <c r="N129" s="132" t="s">
        <v>213</v>
      </c>
    </row>
    <row r="130" spans="1:14">
      <c r="A130" s="145" t="s">
        <v>319</v>
      </c>
      <c r="B130" s="145" t="s">
        <v>208</v>
      </c>
      <c r="C130" s="275"/>
      <c r="F130" s="192">
        <f>F128/(1-F129)</f>
        <v>0.64935064935064934</v>
      </c>
      <c r="G130" s="192">
        <f t="shared" ref="G130:M130" si="59">G128/(1-G129)</f>
        <v>0.63291139240506322</v>
      </c>
      <c r="H130" s="192">
        <f t="shared" si="59"/>
        <v>0.625</v>
      </c>
      <c r="I130" s="192">
        <f t="shared" si="59"/>
        <v>0.625</v>
      </c>
      <c r="J130" s="192">
        <f t="shared" si="59"/>
        <v>0.5</v>
      </c>
      <c r="K130" s="192">
        <f t="shared" si="59"/>
        <v>0.5</v>
      </c>
      <c r="L130" s="192">
        <f t="shared" si="59"/>
        <v>0.5</v>
      </c>
      <c r="M130" s="192">
        <f t="shared" si="59"/>
        <v>0.5</v>
      </c>
      <c r="N130" s="132" t="s">
        <v>208</v>
      </c>
    </row>
    <row r="131" spans="1:14">
      <c r="C131" s="275"/>
      <c r="F131" s="132"/>
      <c r="G131" s="265"/>
      <c r="H131" s="265"/>
      <c r="I131" s="265"/>
      <c r="J131" s="132"/>
    </row>
    <row r="132" spans="1:14">
      <c r="C132" s="275"/>
    </row>
    <row r="133" spans="1:14" ht="18">
      <c r="A133" s="164" t="s">
        <v>444</v>
      </c>
      <c r="C133" s="275"/>
      <c r="F133" s="180" t="s">
        <v>226</v>
      </c>
      <c r="K133" s="132"/>
    </row>
    <row r="134" spans="1:14" ht="14.4">
      <c r="A134" s="164" t="s">
        <v>498</v>
      </c>
      <c r="C134" s="275"/>
      <c r="F134" s="166">
        <v>2014</v>
      </c>
      <c r="G134" s="125">
        <v>2015</v>
      </c>
      <c r="H134" s="125">
        <v>2016</v>
      </c>
      <c r="I134" s="125">
        <v>2017</v>
      </c>
      <c r="J134" s="125">
        <v>2018</v>
      </c>
      <c r="K134" s="125">
        <v>2019</v>
      </c>
      <c r="L134" s="125">
        <v>2020</v>
      </c>
      <c r="M134" s="125">
        <v>2021</v>
      </c>
    </row>
    <row r="135" spans="1:14">
      <c r="A135" s="145" t="s">
        <v>228</v>
      </c>
      <c r="B135" s="145" t="s">
        <v>227</v>
      </c>
      <c r="C135" s="306" t="s">
        <v>1</v>
      </c>
      <c r="F135" s="158">
        <f t="shared" ref="F135:M135" si="60">EDRO</f>
        <v>0</v>
      </c>
      <c r="G135" s="147">
        <f t="shared" si="60"/>
        <v>0</v>
      </c>
      <c r="H135" s="147">
        <f t="shared" si="60"/>
        <v>0</v>
      </c>
      <c r="I135" s="147">
        <f t="shared" si="60"/>
        <v>0</v>
      </c>
      <c r="J135" s="147">
        <f t="shared" si="60"/>
        <v>0</v>
      </c>
      <c r="K135" s="147">
        <f t="shared" si="60"/>
        <v>0</v>
      </c>
      <c r="L135" s="147">
        <f t="shared" si="60"/>
        <v>0</v>
      </c>
      <c r="M135" s="147">
        <f t="shared" si="60"/>
        <v>0</v>
      </c>
      <c r="N135" s="132" t="s">
        <v>227</v>
      </c>
    </row>
    <row r="136" spans="1:14">
      <c r="A136" s="145" t="s">
        <v>206</v>
      </c>
      <c r="B136" s="145" t="s">
        <v>327</v>
      </c>
      <c r="C136" s="306" t="s">
        <v>105</v>
      </c>
      <c r="F136" s="158">
        <f t="shared" ref="F136:M136" si="61">It</f>
        <v>0.5</v>
      </c>
      <c r="G136" s="147">
        <f t="shared" si="61"/>
        <v>0.5</v>
      </c>
      <c r="H136" s="147">
        <f t="shared" si="61"/>
        <v>0.5</v>
      </c>
      <c r="I136" s="147">
        <f t="shared" si="61"/>
        <v>0.34</v>
      </c>
      <c r="J136" s="147">
        <f t="shared" si="61"/>
        <v>0</v>
      </c>
      <c r="K136" s="147">
        <f t="shared" si="61"/>
        <v>0</v>
      </c>
      <c r="L136" s="147">
        <f t="shared" si="61"/>
        <v>0</v>
      </c>
      <c r="M136" s="147">
        <f t="shared" si="61"/>
        <v>0</v>
      </c>
      <c r="N136" s="132" t="s">
        <v>327</v>
      </c>
    </row>
    <row r="137" spans="1:14">
      <c r="A137" s="145" t="s">
        <v>29</v>
      </c>
      <c r="B137" s="145" t="s">
        <v>323</v>
      </c>
      <c r="C137" s="306" t="s">
        <v>1</v>
      </c>
      <c r="F137" s="257"/>
      <c r="G137" s="257"/>
      <c r="H137" s="153">
        <f>F135*(1+F136/100)*(1+G136/100)</f>
        <v>0</v>
      </c>
      <c r="I137" s="153">
        <f t="shared" ref="I137:M137" si="62">G135*(1+G136/100)*(1+H136/100)</f>
        <v>0</v>
      </c>
      <c r="J137" s="153">
        <f t="shared" si="62"/>
        <v>0</v>
      </c>
      <c r="K137" s="153">
        <f t="shared" si="62"/>
        <v>0</v>
      </c>
      <c r="L137" s="153">
        <f t="shared" si="62"/>
        <v>0</v>
      </c>
      <c r="M137" s="153">
        <f t="shared" si="62"/>
        <v>0</v>
      </c>
      <c r="N137" s="132" t="s">
        <v>323</v>
      </c>
    </row>
    <row r="138" spans="1:14">
      <c r="C138" s="275"/>
      <c r="G138" s="132"/>
      <c r="H138" s="265"/>
      <c r="I138" s="265"/>
      <c r="J138" s="265"/>
      <c r="K138" s="132"/>
    </row>
    <row r="139" spans="1:14">
      <c r="C139" s="275"/>
    </row>
    <row r="140" spans="1:14">
      <c r="C140" s="275"/>
    </row>
    <row r="142" spans="1:14">
      <c r="A142" s="164" t="s">
        <v>303</v>
      </c>
      <c r="J142" s="132"/>
    </row>
    <row r="143" spans="1:14">
      <c r="A143" s="164" t="s">
        <v>499</v>
      </c>
    </row>
    <row r="144" spans="1:14" ht="14.4">
      <c r="F144" s="166">
        <v>2014</v>
      </c>
      <c r="G144" s="125">
        <v>2015</v>
      </c>
      <c r="H144" s="125">
        <v>2016</v>
      </c>
      <c r="I144" s="125">
        <v>2017</v>
      </c>
      <c r="J144" s="125">
        <v>2018</v>
      </c>
      <c r="K144" s="125">
        <v>2019</v>
      </c>
      <c r="L144" s="125">
        <v>2020</v>
      </c>
      <c r="M144" s="125">
        <v>2021</v>
      </c>
    </row>
    <row r="145" spans="1:14">
      <c r="A145" s="145" t="s">
        <v>304</v>
      </c>
      <c r="B145" s="145" t="s">
        <v>309</v>
      </c>
      <c r="C145" s="307" t="s">
        <v>1</v>
      </c>
      <c r="F145" s="158">
        <f t="shared" ref="F145:M145" si="63">UNTO</f>
        <v>0</v>
      </c>
      <c r="G145" s="147">
        <f t="shared" si="63"/>
        <v>0</v>
      </c>
      <c r="H145" s="147">
        <f t="shared" si="63"/>
        <v>0</v>
      </c>
      <c r="I145" s="147">
        <f t="shared" si="63"/>
        <v>0</v>
      </c>
      <c r="J145" s="147">
        <f t="shared" si="63"/>
        <v>0</v>
      </c>
      <c r="K145" s="147">
        <f t="shared" si="63"/>
        <v>0</v>
      </c>
      <c r="L145" s="147">
        <f t="shared" si="63"/>
        <v>0</v>
      </c>
      <c r="M145" s="147">
        <f t="shared" si="63"/>
        <v>0</v>
      </c>
      <c r="N145" s="132" t="s">
        <v>309</v>
      </c>
    </row>
    <row r="146" spans="1:14">
      <c r="A146" s="145" t="s">
        <v>305</v>
      </c>
      <c r="B146" s="145" t="s">
        <v>310</v>
      </c>
      <c r="C146" s="307" t="s">
        <v>1</v>
      </c>
      <c r="F146" s="158">
        <f t="shared" ref="F146:M146" si="64">TOTO</f>
        <v>0</v>
      </c>
      <c r="G146" s="147">
        <f t="shared" si="64"/>
        <v>0</v>
      </c>
      <c r="H146" s="147">
        <f t="shared" si="64"/>
        <v>0</v>
      </c>
      <c r="I146" s="147">
        <f t="shared" si="64"/>
        <v>0</v>
      </c>
      <c r="J146" s="147">
        <f t="shared" si="64"/>
        <v>0</v>
      </c>
      <c r="K146" s="147">
        <f t="shared" si="64"/>
        <v>0</v>
      </c>
      <c r="L146" s="147">
        <f t="shared" si="64"/>
        <v>0</v>
      </c>
      <c r="M146" s="147">
        <f t="shared" si="64"/>
        <v>0</v>
      </c>
      <c r="N146" s="132" t="s">
        <v>310</v>
      </c>
    </row>
    <row r="147" spans="1:14">
      <c r="A147" s="145" t="s">
        <v>306</v>
      </c>
      <c r="B147" s="145" t="s">
        <v>307</v>
      </c>
      <c r="C147" s="275" t="s">
        <v>1</v>
      </c>
      <c r="F147" s="158">
        <f t="shared" ref="F147:M147" si="65">BR</f>
        <v>261.81688600000001</v>
      </c>
      <c r="G147" s="147">
        <f t="shared" si="65"/>
        <v>292.91396867050065</v>
      </c>
      <c r="H147" s="147">
        <f t="shared" si="65"/>
        <v>293.58046195096097</v>
      </c>
      <c r="I147" s="147">
        <f t="shared" si="65"/>
        <v>270.34739485714852</v>
      </c>
      <c r="J147" s="147">
        <f t="shared" si="65"/>
        <v>293.19131802961505</v>
      </c>
      <c r="K147" s="147">
        <f t="shared" si="65"/>
        <v>309.66513020409781</v>
      </c>
      <c r="L147" s="147">
        <f t="shared" si="65"/>
        <v>334.13273172821613</v>
      </c>
      <c r="M147" s="147">
        <f t="shared" si="65"/>
        <v>362.77629961779297</v>
      </c>
      <c r="N147" s="132" t="s">
        <v>307</v>
      </c>
    </row>
    <row r="148" spans="1:14">
      <c r="A148" s="145" t="s">
        <v>203</v>
      </c>
      <c r="B148" s="145" t="s">
        <v>138</v>
      </c>
      <c r="C148" s="275" t="s">
        <v>1</v>
      </c>
      <c r="F148" s="158">
        <f t="shared" ref="F148:M148" si="66">TIRG</f>
        <v>26.21188008</v>
      </c>
      <c r="G148" s="147">
        <f t="shared" si="66"/>
        <v>21.199189039999997</v>
      </c>
      <c r="H148" s="147">
        <f t="shared" si="66"/>
        <v>19.893881064000002</v>
      </c>
      <c r="I148" s="147">
        <f t="shared" si="66"/>
        <v>6.6779280000000005</v>
      </c>
      <c r="J148" s="147">
        <f t="shared" si="66"/>
        <v>33.040580456000001</v>
      </c>
      <c r="K148" s="147">
        <f t="shared" si="66"/>
        <v>30.874002687999997</v>
      </c>
      <c r="L148" s="147">
        <f t="shared" si="66"/>
        <v>31.258213271999999</v>
      </c>
      <c r="M148" s="147">
        <f t="shared" si="66"/>
        <v>24.797105424000002</v>
      </c>
      <c r="N148" s="132" t="s">
        <v>138</v>
      </c>
    </row>
    <row r="149" spans="1:14">
      <c r="A149" s="145" t="s">
        <v>118</v>
      </c>
      <c r="C149" s="275"/>
      <c r="F149" s="186">
        <v>5.0000000000000001E-3</v>
      </c>
      <c r="G149" s="187">
        <v>5.0000000000000001E-3</v>
      </c>
      <c r="H149" s="187">
        <v>5.0000000000000001E-3</v>
      </c>
      <c r="I149" s="187">
        <v>5.0000000000000001E-3</v>
      </c>
      <c r="J149" s="187">
        <v>5.0000000000000001E-3</v>
      </c>
      <c r="K149" s="187">
        <v>5.0000000000000001E-3</v>
      </c>
      <c r="L149" s="187">
        <v>5.0000000000000001E-3</v>
      </c>
      <c r="M149" s="187">
        <v>5.0000000000000001E-3</v>
      </c>
      <c r="N149" s="132"/>
    </row>
    <row r="150" spans="1:14">
      <c r="A150" s="145" t="s">
        <v>308</v>
      </c>
      <c r="B150" s="145" t="s">
        <v>327</v>
      </c>
      <c r="C150" s="306" t="s">
        <v>105</v>
      </c>
      <c r="F150" s="158">
        <f t="shared" ref="F150:M150" si="67">It</f>
        <v>0.5</v>
      </c>
      <c r="G150" s="147">
        <f t="shared" si="67"/>
        <v>0.5</v>
      </c>
      <c r="H150" s="147">
        <f t="shared" si="67"/>
        <v>0.5</v>
      </c>
      <c r="I150" s="147">
        <f t="shared" si="67"/>
        <v>0.34</v>
      </c>
      <c r="J150" s="147">
        <f t="shared" si="67"/>
        <v>0</v>
      </c>
      <c r="K150" s="147">
        <f t="shared" si="67"/>
        <v>0</v>
      </c>
      <c r="L150" s="147">
        <f t="shared" si="67"/>
        <v>0</v>
      </c>
      <c r="M150" s="147">
        <f t="shared" si="67"/>
        <v>0</v>
      </c>
      <c r="N150" s="132" t="s">
        <v>327</v>
      </c>
    </row>
    <row r="151" spans="1:14">
      <c r="C151" s="275"/>
      <c r="H151" s="247">
        <f>IF(F146&gt;0,F145/F146*F149*(F147+F148)*(1+F150/100)*(1+G150/100),0)</f>
        <v>0</v>
      </c>
      <c r="I151" s="247">
        <f>IF(G146&gt;0,G145/G146*G149*(G147+G148)*(1+G150/100)*(1+H150/100),0)</f>
        <v>0</v>
      </c>
      <c r="J151" s="247">
        <f t="shared" ref="J151:M151" si="68">IF(H146&gt;0,H145/H146*H149*(H147+H148)*(1+H150/100)*(1+I150/100),0)</f>
        <v>0</v>
      </c>
      <c r="K151" s="247">
        <f t="shared" si="68"/>
        <v>0</v>
      </c>
      <c r="L151" s="247">
        <f t="shared" si="68"/>
        <v>0</v>
      </c>
      <c r="M151" s="247">
        <f t="shared" si="68"/>
        <v>0</v>
      </c>
      <c r="N151" s="132" t="s">
        <v>301</v>
      </c>
    </row>
    <row r="152" spans="1:14">
      <c r="C152" s="275"/>
      <c r="G152" s="132"/>
      <c r="H152" s="132"/>
      <c r="I152" s="265"/>
      <c r="J152" s="265"/>
      <c r="K152" s="132"/>
      <c r="L152" s="188"/>
      <c r="M152" s="188"/>
      <c r="N152" s="189"/>
    </row>
    <row r="153" spans="1:14">
      <c r="C153" s="275"/>
      <c r="H153" s="190"/>
      <c r="I153" s="190"/>
      <c r="J153" s="190"/>
      <c r="K153" s="190"/>
      <c r="L153" s="190"/>
      <c r="M153" s="190"/>
      <c r="N153" s="190"/>
    </row>
    <row r="155" spans="1:14" ht="14.4">
      <c r="A155" s="164" t="s">
        <v>402</v>
      </c>
      <c r="B155" s="344"/>
      <c r="C155" s="305"/>
      <c r="D155" s="305"/>
      <c r="E155" s="305"/>
      <c r="F155" s="305"/>
      <c r="G155" s="305"/>
      <c r="H155" s="305"/>
      <c r="I155" s="352"/>
      <c r="J155" s="352"/>
      <c r="K155" s="352"/>
      <c r="L155" s="352"/>
      <c r="M155" s="352"/>
      <c r="N155" s="305"/>
    </row>
    <row r="156" spans="1:14">
      <c r="A156" s="164" t="s">
        <v>500</v>
      </c>
      <c r="B156" s="344"/>
      <c r="C156" s="309"/>
      <c r="D156" s="344"/>
      <c r="E156" s="344" t="s">
        <v>403</v>
      </c>
      <c r="F156" s="344"/>
      <c r="H156" s="305"/>
      <c r="I156" s="344" t="s">
        <v>473</v>
      </c>
      <c r="J156" s="305"/>
      <c r="K156" s="305"/>
      <c r="L156" s="305"/>
      <c r="M156" s="305"/>
      <c r="N156" s="305"/>
    </row>
    <row r="157" spans="1:14" ht="17.25" customHeight="1">
      <c r="A157" s="305"/>
      <c r="B157" s="344"/>
      <c r="C157" s="309"/>
      <c r="D157" s="344"/>
      <c r="E157" s="344" t="s">
        <v>445</v>
      </c>
      <c r="F157" s="344"/>
      <c r="G157" s="191"/>
      <c r="H157" s="132"/>
      <c r="I157" s="305"/>
      <c r="J157" s="305"/>
      <c r="K157" s="305"/>
      <c r="L157" s="305"/>
      <c r="M157" s="305"/>
      <c r="N157" s="305"/>
    </row>
    <row r="158" spans="1:14" ht="14.4">
      <c r="A158" s="344"/>
      <c r="B158" s="344"/>
      <c r="C158" s="309"/>
      <c r="D158" s="344"/>
      <c r="E158" s="344"/>
      <c r="F158" s="166">
        <v>2014</v>
      </c>
      <c r="G158" s="125">
        <v>2015</v>
      </c>
      <c r="H158" s="125">
        <v>2016</v>
      </c>
      <c r="I158" s="125">
        <v>2017</v>
      </c>
      <c r="J158" s="125">
        <v>2018</v>
      </c>
      <c r="K158" s="125">
        <v>2019</v>
      </c>
      <c r="L158" s="125">
        <v>2020</v>
      </c>
      <c r="M158" s="125">
        <v>2021</v>
      </c>
      <c r="N158" s="305"/>
    </row>
    <row r="159" spans="1:14">
      <c r="A159" s="344" t="s">
        <v>545</v>
      </c>
      <c r="B159" s="349"/>
      <c r="C159" s="309" t="s">
        <v>480</v>
      </c>
      <c r="D159" s="344"/>
      <c r="E159" s="344"/>
      <c r="F159" s="353"/>
      <c r="G159" s="353">
        <f>F162</f>
        <v>0</v>
      </c>
      <c r="H159" s="353">
        <f t="shared" ref="H159:M159" si="69">G162</f>
        <v>0</v>
      </c>
      <c r="I159" s="353">
        <f>H162</f>
        <v>0</v>
      </c>
      <c r="J159" s="353">
        <f t="shared" si="69"/>
        <v>0</v>
      </c>
      <c r="K159" s="353">
        <f t="shared" si="69"/>
        <v>0</v>
      </c>
      <c r="L159" s="353">
        <f t="shared" si="69"/>
        <v>0</v>
      </c>
      <c r="M159" s="353">
        <f t="shared" si="69"/>
        <v>0</v>
      </c>
      <c r="N159" s="132"/>
    </row>
    <row r="160" spans="1:14">
      <c r="A160" s="344" t="s">
        <v>546</v>
      </c>
      <c r="B160" s="349" t="s">
        <v>542</v>
      </c>
      <c r="C160" s="309" t="s">
        <v>480</v>
      </c>
      <c r="D160" s="344"/>
      <c r="E160" s="344"/>
      <c r="F160" s="354">
        <f t="shared" ref="F160" si="70">FYADD</f>
        <v>0</v>
      </c>
      <c r="G160" s="354">
        <f t="shared" ref="G160:M160" si="71">FYADD</f>
        <v>0</v>
      </c>
      <c r="H160" s="354">
        <f t="shared" si="71"/>
        <v>0</v>
      </c>
      <c r="I160" s="354">
        <f t="shared" si="71"/>
        <v>0</v>
      </c>
      <c r="J160" s="354">
        <f t="shared" si="71"/>
        <v>0</v>
      </c>
      <c r="K160" s="354">
        <f t="shared" si="71"/>
        <v>0</v>
      </c>
      <c r="L160" s="354">
        <f t="shared" si="71"/>
        <v>0</v>
      </c>
      <c r="M160" s="354">
        <f t="shared" si="71"/>
        <v>0</v>
      </c>
      <c r="N160" s="132" t="s">
        <v>542</v>
      </c>
    </row>
    <row r="161" spans="1:14">
      <c r="A161" s="344" t="s">
        <v>547</v>
      </c>
      <c r="B161" s="349" t="s">
        <v>544</v>
      </c>
      <c r="C161" s="309" t="s">
        <v>480</v>
      </c>
      <c r="D161" s="344"/>
      <c r="E161" s="344"/>
      <c r="F161" s="354">
        <f t="shared" ref="F161" si="72">FYDSP</f>
        <v>0</v>
      </c>
      <c r="G161" s="354">
        <f t="shared" ref="G161:M161" si="73">FYDSP</f>
        <v>0</v>
      </c>
      <c r="H161" s="354">
        <f t="shared" si="73"/>
        <v>0</v>
      </c>
      <c r="I161" s="354">
        <f t="shared" si="73"/>
        <v>0</v>
      </c>
      <c r="J161" s="354">
        <f t="shared" si="73"/>
        <v>0</v>
      </c>
      <c r="K161" s="354">
        <f t="shared" si="73"/>
        <v>0</v>
      </c>
      <c r="L161" s="354">
        <f t="shared" si="73"/>
        <v>0</v>
      </c>
      <c r="M161" s="354">
        <f t="shared" si="73"/>
        <v>0</v>
      </c>
      <c r="N161" s="132" t="s">
        <v>544</v>
      </c>
    </row>
    <row r="162" spans="1:14">
      <c r="A162" s="140" t="s">
        <v>217</v>
      </c>
      <c r="B162" s="349" t="s">
        <v>49</v>
      </c>
      <c r="C162" s="309" t="s">
        <v>480</v>
      </c>
      <c r="D162" s="344"/>
      <c r="E162" s="344"/>
      <c r="F162" s="353">
        <f>BASE</f>
        <v>0</v>
      </c>
      <c r="G162" s="353">
        <f>G159+G160-G161</f>
        <v>0</v>
      </c>
      <c r="H162" s="353">
        <f t="shared" ref="H162:M162" si="74">H159+H160-H161</f>
        <v>0</v>
      </c>
      <c r="I162" s="353">
        <f t="shared" si="74"/>
        <v>0</v>
      </c>
      <c r="J162" s="353">
        <f t="shared" si="74"/>
        <v>0</v>
      </c>
      <c r="K162" s="353">
        <f t="shared" si="74"/>
        <v>0</v>
      </c>
      <c r="L162" s="353">
        <f t="shared" si="74"/>
        <v>0</v>
      </c>
      <c r="M162" s="353">
        <f t="shared" si="74"/>
        <v>0</v>
      </c>
      <c r="N162" s="132" t="s">
        <v>49</v>
      </c>
    </row>
    <row r="163" spans="1:14">
      <c r="A163" s="140" t="s">
        <v>218</v>
      </c>
      <c r="B163" s="349" t="s">
        <v>219</v>
      </c>
      <c r="C163" s="309" t="s">
        <v>480</v>
      </c>
      <c r="D163" s="344"/>
      <c r="E163" s="344"/>
      <c r="F163" s="355">
        <f t="shared" ref="F163" si="75">ADD</f>
        <v>0</v>
      </c>
      <c r="G163" s="354">
        <f t="shared" ref="G163:M163" si="76">ADD</f>
        <v>0</v>
      </c>
      <c r="H163" s="354">
        <f t="shared" si="76"/>
        <v>0</v>
      </c>
      <c r="I163" s="354">
        <f t="shared" si="76"/>
        <v>0</v>
      </c>
      <c r="J163" s="354">
        <f t="shared" si="76"/>
        <v>0</v>
      </c>
      <c r="K163" s="354">
        <f t="shared" si="76"/>
        <v>0</v>
      </c>
      <c r="L163" s="354">
        <f t="shared" si="76"/>
        <v>0</v>
      </c>
      <c r="M163" s="354">
        <f t="shared" si="76"/>
        <v>0</v>
      </c>
      <c r="N163" s="132" t="s">
        <v>219</v>
      </c>
    </row>
    <row r="164" spans="1:14">
      <c r="A164" s="140" t="s">
        <v>221</v>
      </c>
      <c r="B164" s="349" t="s">
        <v>220</v>
      </c>
      <c r="C164" s="309" t="s">
        <v>480</v>
      </c>
      <c r="D164" s="344"/>
      <c r="E164" s="344"/>
      <c r="F164" s="355">
        <f t="shared" ref="F164" si="77">DSP</f>
        <v>0</v>
      </c>
      <c r="G164" s="354">
        <f t="shared" ref="G164:M164" si="78">DSP</f>
        <v>0</v>
      </c>
      <c r="H164" s="354">
        <f t="shared" si="78"/>
        <v>0</v>
      </c>
      <c r="I164" s="354">
        <f t="shared" si="78"/>
        <v>0</v>
      </c>
      <c r="J164" s="354">
        <f t="shared" si="78"/>
        <v>0</v>
      </c>
      <c r="K164" s="354">
        <f t="shared" si="78"/>
        <v>0</v>
      </c>
      <c r="L164" s="354">
        <f t="shared" si="78"/>
        <v>0</v>
      </c>
      <c r="M164" s="354">
        <f t="shared" si="78"/>
        <v>0</v>
      </c>
      <c r="N164" s="132" t="s">
        <v>220</v>
      </c>
    </row>
    <row r="165" spans="1:14">
      <c r="A165" s="140" t="s">
        <v>45</v>
      </c>
      <c r="B165" s="349" t="s">
        <v>548</v>
      </c>
      <c r="C165" s="309" t="s">
        <v>480</v>
      </c>
      <c r="D165" s="344"/>
      <c r="E165" s="344"/>
      <c r="F165" s="353">
        <f>F162+F163-F164</f>
        <v>0</v>
      </c>
      <c r="G165" s="353">
        <f>G162+G163-G164</f>
        <v>0</v>
      </c>
      <c r="H165" s="353">
        <f>H162+H163-H164</f>
        <v>0</v>
      </c>
      <c r="I165" s="353">
        <f>I162+I163-I164</f>
        <v>0</v>
      </c>
      <c r="J165" s="353">
        <f t="shared" ref="J165:M165" si="79">J162+J163-J164</f>
        <v>0</v>
      </c>
      <c r="K165" s="353">
        <f t="shared" si="79"/>
        <v>0</v>
      </c>
      <c r="L165" s="353">
        <f t="shared" si="79"/>
        <v>0</v>
      </c>
      <c r="M165" s="353">
        <f t="shared" si="79"/>
        <v>0</v>
      </c>
      <c r="N165" s="132"/>
    </row>
    <row r="166" spans="1:14">
      <c r="A166" s="344"/>
      <c r="B166" s="344"/>
      <c r="C166" s="309"/>
      <c r="D166" s="344"/>
      <c r="E166" s="344"/>
      <c r="F166" s="344"/>
      <c r="G166" s="132"/>
      <c r="H166" s="305"/>
      <c r="I166" s="305"/>
      <c r="J166" s="305"/>
      <c r="K166" s="305"/>
      <c r="L166" s="305"/>
      <c r="M166" s="305"/>
      <c r="N166" s="305"/>
    </row>
    <row r="900118" spans="1:1">
      <c r="A900118" s="145" t="s">
        <v>7</v>
      </c>
    </row>
    <row r="900119" spans="1:1">
      <c r="A900119" s="145" t="s">
        <v>2</v>
      </c>
    </row>
    <row r="900120" spans="1:1">
      <c r="A900120" s="145" t="s">
        <v>6</v>
      </c>
    </row>
    <row r="900121" spans="1:1">
      <c r="A900121" s="145" t="s">
        <v>3</v>
      </c>
    </row>
    <row r="900122" spans="1:1">
      <c r="A900122" s="145" t="s">
        <v>4</v>
      </c>
    </row>
    <row r="900123" spans="1:1">
      <c r="A900123" s="145" t="s">
        <v>5</v>
      </c>
    </row>
  </sheetData>
  <mergeCells count="4">
    <mergeCell ref="G17:M17"/>
    <mergeCell ref="E17:F17"/>
    <mergeCell ref="F95:H95"/>
    <mergeCell ref="F107:H107"/>
  </mergeCells>
  <pageMargins left="0.19685039370078741" right="0.19685039370078741" top="0.39370078740157483" bottom="0.51181102362204722" header="0.19685039370078741" footer="0.23622047244094491"/>
  <pageSetup paperSize="9" scale="42" orientation="portrait" r:id="rId1"/>
  <headerFooter>
    <oddFooter>&amp;C&amp;D&amp;R&amp;F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9982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9" defaultRowHeight="12.6"/>
  <cols>
    <col min="1" max="1" width="32.08984375" style="122" customWidth="1"/>
    <col min="2" max="2" width="10.453125" style="122" customWidth="1"/>
    <col min="3" max="3" width="6.453125" style="122" customWidth="1"/>
    <col min="4" max="5" width="3.6328125" style="122" customWidth="1"/>
    <col min="6" max="6" width="10" style="122" customWidth="1"/>
    <col min="7" max="11" width="9.26953125" style="122" customWidth="1"/>
    <col min="12" max="13" width="9.26953125" style="122" bestFit="1" customWidth="1"/>
    <col min="14" max="16384" width="9" style="122"/>
  </cols>
  <sheetData>
    <row r="1" spans="1:19" s="140" customFormat="1" ht="16.2">
      <c r="A1" s="139" t="s">
        <v>135</v>
      </c>
    </row>
    <row r="2" spans="1:19" s="140" customFormat="1" ht="16.2">
      <c r="A2" s="139" t="str">
        <f>CompName</f>
        <v>Scottish Power Transmission plc</v>
      </c>
    </row>
    <row r="3" spans="1:19" s="140" customFormat="1">
      <c r="A3" s="142" t="str">
        <f>RegYr</f>
        <v>Regulatory Year ending 31 March 2017</v>
      </c>
    </row>
    <row r="4" spans="1:19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19" ht="16.2">
      <c r="A5" s="196" t="s">
        <v>536</v>
      </c>
      <c r="B5" s="144"/>
      <c r="C5" s="144"/>
      <c r="D5" s="144"/>
      <c r="E5" s="144"/>
      <c r="F5" s="144"/>
      <c r="G5" s="144"/>
      <c r="H5" s="144"/>
      <c r="I5" s="144"/>
    </row>
    <row r="6" spans="1:19" ht="13.8">
      <c r="B6" s="129"/>
      <c r="C6" s="129"/>
      <c r="D6" s="129"/>
      <c r="E6" s="129"/>
      <c r="F6" s="129"/>
      <c r="G6" s="129"/>
      <c r="H6" s="129"/>
      <c r="I6" s="129"/>
    </row>
    <row r="7" spans="1:19" ht="16.5" customHeight="1">
      <c r="B7" s="129"/>
      <c r="C7" s="157"/>
      <c r="D7" s="129"/>
      <c r="E7" s="129"/>
      <c r="F7" s="125">
        <v>2014</v>
      </c>
      <c r="G7" s="125">
        <v>2015</v>
      </c>
      <c r="H7" s="125">
        <v>2016</v>
      </c>
      <c r="I7" s="125">
        <v>2017</v>
      </c>
      <c r="J7" s="125">
        <v>2018</v>
      </c>
      <c r="K7" s="125">
        <v>2019</v>
      </c>
      <c r="L7" s="125">
        <v>2020</v>
      </c>
      <c r="M7" s="125">
        <v>2021</v>
      </c>
    </row>
    <row r="8" spans="1:19" ht="13.8">
      <c r="B8" s="129"/>
      <c r="D8" s="129"/>
      <c r="E8" s="129"/>
      <c r="F8" s="129"/>
      <c r="G8" s="129"/>
      <c r="H8" s="129"/>
      <c r="I8" s="129"/>
    </row>
    <row r="9" spans="1:19" ht="13.8">
      <c r="A9" s="122" t="s">
        <v>36</v>
      </c>
      <c r="B9" s="122" t="s">
        <v>233</v>
      </c>
      <c r="C9" s="305" t="s">
        <v>1</v>
      </c>
      <c r="D9" s="129"/>
      <c r="E9" s="129"/>
      <c r="F9" s="169">
        <f t="shared" ref="F9:M9" si="0">NIA</f>
        <v>0</v>
      </c>
      <c r="G9" s="169">
        <f t="shared" si="0"/>
        <v>0</v>
      </c>
      <c r="H9" s="169">
        <f t="shared" si="0"/>
        <v>0</v>
      </c>
      <c r="I9" s="169">
        <f t="shared" si="0"/>
        <v>0</v>
      </c>
      <c r="J9" s="169">
        <f t="shared" si="0"/>
        <v>0</v>
      </c>
      <c r="K9" s="169">
        <f t="shared" si="0"/>
        <v>0</v>
      </c>
      <c r="L9" s="169">
        <f t="shared" si="0"/>
        <v>0</v>
      </c>
      <c r="M9" s="169">
        <f t="shared" si="0"/>
        <v>0</v>
      </c>
      <c r="N9" s="132" t="s">
        <v>233</v>
      </c>
    </row>
    <row r="10" spans="1:19">
      <c r="A10" s="122" t="s">
        <v>35</v>
      </c>
      <c r="B10" s="122" t="s">
        <v>234</v>
      </c>
      <c r="C10" s="305" t="s">
        <v>1</v>
      </c>
      <c r="F10" s="169">
        <f t="shared" ref="F10:M10" si="1">NICF</f>
        <v>0</v>
      </c>
      <c r="G10" s="169">
        <f t="shared" si="1"/>
        <v>0</v>
      </c>
      <c r="H10" s="169">
        <f t="shared" si="1"/>
        <v>0</v>
      </c>
      <c r="I10" s="169">
        <f t="shared" si="1"/>
        <v>0</v>
      </c>
      <c r="J10" s="169">
        <f t="shared" si="1"/>
        <v>0</v>
      </c>
      <c r="K10" s="169">
        <f t="shared" si="1"/>
        <v>0</v>
      </c>
      <c r="L10" s="169">
        <f t="shared" si="1"/>
        <v>0</v>
      </c>
      <c r="M10" s="169">
        <f t="shared" si="1"/>
        <v>0</v>
      </c>
      <c r="N10" s="132" t="s">
        <v>234</v>
      </c>
    </row>
    <row r="11" spans="1:19">
      <c r="F11" s="132"/>
    </row>
    <row r="12" spans="1:19">
      <c r="F12" s="132"/>
    </row>
    <row r="13" spans="1:19" ht="18">
      <c r="A13" s="124" t="s">
        <v>50</v>
      </c>
      <c r="E13" s="143" t="s">
        <v>230</v>
      </c>
      <c r="I13" s="132"/>
    </row>
    <row r="14" spans="1:19">
      <c r="A14" s="277" t="s">
        <v>474</v>
      </c>
    </row>
    <row r="15" spans="1:19">
      <c r="A15" s="150" t="s">
        <v>51</v>
      </c>
      <c r="B15" s="122" t="s">
        <v>335</v>
      </c>
      <c r="C15" s="122" t="s">
        <v>1</v>
      </c>
      <c r="F15" s="169">
        <f t="shared" ref="F15:M15" si="2">ANIA</f>
        <v>0</v>
      </c>
      <c r="G15" s="169">
        <f t="shared" si="2"/>
        <v>0</v>
      </c>
      <c r="H15" s="169">
        <f t="shared" si="2"/>
        <v>0</v>
      </c>
      <c r="I15" s="169">
        <f t="shared" si="2"/>
        <v>0</v>
      </c>
      <c r="J15" s="169">
        <f t="shared" si="2"/>
        <v>0</v>
      </c>
      <c r="K15" s="169">
        <f t="shared" si="2"/>
        <v>0</v>
      </c>
      <c r="L15" s="169">
        <f t="shared" si="2"/>
        <v>0</v>
      </c>
      <c r="M15" s="169">
        <f t="shared" si="2"/>
        <v>0</v>
      </c>
      <c r="N15" s="132" t="s">
        <v>335</v>
      </c>
    </row>
    <row r="16" spans="1:19">
      <c r="A16" s="150" t="s">
        <v>52</v>
      </c>
      <c r="B16" s="122" t="s">
        <v>235</v>
      </c>
      <c r="C16" s="122" t="s">
        <v>1</v>
      </c>
      <c r="F16" s="169">
        <f t="shared" ref="F16:M16" si="3">NIAR</f>
        <v>0</v>
      </c>
      <c r="G16" s="169">
        <f t="shared" si="3"/>
        <v>0</v>
      </c>
      <c r="H16" s="169">
        <f t="shared" si="3"/>
        <v>0</v>
      </c>
      <c r="I16" s="169">
        <f t="shared" si="3"/>
        <v>0</v>
      </c>
      <c r="J16" s="169">
        <f t="shared" si="3"/>
        <v>0</v>
      </c>
      <c r="K16" s="169">
        <f t="shared" si="3"/>
        <v>0</v>
      </c>
      <c r="L16" s="169">
        <f t="shared" si="3"/>
        <v>0</v>
      </c>
      <c r="M16" s="169">
        <f t="shared" si="3"/>
        <v>0</v>
      </c>
      <c r="N16" s="132" t="s">
        <v>235</v>
      </c>
    </row>
    <row r="17" spans="1:15">
      <c r="A17" s="150" t="s">
        <v>36</v>
      </c>
      <c r="B17" s="122" t="s">
        <v>233</v>
      </c>
      <c r="C17" s="305" t="s">
        <v>1</v>
      </c>
      <c r="F17" s="249">
        <f t="shared" ref="F17:M17" si="4">SUM(F15-F16)</f>
        <v>0</v>
      </c>
      <c r="G17" s="249">
        <f t="shared" si="4"/>
        <v>0</v>
      </c>
      <c r="H17" s="249">
        <f t="shared" si="4"/>
        <v>0</v>
      </c>
      <c r="I17" s="249">
        <f t="shared" si="4"/>
        <v>0</v>
      </c>
      <c r="J17" s="249">
        <f t="shared" si="4"/>
        <v>0</v>
      </c>
      <c r="K17" s="249">
        <f t="shared" si="4"/>
        <v>0</v>
      </c>
      <c r="L17" s="249">
        <f t="shared" si="4"/>
        <v>0</v>
      </c>
      <c r="M17" s="249">
        <f t="shared" si="4"/>
        <v>0</v>
      </c>
      <c r="N17" s="132" t="s">
        <v>233</v>
      </c>
    </row>
    <row r="18" spans="1:15">
      <c r="A18" s="150"/>
      <c r="F18" s="132"/>
      <c r="H18" s="132"/>
      <c r="I18" s="132"/>
    </row>
    <row r="19" spans="1:15">
      <c r="A19" s="150"/>
    </row>
    <row r="20" spans="1:15" ht="18">
      <c r="A20" s="124" t="s">
        <v>53</v>
      </c>
      <c r="E20" s="143" t="s">
        <v>229</v>
      </c>
      <c r="K20" s="132"/>
    </row>
    <row r="21" spans="1:15">
      <c r="A21" s="277" t="s">
        <v>475</v>
      </c>
    </row>
    <row r="22" spans="1:15">
      <c r="A22" s="122" t="s">
        <v>57</v>
      </c>
      <c r="B22" s="122" t="s">
        <v>54</v>
      </c>
      <c r="C22" s="272" t="s">
        <v>118</v>
      </c>
      <c r="F22" s="169">
        <f t="shared" ref="F22:M22" si="5">PTRA</f>
        <v>0.9</v>
      </c>
      <c r="G22" s="169">
        <f t="shared" si="5"/>
        <v>0.9</v>
      </c>
      <c r="H22" s="169">
        <f t="shared" si="5"/>
        <v>0.9</v>
      </c>
      <c r="I22" s="169">
        <f t="shared" si="5"/>
        <v>0.9</v>
      </c>
      <c r="J22" s="169">
        <f t="shared" si="5"/>
        <v>0.9</v>
      </c>
      <c r="K22" s="169">
        <f t="shared" si="5"/>
        <v>0.9</v>
      </c>
      <c r="L22" s="169">
        <f t="shared" si="5"/>
        <v>0.9</v>
      </c>
      <c r="M22" s="169">
        <f t="shared" si="5"/>
        <v>0.9</v>
      </c>
      <c r="N22" s="132" t="s">
        <v>54</v>
      </c>
      <c r="O22" s="132"/>
    </row>
    <row r="23" spans="1:15">
      <c r="A23" s="122" t="s">
        <v>58</v>
      </c>
      <c r="B23" s="122" t="s">
        <v>232</v>
      </c>
      <c r="C23" s="272" t="s">
        <v>1</v>
      </c>
      <c r="F23" s="169">
        <f t="shared" ref="F23:M23" si="6">ENIA</f>
        <v>0</v>
      </c>
      <c r="G23" s="169">
        <f t="shared" si="6"/>
        <v>0</v>
      </c>
      <c r="H23" s="169">
        <f t="shared" si="6"/>
        <v>0</v>
      </c>
      <c r="I23" s="169">
        <f t="shared" si="6"/>
        <v>0</v>
      </c>
      <c r="J23" s="169">
        <f t="shared" si="6"/>
        <v>0</v>
      </c>
      <c r="K23" s="169">
        <f t="shared" si="6"/>
        <v>0</v>
      </c>
      <c r="L23" s="169">
        <f t="shared" si="6"/>
        <v>0</v>
      </c>
      <c r="M23" s="169">
        <f t="shared" si="6"/>
        <v>0</v>
      </c>
      <c r="N23" s="127" t="s">
        <v>232</v>
      </c>
      <c r="O23" s="132"/>
    </row>
    <row r="24" spans="1:15">
      <c r="A24" s="122" t="s">
        <v>231</v>
      </c>
      <c r="B24" s="122" t="s">
        <v>55</v>
      </c>
      <c r="C24" s="272" t="s">
        <v>1</v>
      </c>
      <c r="F24" s="169">
        <f t="shared" ref="F24:M24" si="7">BPC</f>
        <v>0</v>
      </c>
      <c r="G24" s="169">
        <f t="shared" si="7"/>
        <v>0</v>
      </c>
      <c r="H24" s="169">
        <f t="shared" si="7"/>
        <v>0</v>
      </c>
      <c r="I24" s="169">
        <f t="shared" si="7"/>
        <v>0</v>
      </c>
      <c r="J24" s="169">
        <f t="shared" si="7"/>
        <v>0</v>
      </c>
      <c r="K24" s="169">
        <f t="shared" si="7"/>
        <v>0</v>
      </c>
      <c r="L24" s="169">
        <f t="shared" si="7"/>
        <v>0</v>
      </c>
      <c r="M24" s="169">
        <f t="shared" si="7"/>
        <v>0</v>
      </c>
      <c r="N24" s="127" t="s">
        <v>55</v>
      </c>
      <c r="O24" s="132"/>
    </row>
    <row r="25" spans="1:15">
      <c r="A25" s="122" t="s">
        <v>59</v>
      </c>
      <c r="B25" s="122" t="s">
        <v>56</v>
      </c>
      <c r="C25" s="272" t="s">
        <v>105</v>
      </c>
      <c r="F25" s="184">
        <f t="shared" ref="F25:M25" si="8">NIAV</f>
        <v>5.0000000000000001E-3</v>
      </c>
      <c r="G25" s="184">
        <f t="shared" si="8"/>
        <v>5.0000000000000001E-3</v>
      </c>
      <c r="H25" s="184">
        <f t="shared" si="8"/>
        <v>5.0000000000000001E-3</v>
      </c>
      <c r="I25" s="184">
        <f t="shared" si="8"/>
        <v>5.0000000000000001E-3</v>
      </c>
      <c r="J25" s="184">
        <f t="shared" si="8"/>
        <v>5.0000000000000001E-3</v>
      </c>
      <c r="K25" s="184">
        <f t="shared" si="8"/>
        <v>5.0000000000000001E-3</v>
      </c>
      <c r="L25" s="184">
        <f t="shared" si="8"/>
        <v>5.0000000000000001E-3</v>
      </c>
      <c r="M25" s="184">
        <f t="shared" si="8"/>
        <v>5.0000000000000001E-3</v>
      </c>
      <c r="N25" s="132" t="s">
        <v>56</v>
      </c>
      <c r="O25" s="132"/>
    </row>
    <row r="26" spans="1:15">
      <c r="A26" s="122" t="s">
        <v>60</v>
      </c>
      <c r="B26" s="122" t="s">
        <v>307</v>
      </c>
      <c r="C26" s="272" t="s">
        <v>1</v>
      </c>
      <c r="F26" s="169">
        <f t="shared" ref="F26:M26" si="9">BR</f>
        <v>261.81688600000001</v>
      </c>
      <c r="G26" s="169">
        <f t="shared" si="9"/>
        <v>292.91396867050065</v>
      </c>
      <c r="H26" s="169">
        <f t="shared" si="9"/>
        <v>293.58046195096097</v>
      </c>
      <c r="I26" s="169">
        <f t="shared" si="9"/>
        <v>270.34739485714852</v>
      </c>
      <c r="J26" s="169">
        <f t="shared" si="9"/>
        <v>293.19131802961505</v>
      </c>
      <c r="K26" s="169">
        <f t="shared" si="9"/>
        <v>309.66513020409781</v>
      </c>
      <c r="L26" s="169">
        <f t="shared" si="9"/>
        <v>334.13273172821613</v>
      </c>
      <c r="M26" s="169">
        <f t="shared" si="9"/>
        <v>362.77629961779297</v>
      </c>
      <c r="N26" s="132" t="s">
        <v>307</v>
      </c>
      <c r="O26" s="132"/>
    </row>
    <row r="27" spans="1:15">
      <c r="A27" s="122" t="s">
        <v>51</v>
      </c>
      <c r="B27" s="122" t="s">
        <v>335</v>
      </c>
      <c r="C27" s="272" t="s">
        <v>1</v>
      </c>
      <c r="F27" s="249">
        <f>F22*MIN(F23+F24,F25*F26)</f>
        <v>0</v>
      </c>
      <c r="G27" s="249">
        <f t="shared" ref="G27:M27" si="10">G22*MIN(G23+G24,G25*G26)</f>
        <v>0</v>
      </c>
      <c r="H27" s="249">
        <f t="shared" si="10"/>
        <v>0</v>
      </c>
      <c r="I27" s="249">
        <f t="shared" si="10"/>
        <v>0</v>
      </c>
      <c r="J27" s="249">
        <f t="shared" si="10"/>
        <v>0</v>
      </c>
      <c r="K27" s="249">
        <f t="shared" si="10"/>
        <v>0</v>
      </c>
      <c r="L27" s="249">
        <f t="shared" si="10"/>
        <v>0</v>
      </c>
      <c r="M27" s="249">
        <f t="shared" si="10"/>
        <v>0</v>
      </c>
      <c r="N27" s="132" t="s">
        <v>335</v>
      </c>
      <c r="O27" s="132"/>
    </row>
    <row r="28" spans="1:15">
      <c r="C28" s="272"/>
      <c r="F28" s="132"/>
      <c r="I28" s="132"/>
    </row>
    <row r="29" spans="1:15">
      <c r="C29" s="272"/>
    </row>
    <row r="30" spans="1:15">
      <c r="C30" s="272"/>
    </row>
    <row r="31" spans="1:15">
      <c r="A31" s="132" t="s">
        <v>295</v>
      </c>
      <c r="C31" s="272"/>
    </row>
    <row r="32" spans="1:15">
      <c r="A32" s="124" t="s">
        <v>296</v>
      </c>
      <c r="C32" s="272"/>
    </row>
    <row r="33" spans="1:14">
      <c r="A33" s="124" t="s">
        <v>485</v>
      </c>
      <c r="C33" s="272"/>
      <c r="J33" s="132"/>
    </row>
    <row r="34" spans="1:14">
      <c r="A34" s="122" t="s">
        <v>58</v>
      </c>
      <c r="B34" s="122" t="s">
        <v>232</v>
      </c>
      <c r="C34" s="272" t="s">
        <v>1</v>
      </c>
      <c r="F34" s="147">
        <f>ENIA</f>
        <v>0</v>
      </c>
      <c r="G34" s="147">
        <f t="shared" ref="G34:M34" si="11">ENIA</f>
        <v>0</v>
      </c>
      <c r="H34" s="147">
        <f t="shared" si="11"/>
        <v>0</v>
      </c>
      <c r="I34" s="147">
        <f t="shared" si="11"/>
        <v>0</v>
      </c>
      <c r="J34" s="147">
        <f t="shared" si="11"/>
        <v>0</v>
      </c>
      <c r="K34" s="147">
        <f t="shared" si="11"/>
        <v>0</v>
      </c>
      <c r="L34" s="147">
        <f t="shared" si="11"/>
        <v>0</v>
      </c>
      <c r="M34" s="147">
        <f t="shared" si="11"/>
        <v>0</v>
      </c>
      <c r="N34" s="127" t="s">
        <v>232</v>
      </c>
    </row>
    <row r="35" spans="1:14" s="191" customFormat="1">
      <c r="A35" s="145" t="s">
        <v>298</v>
      </c>
      <c r="B35" s="305" t="s">
        <v>299</v>
      </c>
      <c r="C35" s="306" t="s">
        <v>1</v>
      </c>
      <c r="F35" s="197">
        <f t="shared" ref="F35:M35" si="12">NIAIE</f>
        <v>0</v>
      </c>
      <c r="G35" s="197">
        <f t="shared" si="12"/>
        <v>0</v>
      </c>
      <c r="H35" s="197">
        <f t="shared" si="12"/>
        <v>0</v>
      </c>
      <c r="I35" s="197">
        <f t="shared" si="12"/>
        <v>0</v>
      </c>
      <c r="J35" s="197">
        <f t="shared" si="12"/>
        <v>0</v>
      </c>
      <c r="K35" s="197">
        <f t="shared" si="12"/>
        <v>0</v>
      </c>
      <c r="L35" s="197">
        <f t="shared" si="12"/>
        <v>0</v>
      </c>
      <c r="M35" s="197">
        <f t="shared" si="12"/>
        <v>0</v>
      </c>
    </row>
    <row r="36" spans="1:14">
      <c r="A36" s="122" t="s">
        <v>118</v>
      </c>
      <c r="B36" s="122" t="s">
        <v>297</v>
      </c>
      <c r="C36" s="272" t="s">
        <v>118</v>
      </c>
      <c r="F36" s="314">
        <v>0.25</v>
      </c>
      <c r="G36" s="314">
        <v>0.25</v>
      </c>
      <c r="H36" s="314">
        <v>0.25</v>
      </c>
      <c r="I36" s="314">
        <v>0.25</v>
      </c>
      <c r="J36" s="314">
        <v>0.25</v>
      </c>
      <c r="K36" s="314">
        <v>0.25</v>
      </c>
      <c r="L36" s="314">
        <v>0.25</v>
      </c>
      <c r="M36" s="314">
        <v>0.25</v>
      </c>
      <c r="N36" s="127" t="s">
        <v>297</v>
      </c>
    </row>
    <row r="37" spans="1:14">
      <c r="A37" s="122" t="s">
        <v>516</v>
      </c>
      <c r="C37" s="272" t="s">
        <v>1</v>
      </c>
      <c r="F37" s="153" t="str">
        <f>IF(F35&lt;=(F34*F36),"OK","NON COMPLIANT")</f>
        <v>OK</v>
      </c>
      <c r="G37" s="153" t="str">
        <f t="shared" ref="G37:M37" si="13">IF(G35&lt;=(G34*G36),"OK","NON COMPLIANT")</f>
        <v>OK</v>
      </c>
      <c r="H37" s="153" t="str">
        <f t="shared" si="13"/>
        <v>OK</v>
      </c>
      <c r="I37" s="153" t="str">
        <f t="shared" si="13"/>
        <v>OK</v>
      </c>
      <c r="J37" s="153" t="str">
        <f t="shared" si="13"/>
        <v>OK</v>
      </c>
      <c r="K37" s="153" t="str">
        <f t="shared" si="13"/>
        <v>OK</v>
      </c>
      <c r="L37" s="153" t="str">
        <f t="shared" si="13"/>
        <v>OK</v>
      </c>
      <c r="M37" s="153" t="str">
        <f t="shared" si="13"/>
        <v>OK</v>
      </c>
      <c r="N37" s="127" t="s">
        <v>299</v>
      </c>
    </row>
    <row r="38" spans="1:14">
      <c r="H38" s="132"/>
    </row>
    <row r="999977" spans="1:1">
      <c r="A999977" s="122" t="s">
        <v>7</v>
      </c>
    </row>
    <row r="999978" spans="1:1">
      <c r="A999978" s="122" t="s">
        <v>2</v>
      </c>
    </row>
    <row r="999979" spans="1:1">
      <c r="A999979" s="122" t="s">
        <v>6</v>
      </c>
    </row>
    <row r="999980" spans="1:1">
      <c r="A999980" s="122" t="s">
        <v>3</v>
      </c>
    </row>
    <row r="999981" spans="1:1">
      <c r="A999981" s="122" t="s">
        <v>4</v>
      </c>
    </row>
    <row r="999982" spans="1:1">
      <c r="A999982" s="122" t="s">
        <v>5</v>
      </c>
    </row>
  </sheetData>
  <pageMargins left="0.31496062992125984" right="0.23622047244094491" top="0.43307086614173229" bottom="0.55118110236220474" header="0.19685039370078741" footer="0.19685039370078741"/>
  <pageSetup paperSize="9" scale="89" orientation="landscape" r:id="rId1"/>
  <headerFooter>
    <oddFooter>&amp;C&amp;D&amp;R&amp;F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nalysis" ma:contentTypeID="0x0101004C9F495A7355574383679A0A27B2912100EA173FD8BA8CDA4A8A3023E100EA169F" ma:contentTypeVersion="2" ma:contentTypeDescription="This is used to create spreadsheets" ma:contentTypeScope="" ma:versionID="2286f7cde40d0d2d710bb16a3398773d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9fc8d84820d098ed6ec4940ef6c4aa33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Applicable_x0020_Start_x0020_Date" minOccurs="0"/>
                <xsd:element ref="ns2:Applicable_x0020_Duration" minOccurs="0"/>
                <xsd:element ref="ns2:Organisation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Applicable_x0020_Start_x0020_Date" ma:index="8" nillable="true" ma:displayName="Applicable Start Date" ma:description="The Starting Date for the work - format is DD/MM/YYYY" ma:format="DateOnly" ma:internalName="Applicable_x0020_Start_x0020_Date">
      <xsd:simpleType>
        <xsd:restriction base="dms:DateTime"/>
      </xsd:simpleType>
    </xsd:element>
    <xsd:element name="Applicable_x0020_Duration" ma:index="9" nillable="true" ma:displayName="Applicable Duration" ma:default="-" ma:description="For how long is this document applicable, from the Applicable Start Date?" ma:format="Dropdown" ma:internalName="Applicable_x0020_Duration">
      <xsd:simpleType>
        <xsd:restriction base="dms:Choice">
          <xsd:enumeration value="-"/>
          <xsd:enumeration value="Day"/>
          <xsd:enumeration value="Week"/>
          <xsd:enumeration value="Month"/>
          <xsd:enumeration value="Quarter"/>
          <xsd:enumeration value="6 Months"/>
          <xsd:enumeration value="Winter"/>
          <xsd:enumeration value="Summer"/>
          <xsd:enumeration value="1 Year"/>
          <xsd:enumeration value="2 Years"/>
          <xsd:enumeration value="3 Years"/>
          <xsd:enumeration value="5 Years"/>
          <xsd:enumeration value="6 - 10 Years"/>
          <xsd:enumeration value="Enduring"/>
        </xsd:restriction>
      </xsd:simpleType>
    </xsd:element>
    <xsd:element name="Organisation" ma:index="10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Classification" ma:index="12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Applicable_x0020_Start_x0020_Date xmlns="631298fc-6a88-4548-b7d9-3b164918c4a3">2015-03-31T23:00:00+00:00</Applicable_x0020_Start_x0020_Date>
    <Classification xmlns="631298fc-6a88-4548-b7d9-3b164918c4a3">Unclassified</Classification>
    <Organisation xmlns="631298fc-6a88-4548-b7d9-3b164918c4a3">Scottish Power</Organisation>
    <Applicable_x0020_Duration xmlns="631298fc-6a88-4548-b7d9-3b164918c4a3">-</Applicable_x0020_Duration>
    <_Status xmlns="http://schemas.microsoft.com/sharepoint/v3/fields">Draft</_Status>
    <Descriptor xmlns="631298fc-6a88-4548-b7d9-3b164918c4a3" xsi:nil="true"/>
  </documentManagement>
</p:properties>
</file>

<file path=customXml/item4.xml><?xml version="1.0" encoding="utf-8"?>
<?mso-contentType ?>
<SharedContentType xmlns="Microsoft.SharePoint.Taxonomy.ContentTypeSync" SourceId="69773578-b348-4185-91b0-0c3a7eda8d2a" ContentTypeId="0x0101004C9F495A7355574383679A0A27B29121" PreviousValue="false"/>
</file>

<file path=customXml/item5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Props1.xml><?xml version="1.0" encoding="utf-8"?>
<ds:datastoreItem xmlns:ds="http://schemas.openxmlformats.org/officeDocument/2006/customXml" ds:itemID="{FCCE3EF6-A38C-41D9-A934-D937FA826A83}"/>
</file>

<file path=customXml/itemProps2.xml><?xml version="1.0" encoding="utf-8"?>
<ds:datastoreItem xmlns:ds="http://schemas.openxmlformats.org/officeDocument/2006/customXml" ds:itemID="{C9305048-D070-47AE-B61F-EF270D200EC6}"/>
</file>

<file path=customXml/itemProps3.xml><?xml version="1.0" encoding="utf-8"?>
<ds:datastoreItem xmlns:ds="http://schemas.openxmlformats.org/officeDocument/2006/customXml" ds:itemID="{B310CED8-BAE2-4612-951F-CEEFA734AECB}"/>
</file>

<file path=customXml/itemProps4.xml><?xml version="1.0" encoding="utf-8"?>
<ds:datastoreItem xmlns:ds="http://schemas.openxmlformats.org/officeDocument/2006/customXml" ds:itemID="{F88437E3-8BC3-49CC-960B-3DFFCF2E343E}"/>
</file>

<file path=customXml/itemProps5.xml><?xml version="1.0" encoding="utf-8"?>
<ds:datastoreItem xmlns:ds="http://schemas.openxmlformats.org/officeDocument/2006/customXml" ds:itemID="{2AAC0677-2B73-4824-BC00-651ED7475B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143</vt:i4>
      </vt:variant>
    </vt:vector>
  </HeadingPairs>
  <TitlesOfParts>
    <vt:vector size="157" baseType="lpstr">
      <vt:lpstr>R1 Cover</vt:lpstr>
      <vt:lpstr>R2 Schematic</vt:lpstr>
      <vt:lpstr>R3 Version log</vt:lpstr>
      <vt:lpstr>R4 Licence Condition Values</vt:lpstr>
      <vt:lpstr>R5 Input page</vt:lpstr>
      <vt:lpstr>R6 Base revenue</vt:lpstr>
      <vt:lpstr>R7 pass through</vt:lpstr>
      <vt:lpstr>R8 Output incentives</vt:lpstr>
      <vt:lpstr>R9 Innovation incentive</vt:lpstr>
      <vt:lpstr>R10 Correction</vt:lpstr>
      <vt:lpstr>R11 TIRG</vt:lpstr>
      <vt:lpstr>R12 TO MAR</vt:lpstr>
      <vt:lpstr>R13 Excluded Revenue</vt:lpstr>
      <vt:lpstr>R14 Rec to Stat Ac</vt:lpstr>
      <vt:lpstr>ADD</vt:lpstr>
      <vt:lpstr>AFFTIRG</vt:lpstr>
      <vt:lpstr>AFFTIRG2</vt:lpstr>
      <vt:lpstr>AFFTIRG3</vt:lpstr>
      <vt:lpstr>AFFTIRG4</vt:lpstr>
      <vt:lpstr>AFFTIRG5</vt:lpstr>
      <vt:lpstr>AFFTIRGDepn</vt:lpstr>
      <vt:lpstr>AFFTIRGDepn2</vt:lpstr>
      <vt:lpstr>AFFTIRGDepn3</vt:lpstr>
      <vt:lpstr>AFFTIRGDepn4</vt:lpstr>
      <vt:lpstr>AFFTIRGDepn5</vt:lpstr>
      <vt:lpstr>ALE</vt:lpstr>
      <vt:lpstr>ANIA</vt:lpstr>
      <vt:lpstr>ATIRG</vt:lpstr>
      <vt:lpstr>ATIRG2</vt:lpstr>
      <vt:lpstr>ATIRG3</vt:lpstr>
      <vt:lpstr>ATIRG4</vt:lpstr>
      <vt:lpstr>ATIRG5</vt:lpstr>
      <vt:lpstr>BASE</vt:lpstr>
      <vt:lpstr>BPC</vt:lpstr>
      <vt:lpstr>BR</vt:lpstr>
      <vt:lpstr>CCTIRG</vt:lpstr>
      <vt:lpstr>CF</vt:lpstr>
      <vt:lpstr>CFTIRG1</vt:lpstr>
      <vt:lpstr>CFTIRG2</vt:lpstr>
      <vt:lpstr>CFTIRG3</vt:lpstr>
      <vt:lpstr>cftirg4</vt:lpstr>
      <vt:lpstr>CFTIRG5</vt:lpstr>
      <vt:lpstr>CompName</vt:lpstr>
      <vt:lpstr>CONADJ</vt:lpstr>
      <vt:lpstr>Dep</vt:lpstr>
      <vt:lpstr>Dep_3</vt:lpstr>
      <vt:lpstr>Dep_4</vt:lpstr>
      <vt:lpstr>Dep_5</vt:lpstr>
      <vt:lpstr>DSP</vt:lpstr>
      <vt:lpstr>EDR</vt:lpstr>
      <vt:lpstr>EDRO</vt:lpstr>
      <vt:lpstr>ENIA</vt:lpstr>
      <vt:lpstr>ENSA</vt:lpstr>
      <vt:lpstr>ENST</vt:lpstr>
      <vt:lpstr>ETIRGC</vt:lpstr>
      <vt:lpstr>ETIRGC2</vt:lpstr>
      <vt:lpstr>ETIRGC3</vt:lpstr>
      <vt:lpstr>ETIRGC4</vt:lpstr>
      <vt:lpstr>ETIRGC5</vt:lpstr>
      <vt:lpstr>ETIRGORAV</vt:lpstr>
      <vt:lpstr>ETIRGORAV2</vt:lpstr>
      <vt:lpstr>ETIRGORAV3</vt:lpstr>
      <vt:lpstr>ETIRGORAV4</vt:lpstr>
      <vt:lpstr>ETIRGORAV5</vt:lpstr>
      <vt:lpstr>FTIRG2</vt:lpstr>
      <vt:lpstr>FTIRGC</vt:lpstr>
      <vt:lpstr>FTIRGC3</vt:lpstr>
      <vt:lpstr>FTIRGC4</vt:lpstr>
      <vt:lpstr>FTIRGC5</vt:lpstr>
      <vt:lpstr>FTIRGDepn</vt:lpstr>
      <vt:lpstr>FTIRGDepn2</vt:lpstr>
      <vt:lpstr>FTIRGDepn3</vt:lpstr>
      <vt:lpstr>FTIRGDepn4</vt:lpstr>
      <vt:lpstr>FTIRGDEPN5</vt:lpstr>
      <vt:lpstr>FYADD</vt:lpstr>
      <vt:lpstr>FYDSP</vt:lpstr>
      <vt:lpstr>It</vt:lpstr>
      <vt:lpstr>Kt</vt:lpstr>
      <vt:lpstr>MOD</vt:lpstr>
      <vt:lpstr>NIA</vt:lpstr>
      <vt:lpstr>NIAIE</vt:lpstr>
      <vt:lpstr>NIAR</vt:lpstr>
      <vt:lpstr>NIAV</vt:lpstr>
      <vt:lpstr>NICF</vt:lpstr>
      <vt:lpstr>NTPC</vt:lpstr>
      <vt:lpstr>OIP</vt:lpstr>
      <vt:lpstr>'R10 Correction'!Print_Area</vt:lpstr>
      <vt:lpstr>'R11 TIRG'!Print_Area</vt:lpstr>
      <vt:lpstr>'R12 TO MAR'!Print_Area</vt:lpstr>
      <vt:lpstr>'R4 Licence Condition Values'!Print_Area</vt:lpstr>
      <vt:lpstr>'R5 Input page'!Print_Area</vt:lpstr>
      <vt:lpstr>'R6 Base revenue'!Print_Area</vt:lpstr>
      <vt:lpstr>'R7 pass through'!Print_Area</vt:lpstr>
      <vt:lpstr>'R8 Output incentives'!Print_Area</vt:lpstr>
      <vt:lpstr>'R9 Innovation incentive'!Print_Area</vt:lpstr>
      <vt:lpstr>PTIS</vt:lpstr>
      <vt:lpstr>PTRA</vt:lpstr>
      <vt:lpstr>PTt</vt:lpstr>
      <vt:lpstr>PU</vt:lpstr>
      <vt:lpstr>PVF</vt:lpstr>
      <vt:lpstr>RBA</vt:lpstr>
      <vt:lpstr>RBE</vt:lpstr>
      <vt:lpstr>RBt</vt:lpstr>
      <vt:lpstr>RegYr</vt:lpstr>
      <vt:lpstr>REV</vt:lpstr>
      <vt:lpstr>RI</vt:lpstr>
      <vt:lpstr>RIDPA</vt:lpstr>
      <vt:lpstr>RILEG</vt:lpstr>
      <vt:lpstr>RPIA</vt:lpstr>
      <vt:lpstr>RPIF</vt:lpstr>
      <vt:lpstr>SAFTIRG</vt:lpstr>
      <vt:lpstr>SAFTIRG1</vt:lpstr>
      <vt:lpstr>SAFTIRG2</vt:lpstr>
      <vt:lpstr>SAFTIRG3</vt:lpstr>
      <vt:lpstr>SAFTIRG4</vt:lpstr>
      <vt:lpstr>SAFTIRG5</vt:lpstr>
      <vt:lpstr>SEA</vt:lpstr>
      <vt:lpstr>SEAPRO</vt:lpstr>
      <vt:lpstr>SER</vt:lpstr>
      <vt:lpstr>SERLIMIT</vt:lpstr>
      <vt:lpstr>SFI</vt:lpstr>
      <vt:lpstr>SKPI</vt:lpstr>
      <vt:lpstr>SKPIC</vt:lpstr>
      <vt:lpstr>SKPICAP</vt:lpstr>
      <vt:lpstr>SKPICOL</vt:lpstr>
      <vt:lpstr>SKPIDPA</vt:lpstr>
      <vt:lpstr>SKPIPRO</vt:lpstr>
      <vt:lpstr>SKPIT</vt:lpstr>
      <vt:lpstr>SKPIUPA</vt:lpstr>
      <vt:lpstr>SOMOD</vt:lpstr>
      <vt:lpstr>SOPU</vt:lpstr>
      <vt:lpstr>SSC</vt:lpstr>
      <vt:lpstr>SSCAP</vt:lpstr>
      <vt:lpstr>SSCOL</vt:lpstr>
      <vt:lpstr>SSDPA</vt:lpstr>
      <vt:lpstr>SSI</vt:lpstr>
      <vt:lpstr>SSO</vt:lpstr>
      <vt:lpstr>SSPRO</vt:lpstr>
      <vt:lpstr>SST</vt:lpstr>
      <vt:lpstr>SSUPA</vt:lpstr>
      <vt:lpstr>SubTIRG</vt:lpstr>
      <vt:lpstr>TIRG</vt:lpstr>
      <vt:lpstr>TIRGIncAdj</vt:lpstr>
      <vt:lpstr>TIRGIncAdj2</vt:lpstr>
      <vt:lpstr>TIRGIncAdj3</vt:lpstr>
      <vt:lpstr>TIRGIncAdj4</vt:lpstr>
      <vt:lpstr>TIRGIncAdj5</vt:lpstr>
      <vt:lpstr>TIS</vt:lpstr>
      <vt:lpstr>TNR</vt:lpstr>
      <vt:lpstr>TO</vt:lpstr>
      <vt:lpstr>TOTO</vt:lpstr>
      <vt:lpstr>TPA</vt:lpstr>
      <vt:lpstr>TPD</vt:lpstr>
      <vt:lpstr>TR</vt:lpstr>
      <vt:lpstr>UNTO</vt:lpstr>
      <vt:lpstr>VOLL</vt:lpstr>
      <vt:lpstr>WACC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2015-16 SPTL Revenue Return Model July 2016</dc:title>
  <dc:creator>DN</dc:creator>
  <cp:lastModifiedBy>Anthony Mungall</cp:lastModifiedBy>
  <cp:lastPrinted>2016-09-28T13:12:54Z</cp:lastPrinted>
  <dcterms:created xsi:type="dcterms:W3CDTF">2012-08-23T07:44:41Z</dcterms:created>
  <dcterms:modified xsi:type="dcterms:W3CDTF">2017-04-27T16:15:38Z</dcterms:modified>
  <cp:contentStatus>External 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0x0101004C9F495A7355574383679A0A27B2912100EA173FD8BA8CDA4A8A3023E100EA169F</vt:lpwstr>
  </property>
  <property fmtid="{D5CDD505-2E9C-101B-9397-08002B2CF9AE}" pid="3" name="_dlc_DocIdItemGuid">
    <vt:lpwstr>9775b626-ac14-43b6-9d2f-7250ca0bbe31</vt:lpwstr>
  </property>
  <property fmtid="{D5CDD505-2E9C-101B-9397-08002B2CF9AE}" pid="4" name="docIndexRef">
    <vt:lpwstr>f85a5ec2-5b88-4ca5-8d9a-82ef993b56a1</vt:lpwstr>
  </property>
  <property fmtid="{D5CDD505-2E9C-101B-9397-08002B2CF9AE}" pid="5" name="bjSaver">
    <vt:lpwstr>XETPu0YqjTi2ilx1HpPGD/UHtprAFOwT</vt:lpwstr>
  </property>
  <property fmtid="{D5CDD505-2E9C-101B-9397-08002B2CF9AE}" pid="6" name="BJSCc5a055b0-1bed-4579_x">
    <vt:lpwstr/>
  </property>
  <property fmtid="{D5CDD505-2E9C-101B-9397-08002B2CF9AE}" pid="7" name="BJSCdd9eba61-d6b9-469b_x">
    <vt:lpwstr/>
  </property>
  <property fmtid="{D5CDD505-2E9C-101B-9397-08002B2CF9AE}" pid="8" name="BJSCSummaryMarking">
    <vt:lpwstr>This item has no classification</vt:lpwstr>
  </property>
  <property fmtid="{D5CDD505-2E9C-101B-9397-08002B2CF9AE}" pid="9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vt:lpwstr>
  </property>
  <property fmtid="{D5CDD505-2E9C-101B-9397-08002B2CF9AE}" pid="10" name="Classification">
    <vt:lpwstr>Unclassified</vt:lpwstr>
  </property>
  <property fmtid="{D5CDD505-2E9C-101B-9397-08002B2CF9AE}" pid="11" name="Organisation">
    <vt:lpwstr>Choose an Organisation</vt:lpwstr>
  </property>
  <property fmtid="{D5CDD505-2E9C-101B-9397-08002B2CF9AE}" pid="12" name="bjDocumentSecurityLabel">
    <vt:lpwstr>This item has no classification</vt:lpwstr>
  </property>
</Properties>
</file>