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210" windowWidth="15480" windowHeight="11580" tabRatio="793"/>
  </bookViews>
  <sheets>
    <sheet name="Cover sheet" sheetId="12" r:id="rId1"/>
    <sheet name="CoC inputs" sheetId="6" r:id="rId2"/>
    <sheet name="Other inputs" sheetId="1" r:id="rId3"/>
    <sheet name="C&amp;F calcs" sheetId="4" r:id="rId4"/>
    <sheet name="C&amp;F assessment" sheetId="7" r:id="rId5"/>
  </sheets>
  <calcPr calcId="125725"/>
  <fileRecoveryPr repairLoad="1"/>
</workbook>
</file>

<file path=xl/calcChain.xml><?xml version="1.0" encoding="utf-8"?>
<calcChain xmlns="http://schemas.openxmlformats.org/spreadsheetml/2006/main">
  <c r="AH50" i="7"/>
  <c r="AG50"/>
  <c r="AF50"/>
  <c r="AE50"/>
  <c r="AC50"/>
  <c r="AB50"/>
  <c r="AA50"/>
  <c r="Z50"/>
  <c r="X50"/>
  <c r="W50"/>
  <c r="V50"/>
  <c r="U50"/>
  <c r="S50"/>
  <c r="R50"/>
  <c r="Q50"/>
  <c r="P50"/>
  <c r="N50"/>
  <c r="M50"/>
  <c r="L50"/>
  <c r="K50"/>
  <c r="J50"/>
  <c r="I50"/>
  <c r="AI49"/>
  <c r="AH49"/>
  <c r="AF49"/>
  <c r="AE49"/>
  <c r="AD49"/>
  <c r="AC49"/>
  <c r="AA49"/>
  <c r="Z49"/>
  <c r="Y49"/>
  <c r="X49"/>
  <c r="V49"/>
  <c r="U49"/>
  <c r="T49"/>
  <c r="S49"/>
  <c r="Q49"/>
  <c r="P49"/>
  <c r="O49"/>
  <c r="N49"/>
  <c r="L49"/>
  <c r="K49"/>
  <c r="J49"/>
  <c r="I49"/>
  <c r="AI48"/>
  <c r="AH48"/>
  <c r="AF48"/>
  <c r="AE48"/>
  <c r="AD48"/>
  <c r="AC48"/>
  <c r="AA48"/>
  <c r="Z48"/>
  <c r="Y48"/>
  <c r="X48"/>
  <c r="V48"/>
  <c r="U48"/>
  <c r="T48"/>
  <c r="S48"/>
  <c r="Q48"/>
  <c r="P48"/>
  <c r="O48"/>
  <c r="N48"/>
  <c r="L48"/>
  <c r="K48"/>
  <c r="J48"/>
  <c r="I48"/>
  <c r="AF47"/>
  <c r="AE47"/>
  <c r="AD47"/>
  <c r="AC47"/>
  <c r="AA47"/>
  <c r="Z47"/>
  <c r="Y47"/>
  <c r="X47"/>
  <c r="V47"/>
  <c r="U47"/>
  <c r="T47"/>
  <c r="S47"/>
  <c r="Q47"/>
  <c r="P47"/>
  <c r="O47"/>
  <c r="N47"/>
  <c r="L47"/>
  <c r="K47"/>
  <c r="J47"/>
  <c r="I47"/>
  <c r="AF46"/>
  <c r="AE46"/>
  <c r="AD46"/>
  <c r="AC46"/>
  <c r="AA46"/>
  <c r="Z46"/>
  <c r="Y46"/>
  <c r="X46"/>
  <c r="V46"/>
  <c r="U46"/>
  <c r="T46"/>
  <c r="S46"/>
  <c r="Q46"/>
  <c r="P46"/>
  <c r="O46"/>
  <c r="N46"/>
  <c r="L46"/>
  <c r="K46"/>
  <c r="J46"/>
  <c r="I46"/>
  <c r="AF45"/>
  <c r="AE45"/>
  <c r="AD45"/>
  <c r="AC45"/>
  <c r="AA45"/>
  <c r="Z45"/>
  <c r="Y45"/>
  <c r="X45"/>
  <c r="V45"/>
  <c r="U45"/>
  <c r="T45"/>
  <c r="S45"/>
  <c r="Q45"/>
  <c r="P45"/>
  <c r="O45"/>
  <c r="N45"/>
  <c r="L45"/>
  <c r="K45"/>
  <c r="J45"/>
  <c r="I45"/>
  <c r="AH42"/>
  <c r="AG42"/>
  <c r="AF42"/>
  <c r="AE42"/>
  <c r="AC42"/>
  <c r="AB42"/>
  <c r="AA42"/>
  <c r="Z42"/>
  <c r="X42"/>
  <c r="W42"/>
  <c r="V42"/>
  <c r="U42"/>
  <c r="S42"/>
  <c r="R42"/>
  <c r="Q42"/>
  <c r="P42"/>
  <c r="N42"/>
  <c r="M42"/>
  <c r="L42"/>
  <c r="K42"/>
  <c r="J42"/>
  <c r="I42"/>
  <c r="AF41" l="1"/>
  <c r="AE41"/>
  <c r="AD41"/>
  <c r="AC41"/>
  <c r="AA41"/>
  <c r="Z41"/>
  <c r="Y41"/>
  <c r="X41"/>
  <c r="V41"/>
  <c r="U41"/>
  <c r="T41"/>
  <c r="S41"/>
  <c r="Q41"/>
  <c r="P41"/>
  <c r="O41"/>
  <c r="N41"/>
  <c r="L41"/>
  <c r="K41"/>
  <c r="J41"/>
  <c r="I41"/>
  <c r="AF40"/>
  <c r="AE40"/>
  <c r="AD40"/>
  <c r="AC40"/>
  <c r="AA40"/>
  <c r="Z40"/>
  <c r="Y40"/>
  <c r="X40"/>
  <c r="V40"/>
  <c r="U40"/>
  <c r="T40"/>
  <c r="S40"/>
  <c r="Q40"/>
  <c r="P40"/>
  <c r="O40"/>
  <c r="N40"/>
  <c r="L40" l="1"/>
  <c r="K40"/>
  <c r="J40"/>
  <c r="I40"/>
  <c r="AF39"/>
  <c r="AE39"/>
  <c r="AD39"/>
  <c r="AC39"/>
  <c r="AA39"/>
  <c r="Z39"/>
  <c r="Y39"/>
  <c r="X39"/>
  <c r="V39"/>
  <c r="U39"/>
  <c r="T39"/>
  <c r="S39"/>
  <c r="Q39"/>
  <c r="P39"/>
  <c r="O39"/>
  <c r="N39"/>
  <c r="L39"/>
  <c r="K39"/>
  <c r="J39"/>
  <c r="I39"/>
  <c r="AF38"/>
  <c r="AE38"/>
  <c r="AD38"/>
  <c r="AC38"/>
  <c r="AA38"/>
  <c r="Z38"/>
  <c r="Y38"/>
  <c r="X38"/>
  <c r="V38"/>
  <c r="U38"/>
  <c r="T38"/>
  <c r="S38"/>
  <c r="Q38"/>
  <c r="P38"/>
  <c r="O38"/>
  <c r="N38"/>
  <c r="L38"/>
  <c r="K38"/>
  <c r="J38"/>
  <c r="I38"/>
  <c r="AF37"/>
  <c r="AE37"/>
  <c r="AD37"/>
  <c r="AC37"/>
  <c r="AA37"/>
  <c r="Z37"/>
  <c r="Y37"/>
  <c r="X37"/>
  <c r="V37"/>
  <c r="U37"/>
  <c r="T37"/>
  <c r="S37"/>
  <c r="Q37"/>
  <c r="P37"/>
  <c r="O37"/>
  <c r="N37"/>
  <c r="L37"/>
  <c r="K37"/>
  <c r="J37"/>
  <c r="I37"/>
  <c r="J34"/>
  <c r="I34"/>
  <c r="AF23"/>
  <c r="AE23"/>
  <c r="AD23"/>
  <c r="AC23"/>
  <c r="AA23"/>
  <c r="Z23"/>
  <c r="Y23"/>
  <c r="X23"/>
  <c r="V23"/>
  <c r="U23"/>
  <c r="T23"/>
  <c r="S23"/>
  <c r="Q23"/>
  <c r="P23"/>
  <c r="O23"/>
  <c r="N23"/>
  <c r="L23"/>
  <c r="K23"/>
  <c r="J23"/>
  <c r="I23"/>
  <c r="AF22"/>
  <c r="AE22"/>
  <c r="AD22"/>
  <c r="AC22"/>
  <c r="AA22"/>
  <c r="Z22"/>
  <c r="Y22"/>
  <c r="X22"/>
  <c r="V22"/>
  <c r="U22"/>
  <c r="T22"/>
  <c r="S22"/>
  <c r="Q22"/>
  <c r="P22"/>
  <c r="O22"/>
  <c r="N22"/>
  <c r="L22"/>
  <c r="K22"/>
  <c r="J22"/>
  <c r="I22"/>
  <c r="AG18" s="1"/>
  <c r="AF18"/>
  <c r="AE18"/>
  <c r="AD18"/>
  <c r="AC18" s="1"/>
  <c r="AB18" s="1"/>
  <c r="AA18"/>
  <c r="Z18"/>
  <c r="Y18"/>
  <c r="X18"/>
  <c r="W18" s="1"/>
  <c r="V18"/>
  <c r="U18"/>
  <c r="T18"/>
  <c r="S18" s="1"/>
  <c r="R18" s="1"/>
  <c r="Q18"/>
  <c r="P18"/>
  <c r="O18"/>
  <c r="N18" s="1"/>
  <c r="M18" s="1"/>
  <c r="L18"/>
  <c r="K18"/>
  <c r="J18"/>
  <c r="I18"/>
  <c r="AG13" l="1"/>
  <c r="AF13"/>
  <c r="AE13"/>
  <c r="AD13"/>
  <c r="AC13"/>
  <c r="AB13"/>
  <c r="AA13"/>
  <c r="Z13"/>
  <c r="Y13"/>
  <c r="X13"/>
  <c r="W13"/>
  <c r="V13"/>
  <c r="U13"/>
  <c r="T13"/>
  <c r="S13" l="1"/>
  <c r="R13"/>
  <c r="Q13"/>
  <c r="P13"/>
  <c r="O13"/>
  <c r="N13"/>
  <c r="M13" l="1"/>
  <c r="L13"/>
  <c r="K13"/>
  <c r="J13"/>
  <c r="I13"/>
  <c r="AG4"/>
  <c r="AF4"/>
  <c r="AE4"/>
  <c r="AD4"/>
  <c r="AC4" s="1"/>
  <c r="AB4"/>
  <c r="AA4"/>
  <c r="Z4"/>
  <c r="Y4"/>
  <c r="X4" s="1"/>
  <c r="W4"/>
  <c r="V4"/>
  <c r="U4"/>
  <c r="T4"/>
  <c r="S4" s="1"/>
  <c r="R4"/>
  <c r="Q4"/>
  <c r="P4"/>
  <c r="O4"/>
  <c r="N4" s="1"/>
  <c r="M4"/>
  <c r="L4"/>
  <c r="K4"/>
  <c r="J4"/>
  <c r="AI3"/>
  <c r="AH3"/>
  <c r="AG3"/>
  <c r="AF3"/>
  <c r="AE3"/>
  <c r="AD3"/>
  <c r="AC3"/>
  <c r="AB3"/>
  <c r="AA3"/>
  <c r="Z3"/>
  <c r="Y3"/>
  <c r="X3"/>
  <c r="W3"/>
  <c r="V3"/>
  <c r="U3"/>
  <c r="T3"/>
  <c r="S3"/>
  <c r="R3"/>
  <c r="Q3"/>
  <c r="P3"/>
  <c r="O3"/>
  <c r="N3"/>
  <c r="M3"/>
  <c r="L3"/>
  <c r="K3"/>
  <c r="J3"/>
  <c r="I3"/>
  <c r="H68" i="4"/>
  <c r="G68"/>
  <c r="F68"/>
  <c r="H62" l="1"/>
  <c r="H63" s="1"/>
  <c r="G62"/>
  <c r="G63" s="1"/>
  <c r="F62"/>
  <c r="F63" l="1"/>
  <c r="H50" l="1"/>
  <c r="G50"/>
  <c r="F50"/>
  <c r="AG47" l="1"/>
  <c r="AF47"/>
  <c r="AE47"/>
  <c r="AD47"/>
  <c r="AC47"/>
  <c r="AB47"/>
  <c r="AA47"/>
  <c r="Z47"/>
  <c r="Y47"/>
  <c r="X47"/>
  <c r="W47"/>
  <c r="V47"/>
  <c r="U47"/>
  <c r="T47"/>
  <c r="S47"/>
  <c r="R47"/>
  <c r="Q47"/>
  <c r="P47"/>
  <c r="O47"/>
  <c r="N47"/>
  <c r="M47"/>
  <c r="L47"/>
  <c r="K47"/>
  <c r="J47"/>
  <c r="I47"/>
  <c r="H47"/>
  <c r="H66" s="1"/>
  <c r="G47"/>
  <c r="G66" s="1"/>
  <c r="F47"/>
  <c r="F66" s="1"/>
  <c r="AG46"/>
  <c r="AF46"/>
  <c r="AE46"/>
  <c r="AD46"/>
  <c r="AC46"/>
  <c r="AB46"/>
  <c r="AA46"/>
  <c r="Z46"/>
  <c r="Y46"/>
  <c r="X46"/>
  <c r="W46"/>
  <c r="V46"/>
  <c r="U46"/>
  <c r="T46"/>
  <c r="S46"/>
  <c r="R46"/>
  <c r="Q46"/>
  <c r="P46"/>
  <c r="O46"/>
  <c r="N46"/>
  <c r="M46"/>
  <c r="L46"/>
  <c r="K46"/>
  <c r="J46"/>
  <c r="I46"/>
  <c r="H46"/>
  <c r="G46"/>
  <c r="F46"/>
  <c r="AG45"/>
  <c r="AF45"/>
  <c r="AE45"/>
  <c r="AD45"/>
  <c r="AC45"/>
  <c r="AB45"/>
  <c r="AA45"/>
  <c r="Z45"/>
  <c r="Y45"/>
  <c r="X45"/>
  <c r="W45"/>
  <c r="V45"/>
  <c r="U45"/>
  <c r="T45"/>
  <c r="S45"/>
  <c r="R45"/>
  <c r="Q45"/>
  <c r="P45"/>
  <c r="O45"/>
  <c r="N45"/>
  <c r="M45"/>
  <c r="L45"/>
  <c r="K45"/>
  <c r="J45"/>
  <c r="I45"/>
  <c r="H45"/>
  <c r="G45"/>
  <c r="F45"/>
  <c r="AG41"/>
  <c r="AF41"/>
  <c r="AE41"/>
  <c r="AD41"/>
  <c r="AC41"/>
  <c r="AB41"/>
  <c r="AA41"/>
  <c r="Z41"/>
  <c r="Y41"/>
  <c r="X41"/>
  <c r="W41"/>
  <c r="V41"/>
  <c r="U41"/>
  <c r="T41"/>
  <c r="S41"/>
  <c r="R41"/>
  <c r="Q41"/>
  <c r="P41"/>
  <c r="O41"/>
  <c r="N41"/>
  <c r="M41"/>
  <c r="L41"/>
  <c r="K41"/>
  <c r="J41"/>
  <c r="I41" s="1"/>
  <c r="H41"/>
  <c r="G41"/>
  <c r="F41"/>
  <c r="AG40"/>
  <c r="AF40"/>
  <c r="AE40"/>
  <c r="AD40"/>
  <c r="AC40"/>
  <c r="AB40"/>
  <c r="AA40"/>
  <c r="Z40"/>
  <c r="Y40"/>
  <c r="X40"/>
  <c r="W40"/>
  <c r="V40"/>
  <c r="U40"/>
  <c r="T40"/>
  <c r="S40"/>
  <c r="R40"/>
  <c r="Q40"/>
  <c r="P40"/>
  <c r="O40"/>
  <c r="N40"/>
  <c r="M40"/>
  <c r="L40"/>
  <c r="K40"/>
  <c r="J40"/>
  <c r="I40"/>
  <c r="H40"/>
  <c r="G40"/>
  <c r="F40"/>
  <c r="AG39"/>
  <c r="AF39"/>
  <c r="AE39"/>
  <c r="AD39"/>
  <c r="AC39"/>
  <c r="AB39"/>
  <c r="AA39"/>
  <c r="Z39"/>
  <c r="Y39"/>
  <c r="X39"/>
  <c r="W39"/>
  <c r="V39"/>
  <c r="U39"/>
  <c r="T39"/>
  <c r="S39"/>
  <c r="R39"/>
  <c r="Q39"/>
  <c r="P39"/>
  <c r="O39"/>
  <c r="N39"/>
  <c r="M39"/>
  <c r="L39"/>
  <c r="K39"/>
  <c r="J39"/>
  <c r="I39"/>
  <c r="H39"/>
  <c r="G39"/>
  <c r="F39"/>
  <c r="AG38"/>
  <c r="AF38"/>
  <c r="AE38"/>
  <c r="AD38"/>
  <c r="AC38"/>
  <c r="AB38"/>
  <c r="AA38"/>
  <c r="Z38"/>
  <c r="Y38"/>
  <c r="X38"/>
  <c r="W38"/>
  <c r="V38"/>
  <c r="U38"/>
  <c r="T38"/>
  <c r="S38"/>
  <c r="R38"/>
  <c r="Q38"/>
  <c r="P38"/>
  <c r="O38"/>
  <c r="N38"/>
  <c r="M38"/>
  <c r="L38"/>
  <c r="K38"/>
  <c r="J38"/>
  <c r="I38"/>
  <c r="H38"/>
  <c r="H44" s="1"/>
  <c r="G38"/>
  <c r="G44" s="1"/>
  <c r="F38"/>
  <c r="H35"/>
  <c r="G35"/>
  <c r="F35"/>
  <c r="H34"/>
  <c r="G34"/>
  <c r="F34"/>
  <c r="H33"/>
  <c r="G33"/>
  <c r="F33"/>
  <c r="H32"/>
  <c r="G32"/>
  <c r="F32"/>
  <c r="H31"/>
  <c r="G31"/>
  <c r="F31"/>
  <c r="H30"/>
  <c r="G30"/>
  <c r="F30"/>
  <c r="F44" l="1"/>
  <c r="AG44"/>
  <c r="AF44" s="1"/>
  <c r="AE44" s="1"/>
  <c r="AD44" s="1"/>
  <c r="AC44" s="1"/>
  <c r="AB44" s="1"/>
  <c r="AA44" s="1"/>
  <c r="Z44" s="1"/>
  <c r="Y44" s="1"/>
  <c r="X44" s="1"/>
  <c r="W44" s="1"/>
  <c r="V44" s="1"/>
  <c r="U44" s="1"/>
  <c r="T44" s="1"/>
  <c r="S44" s="1"/>
  <c r="R44" s="1"/>
  <c r="Q44" s="1"/>
  <c r="P44" s="1"/>
  <c r="O44" s="1"/>
  <c r="N44" s="1"/>
  <c r="M44" s="1"/>
  <c r="L44" s="1"/>
  <c r="K44" s="1"/>
  <c r="J44" s="1"/>
  <c r="I44" s="1"/>
  <c r="AG26" l="1"/>
  <c r="AF26"/>
  <c r="AE26"/>
  <c r="AD26"/>
  <c r="AC26"/>
  <c r="AB26"/>
  <c r="AA26"/>
  <c r="Z26"/>
  <c r="Y26"/>
  <c r="X26"/>
  <c r="V26"/>
  <c r="U26"/>
  <c r="T26"/>
  <c r="S26"/>
  <c r="R26"/>
  <c r="Q26"/>
  <c r="P26"/>
  <c r="O26"/>
  <c r="N26"/>
  <c r="M26"/>
  <c r="L26"/>
  <c r="K26"/>
  <c r="J26"/>
  <c r="I26"/>
  <c r="H26"/>
  <c r="G26"/>
  <c r="F26"/>
  <c r="W25" l="1"/>
  <c r="V25"/>
  <c r="U25"/>
  <c r="T25"/>
  <c r="S25"/>
  <c r="R25"/>
  <c r="Q25"/>
  <c r="P25"/>
  <c r="O25"/>
  <c r="N25"/>
  <c r="M25"/>
  <c r="L25"/>
  <c r="K25"/>
  <c r="J25"/>
  <c r="I25"/>
  <c r="H25"/>
  <c r="G25"/>
  <c r="F25"/>
  <c r="AG24"/>
  <c r="AF24"/>
  <c r="AE24"/>
  <c r="AD24"/>
  <c r="AC24"/>
  <c r="AB24"/>
  <c r="AA24"/>
  <c r="Z24"/>
  <c r="Y24"/>
  <c r="X24"/>
  <c r="W24"/>
  <c r="W26" s="1"/>
  <c r="E26" s="1"/>
  <c r="V24"/>
  <c r="U24"/>
  <c r="T24"/>
  <c r="S24"/>
  <c r="R24"/>
  <c r="Q24"/>
  <c r="P24"/>
  <c r="O24"/>
  <c r="N24"/>
  <c r="M24"/>
  <c r="L24"/>
  <c r="K24"/>
  <c r="J24"/>
  <c r="I24"/>
  <c r="H24"/>
  <c r="G24"/>
  <c r="F24"/>
  <c r="E24"/>
  <c r="AG25" l="1"/>
  <c r="AF25"/>
  <c r="AE25"/>
  <c r="AD25"/>
  <c r="AC25"/>
  <c r="AB25"/>
  <c r="AA25"/>
  <c r="Z25"/>
  <c r="X25"/>
  <c r="Y25"/>
  <c r="F23"/>
  <c r="B22"/>
  <c r="AG20"/>
  <c r="AF20"/>
  <c r="AE20"/>
  <c r="AD20"/>
  <c r="AC20"/>
  <c r="AB20"/>
  <c r="AA20"/>
  <c r="Z20"/>
  <c r="Y20"/>
  <c r="X20" l="1"/>
  <c r="W20" l="1"/>
  <c r="V20" l="1"/>
  <c r="U20" l="1"/>
  <c r="T20" l="1"/>
  <c r="S20" l="1"/>
  <c r="R20" l="1"/>
  <c r="Q20" l="1"/>
  <c r="P20" l="1"/>
  <c r="O20" l="1"/>
  <c r="N20" l="1"/>
  <c r="M20" l="1"/>
  <c r="L20" l="1"/>
  <c r="K20"/>
  <c r="J20" l="1"/>
  <c r="I20" l="1"/>
  <c r="G20" l="1"/>
  <c r="F20"/>
  <c r="AG18" l="1"/>
  <c r="AF18"/>
  <c r="AE18"/>
  <c r="AD18"/>
  <c r="AC18"/>
  <c r="AB18"/>
  <c r="AA18"/>
  <c r="Z18"/>
  <c r="Y18"/>
  <c r="X18"/>
  <c r="W18"/>
  <c r="V18"/>
  <c r="U18"/>
  <c r="T18"/>
  <c r="S18"/>
  <c r="R18"/>
  <c r="Q18"/>
  <c r="P18"/>
  <c r="O18"/>
  <c r="N18"/>
  <c r="M18"/>
  <c r="L18"/>
  <c r="K18"/>
  <c r="J18"/>
  <c r="I18"/>
  <c r="AG17" l="1"/>
  <c r="AF17"/>
  <c r="AE17"/>
  <c r="AD17"/>
  <c r="AC17"/>
  <c r="AB17"/>
  <c r="AA17"/>
  <c r="Z17"/>
  <c r="Y17"/>
  <c r="X17"/>
  <c r="H17"/>
  <c r="G17"/>
  <c r="F17"/>
  <c r="AG16"/>
  <c r="AF16"/>
  <c r="AE16"/>
  <c r="AD16"/>
  <c r="AC16"/>
  <c r="AB16"/>
  <c r="AA16"/>
  <c r="Z16"/>
  <c r="Y16"/>
  <c r="X16"/>
  <c r="W16"/>
  <c r="V16"/>
  <c r="U16"/>
  <c r="T16"/>
  <c r="S16"/>
  <c r="R16"/>
  <c r="Q16"/>
  <c r="P16"/>
  <c r="O16"/>
  <c r="N16"/>
  <c r="M16"/>
  <c r="L16"/>
  <c r="K16"/>
  <c r="J16"/>
  <c r="I16"/>
  <c r="H16"/>
  <c r="G16" l="1"/>
  <c r="F16"/>
  <c r="E16"/>
  <c r="F15" l="1"/>
  <c r="F18" s="1"/>
  <c r="B14"/>
  <c r="AG12"/>
  <c r="AF12"/>
  <c r="AE12"/>
  <c r="AD12"/>
  <c r="AC12"/>
  <c r="AB12"/>
  <c r="AA12"/>
  <c r="Z12"/>
  <c r="Y12"/>
  <c r="X12"/>
  <c r="W12"/>
  <c r="V12"/>
  <c r="U12"/>
  <c r="T12"/>
  <c r="S12"/>
  <c r="R12"/>
  <c r="Q12"/>
  <c r="P12"/>
  <c r="O12"/>
  <c r="N12"/>
  <c r="M12"/>
  <c r="L12"/>
  <c r="K12"/>
  <c r="J12"/>
  <c r="I12"/>
  <c r="G12" l="1"/>
  <c r="F12"/>
  <c r="AG10" l="1"/>
  <c r="AF10"/>
  <c r="AE10"/>
  <c r="AD10"/>
  <c r="AC10"/>
  <c r="AB10"/>
  <c r="AA10"/>
  <c r="Z10"/>
  <c r="Y10"/>
  <c r="X10"/>
  <c r="W10"/>
  <c r="V10"/>
  <c r="U10"/>
  <c r="T10"/>
  <c r="S10"/>
  <c r="R10"/>
  <c r="Q10"/>
  <c r="P10"/>
  <c r="O10"/>
  <c r="N10"/>
  <c r="M10"/>
  <c r="L10"/>
  <c r="K10"/>
  <c r="J10"/>
  <c r="I10"/>
  <c r="H9" l="1"/>
  <c r="H49" s="1"/>
  <c r="G9"/>
  <c r="G49" s="1"/>
  <c r="F9"/>
  <c r="F49" s="1"/>
  <c r="AG8"/>
  <c r="AF8"/>
  <c r="AE8"/>
  <c r="AD8"/>
  <c r="AC8"/>
  <c r="AB8"/>
  <c r="AA8"/>
  <c r="Z8"/>
  <c r="Y8"/>
  <c r="X8"/>
  <c r="W8"/>
  <c r="V8"/>
  <c r="U8"/>
  <c r="T8"/>
  <c r="S8"/>
  <c r="R8"/>
  <c r="Q8"/>
  <c r="P8"/>
  <c r="O8"/>
  <c r="N8"/>
  <c r="M8"/>
  <c r="L8"/>
  <c r="K8"/>
  <c r="J8"/>
  <c r="I8"/>
  <c r="H8"/>
  <c r="G8"/>
  <c r="F8"/>
  <c r="E8"/>
  <c r="F7" l="1"/>
  <c r="F10" s="1"/>
  <c r="B6"/>
  <c r="AG3"/>
  <c r="AF3"/>
  <c r="AE3"/>
  <c r="AD3"/>
  <c r="AC3"/>
  <c r="AB3"/>
  <c r="AA3"/>
  <c r="Z3"/>
  <c r="Y3"/>
  <c r="X3"/>
  <c r="W3"/>
  <c r="V3"/>
  <c r="U3"/>
  <c r="T3"/>
  <c r="S3"/>
  <c r="R3"/>
  <c r="Q3"/>
  <c r="P3"/>
  <c r="O3"/>
  <c r="N3"/>
  <c r="M3"/>
  <c r="L3"/>
  <c r="K3"/>
  <c r="J3"/>
  <c r="I3"/>
  <c r="AG2"/>
  <c r="AF2"/>
  <c r="AE2"/>
  <c r="AD2"/>
  <c r="AC2"/>
  <c r="AB2"/>
  <c r="AA2"/>
  <c r="Z2"/>
  <c r="Y2"/>
  <c r="X2"/>
  <c r="W2"/>
  <c r="V2"/>
  <c r="U2"/>
  <c r="T2"/>
  <c r="S2"/>
  <c r="R2"/>
  <c r="Q2"/>
  <c r="P2"/>
  <c r="O2"/>
  <c r="N2"/>
  <c r="M2" l="1"/>
  <c r="L2"/>
  <c r="K2"/>
  <c r="J2" l="1"/>
  <c r="E73" i="1"/>
  <c r="E72"/>
  <c r="AJ69" l="1"/>
  <c r="AI69" l="1"/>
  <c r="AH69" l="1"/>
  <c r="AG69" l="1"/>
  <c r="AF69" l="1"/>
  <c r="AE69" l="1"/>
  <c r="AD69" l="1"/>
  <c r="AC69" l="1"/>
  <c r="AB69" l="1"/>
  <c r="AA69" l="1"/>
  <c r="Z69" l="1"/>
  <c r="Y69" l="1"/>
  <c r="X69"/>
  <c r="W69"/>
  <c r="V69"/>
  <c r="U69"/>
  <c r="T69"/>
  <c r="S69"/>
  <c r="R69"/>
  <c r="Q69"/>
  <c r="P69"/>
  <c r="O69"/>
  <c r="N69"/>
  <c r="M69"/>
  <c r="L69"/>
  <c r="K69"/>
  <c r="J69"/>
  <c r="I69"/>
  <c r="H69"/>
  <c r="G69"/>
  <c r="O62" l="1"/>
  <c r="O60"/>
  <c r="F50" l="1"/>
  <c r="AH42"/>
  <c r="AG42"/>
  <c r="AF42"/>
  <c r="AE42"/>
  <c r="AD42"/>
  <c r="AC42"/>
  <c r="AB42"/>
  <c r="AA42"/>
  <c r="Z42"/>
  <c r="Y42"/>
  <c r="X42"/>
  <c r="W42"/>
  <c r="V42"/>
  <c r="U42"/>
  <c r="T42"/>
  <c r="S42"/>
  <c r="R42"/>
  <c r="Q42"/>
  <c r="P42"/>
  <c r="O42"/>
  <c r="N42"/>
  <c r="M42"/>
  <c r="L42"/>
  <c r="K42"/>
  <c r="J42"/>
  <c r="F38"/>
  <c r="F36"/>
  <c r="AH32"/>
  <c r="AG32"/>
  <c r="AF32"/>
  <c r="AE32"/>
  <c r="AD32"/>
  <c r="AC32"/>
  <c r="AB32"/>
  <c r="AA32"/>
  <c r="Z32"/>
  <c r="Y32"/>
  <c r="X32"/>
  <c r="W32"/>
  <c r="V32"/>
  <c r="U32"/>
  <c r="T32"/>
  <c r="S32"/>
  <c r="R32"/>
  <c r="Q32"/>
  <c r="P32"/>
  <c r="O32"/>
  <c r="N32"/>
  <c r="M32"/>
  <c r="L32"/>
  <c r="K32"/>
  <c r="J32"/>
  <c r="AH31"/>
  <c r="AG31"/>
  <c r="AF31"/>
  <c r="AE31"/>
  <c r="AD31"/>
  <c r="AC31"/>
  <c r="AB31"/>
  <c r="AA31"/>
  <c r="Z31"/>
  <c r="Y31"/>
  <c r="X31"/>
  <c r="W31"/>
  <c r="V31"/>
  <c r="U31"/>
  <c r="T31"/>
  <c r="S31"/>
  <c r="R31"/>
  <c r="Q31"/>
  <c r="P31"/>
  <c r="O31"/>
  <c r="N31"/>
  <c r="M31"/>
  <c r="L31"/>
  <c r="K31"/>
  <c r="J31"/>
  <c r="AH30"/>
  <c r="AG30"/>
  <c r="AF30"/>
  <c r="AE30"/>
  <c r="AD30"/>
  <c r="AC30"/>
  <c r="AB30"/>
  <c r="AA30"/>
  <c r="Z30"/>
  <c r="Y30"/>
  <c r="X30"/>
  <c r="W30"/>
  <c r="V30"/>
  <c r="U30"/>
  <c r="T30"/>
  <c r="S30"/>
  <c r="R30"/>
  <c r="Q30"/>
  <c r="P30"/>
  <c r="O30"/>
  <c r="N30"/>
  <c r="M30"/>
  <c r="L30"/>
  <c r="K30"/>
  <c r="J30"/>
  <c r="AH29"/>
  <c r="I20"/>
  <c r="H20"/>
  <c r="G20"/>
  <c r="I19"/>
  <c r="H19"/>
  <c r="G19"/>
  <c r="I18"/>
  <c r="H18"/>
  <c r="G18"/>
  <c r="I14"/>
  <c r="H14"/>
  <c r="G14"/>
  <c r="I13"/>
  <c r="H13"/>
  <c r="G13"/>
  <c r="I12"/>
  <c r="H12"/>
  <c r="G12"/>
  <c r="I9"/>
  <c r="H9"/>
  <c r="G9" s="1"/>
  <c r="F9"/>
  <c r="I8"/>
  <c r="H8"/>
  <c r="G8"/>
  <c r="F8"/>
  <c r="G31" i="6"/>
  <c r="G25"/>
  <c r="G24"/>
  <c r="G21"/>
  <c r="G5"/>
  <c r="F11" i="4" l="1"/>
  <c r="G7"/>
  <c r="G10"/>
  <c r="G11"/>
  <c r="H7"/>
  <c r="H10"/>
  <c r="E10"/>
  <c r="H11"/>
  <c r="H12"/>
  <c r="E12"/>
  <c r="I9"/>
  <c r="F19"/>
  <c r="G15"/>
  <c r="G18"/>
  <c r="G19"/>
  <c r="H15"/>
  <c r="H18"/>
  <c r="E18"/>
  <c r="H19"/>
  <c r="H20"/>
  <c r="E20"/>
  <c r="I17"/>
  <c r="I7"/>
  <c r="I11"/>
  <c r="I15"/>
  <c r="I19"/>
  <c r="F27"/>
  <c r="G23"/>
  <c r="G27"/>
  <c r="H23"/>
  <c r="H27"/>
  <c r="I23"/>
  <c r="I27"/>
  <c r="I34"/>
  <c r="I35"/>
  <c r="I50"/>
  <c r="I66"/>
  <c r="J9"/>
  <c r="J17"/>
  <c r="J7"/>
  <c r="J11"/>
  <c r="J15"/>
  <c r="J19"/>
  <c r="J23"/>
  <c r="J27"/>
  <c r="J34"/>
  <c r="J35"/>
  <c r="J50"/>
  <c r="J66"/>
  <c r="K9"/>
  <c r="K17"/>
  <c r="K7"/>
  <c r="K11"/>
  <c r="K15"/>
  <c r="K19"/>
  <c r="K23"/>
  <c r="K27"/>
  <c r="K34"/>
  <c r="K35"/>
  <c r="K50"/>
  <c r="K66"/>
  <c r="L9"/>
  <c r="L17"/>
  <c r="L7"/>
  <c r="L11"/>
  <c r="L15"/>
  <c r="L19"/>
  <c r="L23"/>
  <c r="L27"/>
  <c r="L34"/>
  <c r="L35"/>
  <c r="L50"/>
  <c r="L66"/>
  <c r="M9"/>
  <c r="M17"/>
  <c r="M7"/>
  <c r="M11"/>
  <c r="M15"/>
  <c r="M19"/>
  <c r="M23"/>
  <c r="M27"/>
  <c r="M34"/>
  <c r="M35"/>
  <c r="M50"/>
  <c r="M66"/>
  <c r="N9"/>
  <c r="N17"/>
  <c r="N7"/>
  <c r="N11"/>
  <c r="N15"/>
  <c r="N19"/>
  <c r="N23"/>
  <c r="N27"/>
  <c r="N34"/>
  <c r="N35"/>
  <c r="N50"/>
  <c r="N66"/>
  <c r="O9"/>
  <c r="O17"/>
  <c r="O7"/>
  <c r="O11"/>
  <c r="O15"/>
  <c r="O19"/>
  <c r="O23"/>
  <c r="O27"/>
  <c r="O34"/>
  <c r="O35"/>
  <c r="O50"/>
  <c r="O66"/>
  <c r="P9"/>
  <c r="P17"/>
  <c r="P7"/>
  <c r="P11"/>
  <c r="P15"/>
  <c r="P19"/>
  <c r="P23"/>
  <c r="P27"/>
  <c r="P34"/>
  <c r="P35"/>
  <c r="P50"/>
  <c r="P66"/>
  <c r="Q9"/>
  <c r="Q17"/>
  <c r="Q7"/>
  <c r="Q11"/>
  <c r="Q15"/>
  <c r="Q19"/>
  <c r="Q23"/>
  <c r="Q27"/>
  <c r="Q34"/>
  <c r="Q35"/>
  <c r="Q50"/>
  <c r="Q66"/>
  <c r="R9"/>
  <c r="R17"/>
  <c r="R7"/>
  <c r="R11"/>
  <c r="R15"/>
  <c r="R19"/>
  <c r="R23"/>
  <c r="R27"/>
  <c r="R34"/>
  <c r="R35"/>
  <c r="R50"/>
  <c r="R66"/>
  <c r="S9"/>
  <c r="S17"/>
  <c r="S7"/>
  <c r="S11"/>
  <c r="S15"/>
  <c r="S19"/>
  <c r="S23"/>
  <c r="S27"/>
  <c r="S34"/>
  <c r="S35"/>
  <c r="S50"/>
  <c r="S66"/>
  <c r="T9"/>
  <c r="T17"/>
  <c r="T7"/>
  <c r="T11"/>
  <c r="T15"/>
  <c r="T19"/>
  <c r="T23"/>
  <c r="T27"/>
  <c r="T34"/>
  <c r="T35"/>
  <c r="T50"/>
  <c r="T66"/>
  <c r="U9"/>
  <c r="U17"/>
  <c r="U7"/>
  <c r="U11"/>
  <c r="U15"/>
  <c r="U19"/>
  <c r="U23"/>
  <c r="U27"/>
  <c r="U34"/>
  <c r="U35"/>
  <c r="U50"/>
  <c r="U66"/>
  <c r="V9"/>
  <c r="V17"/>
  <c r="V7"/>
  <c r="V11"/>
  <c r="V15"/>
  <c r="V19"/>
  <c r="V23"/>
  <c r="V27"/>
  <c r="V34"/>
  <c r="V35"/>
  <c r="V50"/>
  <c r="V66"/>
  <c r="W9"/>
  <c r="W17"/>
  <c r="W7"/>
  <c r="W11"/>
  <c r="W15"/>
  <c r="W19"/>
  <c r="W23"/>
  <c r="W27"/>
  <c r="W34"/>
  <c r="W35"/>
  <c r="W50"/>
  <c r="W66"/>
  <c r="X9"/>
  <c r="X7"/>
  <c r="X11"/>
  <c r="X15"/>
  <c r="X19"/>
  <c r="X23"/>
  <c r="X27"/>
  <c r="X34"/>
  <c r="X35"/>
  <c r="X50"/>
  <c r="X66"/>
  <c r="Y9"/>
  <c r="Y7"/>
  <c r="Y11"/>
  <c r="Y15"/>
  <c r="Y19"/>
  <c r="Y23"/>
  <c r="Y27"/>
  <c r="Y34"/>
  <c r="Y35"/>
  <c r="Y50"/>
  <c r="Y66"/>
  <c r="Z9"/>
  <c r="Z7"/>
  <c r="Z11"/>
  <c r="Z15"/>
  <c r="Z19"/>
  <c r="Z23"/>
  <c r="Z27"/>
  <c r="Z34"/>
  <c r="Z35"/>
  <c r="Z50"/>
  <c r="Z66"/>
  <c r="AA9"/>
  <c r="AA7"/>
  <c r="AA11"/>
  <c r="AA15"/>
  <c r="AA19"/>
  <c r="AA23"/>
  <c r="AA27"/>
  <c r="AA34"/>
  <c r="AA35"/>
  <c r="AA50"/>
  <c r="AA66"/>
  <c r="AB9"/>
  <c r="AB7"/>
  <c r="AB11"/>
  <c r="AB15"/>
  <c r="AB19"/>
  <c r="AB23"/>
  <c r="AB27"/>
  <c r="AB34"/>
  <c r="AB35"/>
  <c r="AB50"/>
  <c r="AB66"/>
  <c r="AC9"/>
  <c r="AC7"/>
  <c r="AC11"/>
  <c r="AC15"/>
  <c r="AC19"/>
  <c r="AC23"/>
  <c r="AC27"/>
  <c r="AC34"/>
  <c r="AC35"/>
  <c r="AC50"/>
  <c r="AC66"/>
  <c r="AD9"/>
  <c r="AD7"/>
  <c r="AD11"/>
  <c r="AD15"/>
  <c r="AD19"/>
  <c r="AD23"/>
  <c r="AD27"/>
  <c r="AD34"/>
  <c r="AD35"/>
  <c r="AD50"/>
  <c r="AD66"/>
  <c r="AE9"/>
  <c r="AE7"/>
  <c r="AE11"/>
  <c r="AE15"/>
  <c r="AE19"/>
  <c r="AE23"/>
  <c r="AE27"/>
  <c r="AE34"/>
  <c r="AE35"/>
  <c r="AE50"/>
  <c r="AE66"/>
  <c r="AF9"/>
  <c r="AF7"/>
  <c r="AF11"/>
  <c r="AF15"/>
  <c r="AF19"/>
  <c r="AF23"/>
  <c r="AF27"/>
  <c r="AF34"/>
  <c r="AF35"/>
  <c r="AF50"/>
  <c r="AF66"/>
  <c r="AG9"/>
  <c r="AG7"/>
  <c r="AG11"/>
  <c r="AG15"/>
  <c r="AG19"/>
  <c r="AG23"/>
  <c r="AG27"/>
  <c r="AG34"/>
  <c r="AG35"/>
  <c r="AG50"/>
  <c r="AG66"/>
  <c r="E67"/>
  <c r="E68"/>
  <c r="J55" i="1"/>
  <c r="K55"/>
  <c r="L55"/>
  <c r="M55"/>
  <c r="N55"/>
  <c r="O55"/>
  <c r="P55"/>
  <c r="Q55"/>
  <c r="R55"/>
  <c r="S55"/>
  <c r="T55"/>
  <c r="U55"/>
  <c r="V55"/>
  <c r="W55"/>
  <c r="X55"/>
  <c r="Y55"/>
  <c r="Z55"/>
  <c r="AA55"/>
  <c r="AB55"/>
  <c r="AC55"/>
  <c r="AD55"/>
  <c r="AE55"/>
  <c r="AF55"/>
  <c r="AG55"/>
  <c r="AH55"/>
  <c r="J65"/>
  <c r="AH65"/>
  <c r="AG65"/>
  <c r="AF65"/>
  <c r="AE65"/>
  <c r="AD65"/>
  <c r="AC65"/>
  <c r="AB65"/>
  <c r="AA65"/>
  <c r="Z65"/>
  <c r="Y65"/>
  <c r="X65"/>
  <c r="W65"/>
  <c r="V65"/>
  <c r="U65"/>
  <c r="T65"/>
  <c r="S65"/>
  <c r="R65"/>
  <c r="Q65"/>
  <c r="P65"/>
  <c r="O65"/>
  <c r="N65"/>
  <c r="M65"/>
  <c r="L65"/>
  <c r="K65"/>
  <c r="AG32" i="4"/>
  <c r="AG33"/>
  <c r="AF32"/>
  <c r="AF33"/>
  <c r="AE32"/>
  <c r="AE33"/>
  <c r="AD32"/>
  <c r="AD33"/>
  <c r="AC32"/>
  <c r="AC33"/>
  <c r="AB32"/>
  <c r="AB33"/>
  <c r="AA32"/>
  <c r="AA33"/>
  <c r="Z32"/>
  <c r="Z33"/>
  <c r="Y32"/>
  <c r="Y33"/>
  <c r="X32"/>
  <c r="X33"/>
  <c r="W32"/>
  <c r="W33"/>
  <c r="V32"/>
  <c r="V33"/>
  <c r="U32"/>
  <c r="U33"/>
  <c r="T32"/>
  <c r="T33"/>
  <c r="S32"/>
  <c r="S33"/>
  <c r="R32"/>
  <c r="R33"/>
  <c r="Q32"/>
  <c r="Q33"/>
  <c r="P32"/>
  <c r="P33"/>
  <c r="O32"/>
  <c r="O33"/>
  <c r="N32"/>
  <c r="N33"/>
  <c r="M32"/>
  <c r="M33"/>
  <c r="L32"/>
  <c r="L33"/>
  <c r="K32"/>
  <c r="K33"/>
  <c r="J32"/>
  <c r="J33"/>
  <c r="I32"/>
  <c r="I33"/>
  <c r="AG30"/>
  <c r="AG31"/>
  <c r="AF30"/>
  <c r="AF31"/>
  <c r="AE30"/>
  <c r="AE31"/>
  <c r="AD30"/>
  <c r="AD31"/>
  <c r="AC30"/>
  <c r="AC31"/>
  <c r="AB30"/>
  <c r="AB31"/>
  <c r="AA30"/>
  <c r="AA31"/>
  <c r="Z30"/>
  <c r="Z31"/>
  <c r="Y30"/>
  <c r="Y31"/>
  <c r="X30"/>
  <c r="X31"/>
  <c r="W30"/>
  <c r="W31"/>
  <c r="V30"/>
  <c r="V31"/>
  <c r="U30"/>
  <c r="U31"/>
  <c r="T30"/>
  <c r="T31"/>
  <c r="S30"/>
  <c r="S31"/>
  <c r="R30"/>
  <c r="R31"/>
  <c r="Q30"/>
  <c r="Q31"/>
  <c r="P30"/>
  <c r="P31"/>
  <c r="O30"/>
  <c r="O31"/>
  <c r="N30"/>
  <c r="N31"/>
  <c r="M30"/>
  <c r="M31"/>
  <c r="L30"/>
  <c r="L31"/>
  <c r="K30"/>
  <c r="K31"/>
  <c r="J30"/>
  <c r="J31"/>
  <c r="I30"/>
  <c r="I31"/>
  <c r="I49"/>
  <c r="I60"/>
  <c r="J49"/>
  <c r="J60"/>
  <c r="K49"/>
  <c r="K60"/>
  <c r="L49"/>
  <c r="L60"/>
  <c r="M49"/>
  <c r="M60"/>
  <c r="N49"/>
  <c r="N60"/>
  <c r="O49"/>
  <c r="O60"/>
  <c r="P49"/>
  <c r="P60"/>
  <c r="Q49"/>
  <c r="Q60"/>
  <c r="R49"/>
  <c r="R60"/>
  <c r="S49"/>
  <c r="S60"/>
  <c r="T49"/>
  <c r="T60"/>
  <c r="U49"/>
  <c r="U60"/>
  <c r="V49"/>
  <c r="V60"/>
  <c r="W49"/>
  <c r="W60"/>
  <c r="X49"/>
  <c r="X60"/>
  <c r="Y49"/>
  <c r="Y60"/>
  <c r="Z49"/>
  <c r="Z60"/>
  <c r="AA49"/>
  <c r="AA60"/>
  <c r="AB49"/>
  <c r="AB60"/>
  <c r="AC49"/>
  <c r="AC60"/>
  <c r="AD49"/>
  <c r="AD60"/>
  <c r="AE49"/>
  <c r="AE60"/>
  <c r="AF49"/>
  <c r="AF60"/>
  <c r="AG49"/>
  <c r="AG60"/>
  <c r="E61"/>
  <c r="E62"/>
  <c r="AG62"/>
  <c r="AG63"/>
  <c r="AF62"/>
  <c r="AF63"/>
  <c r="AE62"/>
  <c r="AE63"/>
  <c r="AD62"/>
  <c r="AD63"/>
  <c r="AC62"/>
  <c r="AC63"/>
  <c r="AB62"/>
  <c r="AB63"/>
  <c r="AA62"/>
  <c r="AA63"/>
  <c r="Z62"/>
  <c r="Z63"/>
  <c r="Y62"/>
  <c r="Y63"/>
  <c r="X62"/>
  <c r="X63"/>
  <c r="W62"/>
  <c r="W63"/>
  <c r="V62"/>
  <c r="V63"/>
  <c r="U62"/>
  <c r="U63"/>
  <c r="T62"/>
  <c r="T63"/>
  <c r="S62"/>
  <c r="S63"/>
  <c r="R62"/>
  <c r="R63"/>
  <c r="Q62"/>
  <c r="Q63"/>
  <c r="P62"/>
  <c r="P63"/>
  <c r="O62"/>
  <c r="O63"/>
  <c r="N62"/>
  <c r="N63"/>
  <c r="M62"/>
  <c r="M63"/>
  <c r="L62"/>
  <c r="L63"/>
  <c r="K62"/>
  <c r="K63"/>
  <c r="J62"/>
  <c r="J63"/>
  <c r="I62"/>
  <c r="I63"/>
  <c r="I54"/>
  <c r="J54"/>
  <c r="K54"/>
  <c r="L54"/>
  <c r="M54"/>
  <c r="N54"/>
  <c r="O54"/>
  <c r="P54"/>
  <c r="Q54"/>
  <c r="R54"/>
  <c r="S54"/>
  <c r="T54"/>
  <c r="U54"/>
  <c r="V54"/>
  <c r="W54"/>
  <c r="X54"/>
  <c r="Y54"/>
  <c r="Z54"/>
  <c r="AA54"/>
  <c r="AB54"/>
  <c r="AC54"/>
  <c r="AD54"/>
  <c r="AE54"/>
  <c r="AF54"/>
  <c r="AG54"/>
  <c r="E55"/>
  <c r="E56"/>
  <c r="F56"/>
  <c r="G56"/>
  <c r="H56"/>
  <c r="I56"/>
  <c r="J56"/>
  <c r="K56"/>
  <c r="L56"/>
  <c r="M56"/>
  <c r="N56"/>
  <c r="O56"/>
  <c r="P56"/>
  <c r="Q56"/>
  <c r="R56"/>
  <c r="S56"/>
  <c r="T56"/>
  <c r="U56"/>
  <c r="V56"/>
  <c r="W56"/>
  <c r="X56"/>
  <c r="Y56"/>
  <c r="Z56"/>
  <c r="AA56"/>
  <c r="AB56"/>
  <c r="AC56"/>
  <c r="AD56"/>
  <c r="AE56"/>
  <c r="AF56"/>
  <c r="AG56"/>
  <c r="I57"/>
  <c r="J57"/>
  <c r="K57"/>
  <c r="L57"/>
  <c r="M57"/>
  <c r="N57"/>
  <c r="O57"/>
  <c r="P57"/>
  <c r="Q57"/>
  <c r="R57"/>
  <c r="S57"/>
  <c r="T57"/>
  <c r="U57"/>
  <c r="V57"/>
  <c r="W57"/>
  <c r="X57"/>
  <c r="Y57"/>
  <c r="Z57"/>
  <c r="AA57"/>
  <c r="AB57"/>
  <c r="AC57"/>
  <c r="AD57"/>
  <c r="AE57"/>
  <c r="AF57"/>
  <c r="AG57"/>
  <c r="E57"/>
  <c r="H57"/>
  <c r="G57"/>
  <c r="F57"/>
  <c r="H60"/>
  <c r="G60"/>
  <c r="F60"/>
  <c r="J56" i="1"/>
  <c r="J57"/>
  <c r="K56"/>
  <c r="L56"/>
  <c r="M56"/>
  <c r="N56"/>
  <c r="O56"/>
  <c r="P56"/>
  <c r="Q56"/>
  <c r="R56"/>
  <c r="S56"/>
  <c r="T56"/>
  <c r="U56"/>
  <c r="V56"/>
  <c r="W56"/>
  <c r="X56"/>
  <c r="Y56"/>
  <c r="Z56"/>
  <c r="AA56"/>
  <c r="AB56"/>
  <c r="AC56"/>
  <c r="AD56"/>
  <c r="AE56"/>
  <c r="AF56"/>
  <c r="AG56"/>
  <c r="AH56"/>
  <c r="J58"/>
  <c r="K57"/>
  <c r="L57"/>
  <c r="M57"/>
  <c r="N57"/>
  <c r="O57"/>
  <c r="P57"/>
  <c r="Q57"/>
  <c r="R57"/>
  <c r="S57"/>
  <c r="T57"/>
  <c r="U57"/>
  <c r="V57"/>
  <c r="W57"/>
  <c r="X57"/>
  <c r="Y57"/>
  <c r="Z57"/>
  <c r="AA57"/>
  <c r="AB57"/>
  <c r="AC57"/>
  <c r="AD57"/>
  <c r="AE57"/>
  <c r="AF57"/>
  <c r="AG57"/>
  <c r="AH57"/>
  <c r="J59"/>
  <c r="K58"/>
  <c r="L58"/>
  <c r="M58"/>
  <c r="N58"/>
  <c r="O58"/>
  <c r="P58"/>
  <c r="Q58"/>
  <c r="R58"/>
  <c r="S58"/>
  <c r="T58"/>
  <c r="U58"/>
  <c r="V58"/>
  <c r="W58"/>
  <c r="X58"/>
  <c r="Y58"/>
  <c r="Z58"/>
  <c r="AA58"/>
  <c r="AB58"/>
  <c r="AC58"/>
  <c r="AD58"/>
  <c r="AE58"/>
  <c r="AF58"/>
  <c r="AG58"/>
  <c r="AH58"/>
  <c r="K59"/>
  <c r="L59"/>
  <c r="M59"/>
  <c r="N59"/>
  <c r="O59"/>
  <c r="P59"/>
  <c r="Q59"/>
  <c r="R59"/>
  <c r="S59"/>
  <c r="T59"/>
  <c r="U59"/>
  <c r="V59"/>
  <c r="W59"/>
  <c r="X59"/>
  <c r="Y59"/>
  <c r="Z59"/>
  <c r="AA59"/>
  <c r="AB59"/>
  <c r="AC59"/>
  <c r="AD59"/>
  <c r="AE59"/>
  <c r="AF59"/>
  <c r="AG59"/>
  <c r="AH59"/>
  <c r="J60"/>
  <c r="K60"/>
  <c r="L60"/>
  <c r="M60"/>
  <c r="N60"/>
  <c r="P60"/>
  <c r="Q60"/>
  <c r="R60"/>
  <c r="S60"/>
  <c r="T60"/>
  <c r="U60"/>
  <c r="V60"/>
  <c r="W60"/>
  <c r="X60"/>
  <c r="Y60"/>
  <c r="Z60"/>
  <c r="AA60"/>
  <c r="AB60"/>
  <c r="AC60"/>
  <c r="AD60"/>
  <c r="AE60"/>
  <c r="AF60"/>
  <c r="AG60"/>
  <c r="AH60"/>
  <c r="J61"/>
  <c r="K61"/>
  <c r="L61"/>
  <c r="M61"/>
  <c r="N61"/>
  <c r="O61"/>
  <c r="P61"/>
  <c r="Q61"/>
  <c r="R61"/>
  <c r="S61"/>
  <c r="T61"/>
  <c r="U61"/>
  <c r="V61"/>
  <c r="W61"/>
  <c r="X61"/>
  <c r="Y61"/>
  <c r="Z61"/>
  <c r="AA61"/>
  <c r="AB61"/>
  <c r="AC61"/>
  <c r="AD61"/>
  <c r="AE61"/>
  <c r="AF61"/>
  <c r="AG61"/>
  <c r="AH61"/>
  <c r="J62"/>
  <c r="K62"/>
  <c r="L62"/>
  <c r="M62"/>
  <c r="N62"/>
  <c r="P62"/>
  <c r="Q62"/>
  <c r="R62"/>
  <c r="S62"/>
  <c r="T62"/>
  <c r="U62"/>
  <c r="V62"/>
  <c r="W62"/>
  <c r="X62"/>
  <c r="Y62"/>
  <c r="Z62"/>
  <c r="AA62"/>
  <c r="AB62"/>
  <c r="AC62"/>
  <c r="AD62"/>
  <c r="AE62"/>
  <c r="AF62"/>
  <c r="AG62"/>
  <c r="AH62"/>
  <c r="AG68" i="4"/>
  <c r="AG69"/>
  <c r="AG10" i="7"/>
  <c r="AF68" i="4"/>
  <c r="AF69"/>
  <c r="AF10" i="7"/>
  <c r="AE68" i="4"/>
  <c r="AE69"/>
  <c r="AE10" i="7"/>
  <c r="AD68" i="4"/>
  <c r="AD69"/>
  <c r="AD10" i="7"/>
  <c r="AC68" i="4"/>
  <c r="AC69"/>
  <c r="AC10" i="7"/>
  <c r="AB68" i="4"/>
  <c r="AB69"/>
  <c r="AA68"/>
  <c r="AA69"/>
  <c r="Z68"/>
  <c r="Z69"/>
  <c r="Y68"/>
  <c r="Y69"/>
  <c r="X68"/>
  <c r="X69"/>
  <c r="W68"/>
  <c r="W69"/>
  <c r="V68"/>
  <c r="V69"/>
  <c r="U68"/>
  <c r="U69"/>
  <c r="T68"/>
  <c r="T69"/>
  <c r="S68"/>
  <c r="S69"/>
  <c r="R68"/>
  <c r="R69"/>
  <c r="Q68"/>
  <c r="Q69"/>
  <c r="P68"/>
  <c r="P69"/>
  <c r="O68"/>
  <c r="O69"/>
  <c r="N68"/>
  <c r="N69"/>
  <c r="M68"/>
  <c r="M69"/>
  <c r="L68"/>
  <c r="L69"/>
  <c r="K68"/>
  <c r="K69"/>
  <c r="J68"/>
  <c r="J69"/>
  <c r="I68"/>
  <c r="I69"/>
  <c r="E63"/>
  <c r="I9" i="7"/>
  <c r="E69" i="4"/>
  <c r="I10" i="7"/>
  <c r="H69" i="4"/>
  <c r="G69"/>
  <c r="F69"/>
  <c r="AC27" i="7"/>
  <c r="AC28"/>
  <c r="AC31"/>
  <c r="X27"/>
  <c r="X28"/>
  <c r="X31"/>
  <c r="S27"/>
  <c r="S28"/>
  <c r="S31"/>
  <c r="N27"/>
  <c r="N28"/>
  <c r="N31"/>
  <c r="I27"/>
  <c r="I28"/>
  <c r="I31"/>
  <c r="AG27"/>
  <c r="AF27"/>
  <c r="AE27"/>
  <c r="AD27"/>
  <c r="AG32"/>
  <c r="AG33"/>
  <c r="AI34"/>
  <c r="AF32"/>
  <c r="AF33"/>
  <c r="AH34"/>
  <c r="AE32"/>
  <c r="AE33"/>
  <c r="AG34"/>
  <c r="AD32"/>
  <c r="AD33"/>
  <c r="AF34"/>
  <c r="AC32"/>
  <c r="AC33"/>
  <c r="AE34"/>
  <c r="AB27"/>
  <c r="AB32"/>
  <c r="AB33"/>
  <c r="AD34"/>
  <c r="AA27"/>
  <c r="AA32"/>
  <c r="AA33"/>
  <c r="AC34"/>
  <c r="Z27"/>
  <c r="Z32"/>
  <c r="Z33"/>
  <c r="AB34"/>
  <c r="Y27"/>
  <c r="Y32"/>
  <c r="Y33"/>
  <c r="AA34"/>
  <c r="X32"/>
  <c r="X33"/>
  <c r="Z34"/>
  <c r="W27"/>
  <c r="W32"/>
  <c r="W33"/>
  <c r="Y34"/>
  <c r="V27"/>
  <c r="V32"/>
  <c r="V33"/>
  <c r="X34"/>
  <c r="U27"/>
  <c r="U32"/>
  <c r="U33"/>
  <c r="W34"/>
  <c r="T27"/>
  <c r="T32"/>
  <c r="T33"/>
  <c r="V34"/>
  <c r="S32"/>
  <c r="S33"/>
  <c r="U34"/>
  <c r="R27"/>
  <c r="R32"/>
  <c r="R33"/>
  <c r="T34"/>
  <c r="Q27"/>
  <c r="Q32"/>
  <c r="Q33"/>
  <c r="S34"/>
  <c r="P27"/>
  <c r="P32"/>
  <c r="P33"/>
  <c r="R34"/>
  <c r="O27"/>
  <c r="O32"/>
  <c r="O33"/>
  <c r="Q34"/>
  <c r="N32"/>
  <c r="N33"/>
  <c r="P34"/>
  <c r="M27"/>
  <c r="M32"/>
  <c r="M33"/>
  <c r="O34"/>
  <c r="L27"/>
  <c r="L32"/>
  <c r="L33"/>
  <c r="N34"/>
  <c r="K27"/>
  <c r="K32"/>
  <c r="K33"/>
  <c r="M34"/>
  <c r="J27"/>
  <c r="J32"/>
  <c r="J33"/>
  <c r="L34"/>
  <c r="I32"/>
  <c r="I33"/>
  <c r="K34"/>
  <c r="I14"/>
  <c r="J9"/>
  <c r="J14"/>
  <c r="K9"/>
  <c r="K14"/>
  <c r="L9"/>
  <c r="L14"/>
  <c r="M9"/>
  <c r="M14"/>
  <c r="M22"/>
  <c r="AI4"/>
  <c r="AH4"/>
  <c r="N9"/>
  <c r="N14"/>
  <c r="O9"/>
  <c r="O14"/>
  <c r="P9"/>
  <c r="P14"/>
  <c r="Q9"/>
  <c r="Q14"/>
  <c r="R9"/>
  <c r="R14"/>
  <c r="R22"/>
  <c r="S9"/>
  <c r="S14"/>
  <c r="T9"/>
  <c r="T14"/>
  <c r="U9"/>
  <c r="U14"/>
  <c r="V9"/>
  <c r="V14"/>
  <c r="W9"/>
  <c r="W14"/>
  <c r="W22"/>
  <c r="X9"/>
  <c r="X14"/>
  <c r="Y9"/>
  <c r="Y14"/>
  <c r="Z9"/>
  <c r="Z14"/>
  <c r="AA9"/>
  <c r="AA14"/>
  <c r="AB9"/>
  <c r="AB14"/>
  <c r="AB22"/>
  <c r="AC9"/>
  <c r="AC14"/>
  <c r="AD9"/>
  <c r="AD14"/>
  <c r="AE9"/>
  <c r="AE14"/>
  <c r="AF9"/>
  <c r="AF14"/>
  <c r="AG9"/>
  <c r="AG14"/>
  <c r="AG22"/>
  <c r="I15"/>
  <c r="J10"/>
  <c r="J15"/>
  <c r="K10"/>
  <c r="K15"/>
  <c r="L10"/>
  <c r="L15"/>
  <c r="M10"/>
  <c r="M15"/>
  <c r="M23"/>
  <c r="M45"/>
  <c r="M46"/>
  <c r="M47"/>
  <c r="M48"/>
  <c r="M49"/>
  <c r="O50"/>
  <c r="R45"/>
  <c r="N10"/>
  <c r="N15"/>
  <c r="O10"/>
  <c r="O15"/>
  <c r="P10"/>
  <c r="P15"/>
  <c r="Q10"/>
  <c r="Q15"/>
  <c r="R10"/>
  <c r="R15"/>
  <c r="S10"/>
  <c r="S15"/>
  <c r="T10"/>
  <c r="T15"/>
  <c r="U10"/>
  <c r="U15"/>
  <c r="V10"/>
  <c r="V15"/>
  <c r="W10"/>
  <c r="W15"/>
  <c r="W23"/>
  <c r="W45"/>
  <c r="W46"/>
  <c r="W47"/>
  <c r="W48"/>
  <c r="W49"/>
  <c r="Y50"/>
  <c r="X10"/>
  <c r="X15"/>
  <c r="Y10"/>
  <c r="Y15"/>
  <c r="Z10"/>
  <c r="Z15"/>
  <c r="AA10"/>
  <c r="AA15"/>
  <c r="AB10"/>
  <c r="AB15"/>
  <c r="AB23"/>
  <c r="AB45"/>
  <c r="AB46"/>
  <c r="AB47"/>
  <c r="AB48"/>
  <c r="AB49"/>
  <c r="AD50"/>
  <c r="AC15"/>
  <c r="AD15"/>
  <c r="AE15"/>
  <c r="AF15"/>
  <c r="AG15"/>
  <c r="AG23"/>
  <c r="AG45"/>
  <c r="AG46"/>
  <c r="AG47"/>
  <c r="AG48"/>
  <c r="AG49"/>
  <c r="E34"/>
  <c r="E27"/>
  <c r="J28"/>
  <c r="J31"/>
  <c r="K28"/>
  <c r="K31"/>
  <c r="L28"/>
  <c r="L31"/>
  <c r="M28"/>
  <c r="M31"/>
  <c r="O28"/>
  <c r="O31"/>
  <c r="P28"/>
  <c r="P31"/>
  <c r="Q28"/>
  <c r="Q31"/>
  <c r="R28"/>
  <c r="R31"/>
  <c r="T28"/>
  <c r="T31"/>
  <c r="U28"/>
  <c r="U31"/>
  <c r="V28"/>
  <c r="V31"/>
  <c r="W28"/>
  <c r="W31"/>
  <c r="Y28"/>
  <c r="Y31"/>
  <c r="Z28"/>
  <c r="Z31"/>
  <c r="AA28"/>
  <c r="AA31"/>
  <c r="AB28"/>
  <c r="AB31"/>
  <c r="AD28"/>
  <c r="AD31"/>
  <c r="AE28"/>
  <c r="AE31"/>
  <c r="AF28"/>
  <c r="AF31"/>
  <c r="AG28"/>
  <c r="AG31"/>
  <c r="M40"/>
  <c r="R40"/>
  <c r="R48"/>
  <c r="W40"/>
  <c r="AB40"/>
  <c r="AG40"/>
  <c r="R23"/>
  <c r="R46"/>
  <c r="R47"/>
  <c r="R49"/>
  <c r="T50"/>
  <c r="E50"/>
  <c r="R37"/>
  <c r="R38"/>
  <c r="R39"/>
  <c r="R41"/>
  <c r="T42"/>
  <c r="W37"/>
  <c r="W38"/>
  <c r="W39"/>
  <c r="W41"/>
  <c r="Y42"/>
  <c r="AB37"/>
  <c r="AB38"/>
  <c r="AB39"/>
  <c r="AB41"/>
  <c r="AD42"/>
  <c r="AG37"/>
  <c r="AG38"/>
  <c r="AG39"/>
  <c r="AG41"/>
  <c r="AI42"/>
  <c r="M37"/>
  <c r="M38"/>
  <c r="M39"/>
  <c r="M41"/>
  <c r="O42"/>
  <c r="E42"/>
</calcChain>
</file>

<file path=xl/sharedStrings.xml><?xml version="1.0" encoding="utf-8"?>
<sst xmlns="http://schemas.openxmlformats.org/spreadsheetml/2006/main" count="385" uniqueCount="230">
  <si>
    <t>Floor</t>
  </si>
  <si>
    <t>Cap</t>
  </si>
  <si>
    <t>Cost of capital</t>
  </si>
  <si>
    <t>Allowed</t>
  </si>
  <si>
    <t>Opex</t>
  </si>
  <si>
    <t>All years</t>
  </si>
  <si>
    <t>Year -3</t>
  </si>
  <si>
    <t>Year -2</t>
  </si>
  <si>
    <t>Year -1</t>
  </si>
  <si>
    <t>Actual</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</si>
  <si>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</si>
  <si>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</si>
  <si>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</si>
  <si>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</si>
  <si>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</si>
  <si>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</si>
  <si>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</si>
  <si>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</si>
  <si>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</si>
  <si>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</si>
  <si>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</si>
  <si>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</si>
  <si>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</si>
  <si>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</si>
  <si>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</si>
  <si>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</si>
  <si>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</si>
  <si>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</si>
  <si>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</si>
  <si>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</si>
  <si>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</si>
  <si>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</si>
  <si>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</si>
  <si>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</si>
  <si>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</si>
  <si>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Opening RAV</t>
  </si>
  <si>
    <t>Incentive rate</t>
  </si>
  <si>
    <t>Closing RAV</t>
  </si>
  <si>
    <t>Target</t>
  </si>
  <si>
    <t>Availability</t>
  </si>
  <si>
    <t>Incentive</t>
  </si>
  <si>
    <t>Outturn</t>
  </si>
  <si>
    <t>Average corporate tax rate</t>
  </si>
  <si>
    <t>% of asset base</t>
  </si>
  <si>
    <t>True-ups</t>
  </si>
  <si>
    <t>Uncontrollable costs</t>
  </si>
  <si>
    <t>Revenue</t>
  </si>
  <si>
    <t>Market related costs</t>
  </si>
  <si>
    <t>Capex additions</t>
  </si>
  <si>
    <t>Depreciation</t>
  </si>
  <si>
    <t>Costs</t>
  </si>
  <si>
    <t>Allowances</t>
  </si>
  <si>
    <t>Floor revenue</t>
  </si>
  <si>
    <t>Cap revenue</t>
  </si>
  <si>
    <t>Construction phase costs</t>
  </si>
  <si>
    <t>Operational phase costs</t>
  </si>
  <si>
    <t>Long asset life</t>
  </si>
  <si>
    <t>Short asset life</t>
  </si>
  <si>
    <t>Long asset life capex</t>
  </si>
  <si>
    <t>Short asset life capex</t>
  </si>
  <si>
    <t>RAV return</t>
  </si>
  <si>
    <t>Floor base</t>
  </si>
  <si>
    <t>Floor return</t>
  </si>
  <si>
    <t>Cap base</t>
  </si>
  <si>
    <t>Cap return</t>
  </si>
  <si>
    <t>Real revenue allowance</t>
  </si>
  <si>
    <t>Annuitised allowance</t>
  </si>
  <si>
    <t>Inflation</t>
  </si>
  <si>
    <t>Within-period floor</t>
  </si>
  <si>
    <t>Within-period floor revenue</t>
  </si>
  <si>
    <t>Within-period floor base</t>
  </si>
  <si>
    <t>Within-period floor return</t>
  </si>
  <si>
    <t>Project level WACCs</t>
  </si>
  <si>
    <t>Annuity WACC</t>
  </si>
  <si>
    <t>NPV of allowance</t>
  </si>
  <si>
    <t>Breach indicator</t>
  </si>
  <si>
    <t>Adjustment</t>
  </si>
  <si>
    <t>Low</t>
  </si>
  <si>
    <t>High</t>
  </si>
  <si>
    <t>Payment</t>
  </si>
  <si>
    <t>UK corporate tax rate</t>
  </si>
  <si>
    <t>Belgium corporate tax rate</t>
  </si>
  <si>
    <t>Other assumptions</t>
  </si>
  <si>
    <t>Tax</t>
  </si>
  <si>
    <t>Debt</t>
  </si>
  <si>
    <t>base year 2011</t>
  </si>
  <si>
    <t>Cap and floor allowances</t>
  </si>
  <si>
    <t>Annual</t>
  </si>
  <si>
    <t>Cost of capital allowances (real)</t>
  </si>
  <si>
    <t>Cumulative adjusted net revenue</t>
  </si>
  <si>
    <t>Equity</t>
  </si>
  <si>
    <t>Gross nominal spend</t>
  </si>
  <si>
    <t>Gross real spend</t>
  </si>
  <si>
    <t>% nominal opening RAV</t>
  </si>
  <si>
    <t>% annual cap revenue</t>
  </si>
  <si>
    <t>Reward/penalty per % point</t>
  </si>
  <si>
    <t>Decommissioning</t>
  </si>
  <si>
    <t>£m in 2011 prices unless stated</t>
  </si>
  <si>
    <t>Year 26</t>
  </si>
  <si>
    <t>Year 27</t>
  </si>
  <si>
    <t>Additional allowance (long)</t>
  </si>
  <si>
    <t>Additional allowance (short)</t>
  </si>
  <si>
    <t>Additional allowance (opex)</t>
  </si>
  <si>
    <t>Asset lives</t>
  </si>
  <si>
    <t>Cumulative unadjusted net revenue</t>
  </si>
  <si>
    <t>Cumulative - simple</t>
  </si>
  <si>
    <t>Cumulative - NPV</t>
  </si>
  <si>
    <t>Cumulative NPV net revenue</t>
  </si>
  <si>
    <t>Required total NPV adjustment</t>
  </si>
  <si>
    <t>NPV within-period adjustments</t>
  </si>
  <si>
    <t>Net adjustment</t>
  </si>
  <si>
    <t>Annual weighting (base Year 5)</t>
  </si>
  <si>
    <t>Annual PV weighting factors</t>
  </si>
  <si>
    <t>Cap &amp; floor adjustments</t>
  </si>
  <si>
    <t>Transaction costs</t>
  </si>
  <si>
    <t>Equity base</t>
  </si>
  <si>
    <t>Debt base</t>
  </si>
  <si>
    <t>Annuitised and indexed allowance</t>
  </si>
  <si>
    <t>Important Notices</t>
  </si>
  <si>
    <t>DISCLAIMER</t>
  </si>
  <si>
    <t>PURPOSE OF THIS MODEL</t>
  </si>
  <si>
    <t>MODEL STRUCTURE</t>
  </si>
  <si>
    <t>The model contains the following sheets:</t>
  </si>
  <si>
    <t>C&amp;F calcs - calculates the annual allowances for the within-period floor, the floor and the cap</t>
  </si>
  <si>
    <t>C&amp;F assessment - calculates the annual required adjustments and payments under the within-period floor, the floor and the cap</t>
  </si>
  <si>
    <t>calculation</t>
  </si>
  <si>
    <t>Other inputs - all other model inputs, including cost assumptions and revenue scenarios (note that not all of these can be varied)</t>
  </si>
  <si>
    <t>Assessment against outturn revenue</t>
  </si>
  <si>
    <t>Regime year:</t>
  </si>
  <si>
    <t>Assessment period flag:</t>
  </si>
  <si>
    <t>Period year:</t>
  </si>
  <si>
    <t>Revenue scenarios</t>
  </si>
  <si>
    <t>Selected gross available revenue scenario</t>
  </si>
  <si>
    <t>Low with outages</t>
  </si>
  <si>
    <t>Very low</t>
  </si>
  <si>
    <t>Stress test</t>
  </si>
  <si>
    <t>Base - declining</t>
  </si>
  <si>
    <t>Base - growth</t>
  </si>
  <si>
    <t>Interest cover uplift</t>
  </si>
  <si>
    <t>% of base costs</t>
  </si>
  <si>
    <t>% of depreciation</t>
  </si>
  <si>
    <t>Base</t>
  </si>
  <si>
    <t>Financial structure</t>
  </si>
  <si>
    <t>Notional gearing</t>
  </si>
  <si>
    <r>
      <t xml:space="preserve">The inputs used in this model are </t>
    </r>
    <r>
      <rPr>
        <b/>
        <sz val="11"/>
        <rFont val="Calibri"/>
        <family val="2"/>
      </rPr>
      <t>purely illustrative. No inference should be made</t>
    </r>
    <r>
      <rPr>
        <sz val="11"/>
        <rFont val="Calibri"/>
        <family val="2"/>
      </rPr>
      <t xml:space="preserve"> about the regulatory settlement for NEMOs costs, eg capital expenditure or operating expenditure, and hence the level of the cap and floor. This illustrative nature extends to the cost of capital inputs, since under our proposed methodology these will be only known at financial close.</t>
    </r>
  </si>
  <si>
    <t>NRA explanation</t>
  </si>
  <si>
    <t>We are proposing that the cap will be set 2 percentage points above the target</t>
  </si>
  <si>
    <t>We are proposing that the floor will be set 2 percentage points below the target</t>
  </si>
  <si>
    <t>The sum of the economic and efficiently incurred spend during the construction phase</t>
  </si>
  <si>
    <t>The construction phase costs have been expressed in 2011 prices, see cell A1.</t>
  </si>
  <si>
    <t>GENERAL COMMENT</t>
  </si>
  <si>
    <t>In our illustrative example, we have assumed that the interconnector will take 3 years to be build with construction starting on 1 Jan 2015 and finishing on 31 Dec 2017. The cap and floor would therefore commence on 1 Jan 2018 and run for the length of the regime, in this case 25 years.</t>
  </si>
  <si>
    <t>We are proposing the floor return will be applied on the whole asset base (RAV) not just the geared proportion</t>
  </si>
  <si>
    <t>We are proposing the floor return will be applied on the whole asset base (RAV) not just the non-geared proportion</t>
  </si>
  <si>
    <t>Interest during construction</t>
  </si>
  <si>
    <t>Our proposed gearing for a notionally efficient financed developer during the operational phase</t>
  </si>
  <si>
    <t>Corporation tax rates are relevant for calculating tax allowances, which we are proposing to set separately at the cap and floor. These inputs reflect the scheduled corporation tax rate on 1 Jan 2015</t>
  </si>
  <si>
    <t>We are proposing a 50:50 weighting will be applied in the cost of capital calculations.</t>
  </si>
  <si>
    <t>Replacement capex</t>
  </si>
  <si>
    <t>input - proposed regime design (policy outlined in consultation document)</t>
  </si>
  <si>
    <t>input - illustrative assumption to show mechanics of proposed regime design</t>
  </si>
  <si>
    <t>We are proposing that all capex will be fully depreciated over the length of the regime (20 or 25 years); for NEMO this will be 25 years</t>
  </si>
  <si>
    <r>
      <t>Inputs purely illustrative</t>
    </r>
    <r>
      <rPr>
        <sz val="11"/>
        <color theme="1"/>
        <rFont val="Calibri"/>
        <family val="2"/>
        <scheme val="minor"/>
      </rPr>
      <t>. We are proposing to carry out an ex-post capex review for NEMO with the capex forecast updated following new information (eg appointment of preferred bidder(s) following competitive tender for capex items). Long and short life asset life capex explained in 'asset lives' section, rows 22-24 of this section.</t>
    </r>
  </si>
  <si>
    <r>
      <rPr>
        <u/>
        <sz val="11"/>
        <color theme="1"/>
        <rFont val="Calibri"/>
        <family val="2"/>
        <scheme val="minor"/>
      </rPr>
      <t>The capex incentive mechanism part of the model is switched off</t>
    </r>
    <r>
      <rPr>
        <sz val="11"/>
        <color theme="1"/>
        <rFont val="Calibri"/>
        <family val="2"/>
        <scheme val="minor"/>
      </rPr>
      <t xml:space="preserve"> as we are proposing to carry out an ex-post capex review allowing only economic and efficiently incurred spend. However, we are seeking stakeholders' views on whether we should move to setting an ex-ante target, with a sharing factor on cost over/under spend. This section of the model shows some possible incentives that could be applied under this approach for illustrative purposes only</t>
    </r>
  </si>
  <si>
    <r>
      <rPr>
        <u/>
        <sz val="11"/>
        <color theme="1"/>
        <rFont val="Calibri"/>
        <family val="2"/>
        <scheme val="minor"/>
      </rPr>
      <t>Inputs purely illusrative</t>
    </r>
    <r>
      <rPr>
        <sz val="11"/>
        <color theme="1"/>
        <rFont val="Calibri"/>
        <family val="2"/>
        <scheme val="minor"/>
      </rPr>
      <t xml:space="preserve">. We are proposing to carry out an ex-post capex review for NEMO. If actual costs are equal to allowed cost, listed above in rows 5-7, then the NRA would have determined that all construction phase costs incurred were economic and efficient. </t>
    </r>
    <r>
      <rPr>
        <u/>
        <sz val="11"/>
        <color theme="1"/>
        <rFont val="Calibri"/>
        <family val="2"/>
        <scheme val="minor"/>
      </rPr>
      <t>This may not always be the case.</t>
    </r>
  </si>
  <si>
    <t>Operating expenditure</t>
  </si>
  <si>
    <r>
      <rPr>
        <u/>
        <sz val="11"/>
        <color theme="1"/>
        <rFont val="Calibri"/>
        <family val="2"/>
        <scheme val="minor"/>
      </rPr>
      <t xml:space="preserve">Input purely illustrative. </t>
    </r>
    <r>
      <rPr>
        <sz val="11"/>
        <color theme="1"/>
        <rFont val="Calibri"/>
        <family val="2"/>
        <scheme val="minor"/>
      </rPr>
      <t>We are proposing to set an allowance ex-ante for the regime length, which feeds into the level of the C&amp;F, based our assessment of the economic and efficiently incurred costs for providing an agreed scope of coverage</t>
    </r>
  </si>
  <si>
    <r>
      <rPr>
        <u/>
        <sz val="11"/>
        <color theme="1"/>
        <rFont val="Calibri"/>
        <family val="2"/>
        <scheme val="minor"/>
      </rPr>
      <t xml:space="preserve">Input purely illustrative. </t>
    </r>
    <r>
      <rPr>
        <sz val="11"/>
        <color theme="1"/>
        <rFont val="Calibri"/>
        <family val="2"/>
        <scheme val="minor"/>
      </rPr>
      <t xml:space="preserve">Some pieces of equipment on the interconnector may not last for the regime length and may need to be replaced within the duration of the regime, 25 years for project NEMO. </t>
    </r>
    <r>
      <rPr>
        <u/>
        <sz val="11"/>
        <color theme="1"/>
        <rFont val="Calibri"/>
        <family val="2"/>
        <scheme val="minor"/>
      </rPr>
      <t>If this is this the case</t>
    </r>
    <r>
      <rPr>
        <sz val="11"/>
        <color theme="1"/>
        <rFont val="Calibri"/>
        <family val="2"/>
        <scheme val="minor"/>
      </rPr>
      <t xml:space="preserve">, we are proposing to make an allowance for replacement capex to ensure the link is fully operational until the end of the regime (in consumers' interests). </t>
    </r>
    <r>
      <rPr>
        <u/>
        <sz val="11"/>
        <color theme="1"/>
        <rFont val="Calibri"/>
        <family val="2"/>
        <scheme val="minor"/>
      </rPr>
      <t/>
    </r>
  </si>
  <si>
    <r>
      <rPr>
        <u/>
        <sz val="11"/>
        <color theme="1"/>
        <rFont val="Calibri"/>
        <family val="2"/>
        <scheme val="minor"/>
      </rPr>
      <t>Input purely illustrative</t>
    </r>
    <r>
      <rPr>
        <sz val="11"/>
        <color theme="1"/>
        <rFont val="Calibri"/>
        <family val="2"/>
        <scheme val="minor"/>
      </rPr>
      <t>. Some economically and efficiently incurred operating expenditure spend during the construction phase the developer may not be able to capitalise. I</t>
    </r>
    <r>
      <rPr>
        <u/>
        <sz val="11"/>
        <color theme="1"/>
        <rFont val="Calibri"/>
        <family val="2"/>
        <scheme val="minor"/>
      </rPr>
      <t>llustrative input</t>
    </r>
    <r>
      <rPr>
        <sz val="11"/>
        <color theme="1"/>
        <rFont val="Calibri"/>
        <family val="2"/>
        <scheme val="minor"/>
      </rPr>
      <t xml:space="preserve"> shows how the model would take account of this eventuality.</t>
    </r>
  </si>
  <si>
    <r>
      <rPr>
        <u/>
        <sz val="11"/>
        <color theme="1"/>
        <rFont val="Calibri"/>
        <family val="2"/>
        <scheme val="minor"/>
      </rPr>
      <t xml:space="preserve">Input purely illustrative. </t>
    </r>
    <r>
      <rPr>
        <sz val="11"/>
        <color theme="1"/>
        <rFont val="Calibri"/>
        <family val="2"/>
        <scheme val="minor"/>
      </rPr>
      <t xml:space="preserve">We are proposing that if an allowance is provided for replacement capex, the original items covered by this allowance will be depreciated over the period to replacement and replacement capex items will be fully depreciated over the remainder of the regime. The </t>
    </r>
    <r>
      <rPr>
        <u/>
        <sz val="11"/>
        <color theme="1"/>
        <rFont val="Calibri"/>
        <family val="2"/>
        <scheme val="minor"/>
      </rPr>
      <t>illustrative input</t>
    </r>
    <r>
      <rPr>
        <sz val="11"/>
        <color theme="1"/>
        <rFont val="Calibri"/>
        <family val="2"/>
        <scheme val="minor"/>
      </rPr>
      <t xml:space="preserve"> used here shows how the cap and floor would take account </t>
    </r>
    <r>
      <rPr>
        <u/>
        <sz val="11"/>
        <color theme="1"/>
        <rFont val="Calibri"/>
        <family val="2"/>
        <scheme val="minor"/>
      </rPr>
      <t>if</t>
    </r>
    <r>
      <rPr>
        <sz val="11"/>
        <color theme="1"/>
        <rFont val="Calibri"/>
        <family val="2"/>
        <scheme val="minor"/>
      </rPr>
      <t xml:space="preserve"> an allowance being given for replacement capex being carried out 15 years, </t>
    </r>
    <r>
      <rPr>
        <u/>
        <sz val="11"/>
        <color theme="1"/>
        <rFont val="Calibri"/>
        <family val="2"/>
        <scheme val="minor"/>
      </rPr>
      <t>again illustrative</t>
    </r>
    <r>
      <rPr>
        <sz val="11"/>
        <color theme="1"/>
        <rFont val="Calibri"/>
        <family val="2"/>
        <scheme val="minor"/>
      </rPr>
      <t>, into the regime.</t>
    </r>
  </si>
  <si>
    <r>
      <rPr>
        <u/>
        <sz val="11"/>
        <color theme="1"/>
        <rFont val="Calibri"/>
        <family val="2"/>
        <scheme val="minor"/>
      </rPr>
      <t>Input purely illustrative.</t>
    </r>
    <r>
      <rPr>
        <sz val="11"/>
        <color theme="1"/>
        <rFont val="Calibri"/>
        <family val="2"/>
        <scheme val="minor"/>
      </rPr>
      <t xml:space="preserve"> We are proposing that actual target will be computed using SKM's proposed methodology, their report and model is published alongside this consultation</t>
    </r>
  </si>
  <si>
    <t>Non-controllable costs (changes from baseline estimate)</t>
  </si>
  <si>
    <r>
      <t xml:space="preserve">Input purely illustrative. </t>
    </r>
    <r>
      <rPr>
        <sz val="11"/>
        <color theme="1"/>
        <rFont val="Calibri"/>
        <family val="2"/>
        <scheme val="minor"/>
      </rPr>
      <t>We are proposing that the baseline estimate for the cost items covered under the 'non controllable' heading, listed in Appendix 3 of our consultation document, are included in the opex estimate and so the cap and floor. Departures from baseline estimate passed through/back outside cap and floor and this is what this line item covers.</t>
    </r>
  </si>
  <si>
    <t>We are proposing to provide an allowance of 2.5% for transaction costs as it is part of the 'all-in' cost of debt</t>
  </si>
  <si>
    <t>We are proposing these allowances will be added to the opening RAV</t>
  </si>
  <si>
    <t>We are proposing to provide an allowance of 5.0% as part of the 'all-in' cost of equity</t>
  </si>
  <si>
    <t>We are proposing this allowance would be paid on the notional geared proportional (for an efficiently financed developer during the operational phase) of the opening RAV.</t>
  </si>
  <si>
    <t>Interest during construction (IDC)</t>
  </si>
  <si>
    <t>Capex incentive mechanism (possibly for projects following NEMO)</t>
  </si>
  <si>
    <t>Revenue related factors</t>
  </si>
  <si>
    <t>Assessment periods</t>
  </si>
  <si>
    <t>Duration</t>
  </si>
  <si>
    <t>Basis of assessment</t>
  </si>
  <si>
    <t>Discrete</t>
  </si>
  <si>
    <r>
      <rPr>
        <u/>
        <sz val="11"/>
        <color theme="1"/>
        <rFont val="Calibri"/>
        <family val="2"/>
        <scheme val="minor"/>
      </rPr>
      <t>Input purely illustrative</t>
    </r>
    <r>
      <rPr>
        <sz val="11"/>
        <color theme="1"/>
        <rFont val="Calibri"/>
        <family val="2"/>
        <scheme val="minor"/>
      </rPr>
      <t xml:space="preserve">. We are proposing to develop a methodology to set the rate of interest during construction (IDC) before the NEMO decision document is published. For </t>
    </r>
    <r>
      <rPr>
        <u/>
        <sz val="11"/>
        <color theme="1"/>
        <rFont val="Calibri"/>
        <family val="2"/>
        <scheme val="minor"/>
      </rPr>
      <t>illustrative purpose only</t>
    </r>
    <r>
      <rPr>
        <sz val="11"/>
        <color theme="1"/>
        <rFont val="Calibri"/>
        <family val="2"/>
        <scheme val="minor"/>
      </rPr>
      <t xml:space="preserve"> we have assumed IDC will be paid on the average of the opening and closing RAV, the exact arrangements will be finalised with the methodology.</t>
    </r>
  </si>
  <si>
    <t>Non-controllable' costs (change from baseline)</t>
  </si>
  <si>
    <r>
      <rPr>
        <u/>
        <sz val="11"/>
        <color theme="1"/>
        <rFont val="Calibri"/>
        <family val="2"/>
        <scheme val="minor"/>
      </rPr>
      <t xml:space="preserve">Input purely illustrative. </t>
    </r>
    <r>
      <rPr>
        <sz val="11"/>
        <color theme="1"/>
        <rFont val="Calibri"/>
        <family val="2"/>
        <scheme val="minor"/>
      </rPr>
      <t>We are proposing our floor returns methodology (tracking a cost of debt index) will be used to set this value</t>
    </r>
  </si>
  <si>
    <t xml:space="preserve">We are proposing these costs are netted off from gross congestion revenues and that this net revenue figure is compared to the cap and floor over an assessment period to determine if the cap (or floor) has been breached. Therefore the allowance in the level of the cap and floor for these costs is 0. Actual market related costs will only be known in the following year when these costs, and congestion revenues, are reported. </t>
  </si>
  <si>
    <t>CoC inputs - costs of capital (and weightings) for the cap and floor regime</t>
  </si>
  <si>
    <t>Note on cell highlighting for 'CoC inputs' and 'Other inputs' sheet:</t>
  </si>
  <si>
    <t>above cap</t>
  </si>
  <si>
    <t>per annum real increase. Starting level midpoint of cap and floor</t>
  </si>
  <si>
    <t>per annum real decrease. Starting level midpoint of cap and floor</t>
  </si>
  <si>
    <t>per annum real change. Starting level midpoint of cap and floor</t>
  </si>
  <si>
    <t>below floor</t>
  </si>
  <si>
    <t>below floor + 1 outages in year 2023</t>
  </si>
  <si>
    <t>Illustrative cases to show how the cap and floor assessment would work</t>
  </si>
  <si>
    <t>Methodology to be developed so cells blank</t>
  </si>
  <si>
    <t>Actual cash flow costs in operating phase (exc replacement capex)</t>
  </si>
  <si>
    <t>Actual availability</t>
  </si>
  <si>
    <t>Inflation rate of index tracked</t>
  </si>
  <si>
    <t>Inflation index value</t>
  </si>
  <si>
    <r>
      <rPr>
        <u/>
        <sz val="11"/>
        <color theme="1"/>
        <rFont val="Calibri"/>
        <family val="2"/>
        <scheme val="minor"/>
      </rPr>
      <t>Input assumption illustrative</t>
    </r>
    <r>
      <rPr>
        <sz val="11"/>
        <color theme="1"/>
        <rFont val="Calibri"/>
        <family val="2"/>
        <scheme val="minor"/>
      </rPr>
      <t>. We are proposing to have a flat cap and floor profile in real terms and apply inflation indexation. The precise choice of index needs to be finalised but this allows you to understand our proposals.</t>
    </r>
  </si>
  <si>
    <r>
      <rPr>
        <u/>
        <sz val="11"/>
        <color theme="1"/>
        <rFont val="Calibri"/>
        <family val="2"/>
        <scheme val="minor"/>
      </rPr>
      <t>Inputs purely illustrative.</t>
    </r>
    <r>
      <rPr>
        <sz val="11"/>
        <color theme="1"/>
        <rFont val="Calibri"/>
        <family val="2"/>
        <scheme val="minor"/>
      </rPr>
      <t xml:space="preserve"> Methodology to be developed for conducting financeability test: within  assessment period adjustment following stakeholder responses. Possible considerations listed here.</t>
    </r>
  </si>
  <si>
    <r>
      <t xml:space="preserve">Input purely illustrative. </t>
    </r>
    <r>
      <rPr>
        <sz val="11"/>
        <color theme="1"/>
        <rFont val="Calibri"/>
        <family val="2"/>
        <scheme val="minor"/>
      </rPr>
      <t xml:space="preserve">We are proposing to set an ex-ante allowance for decommissioning based on NRA estimate of economic and efficient cost of carrying out decommissioning under specified assumptions, ie full provision provided in first regime </t>
    </r>
  </si>
  <si>
    <r>
      <rPr>
        <u/>
        <sz val="11"/>
        <color theme="1"/>
        <rFont val="Calibri"/>
        <family val="2"/>
        <scheme val="minor"/>
      </rPr>
      <t xml:space="preserve">Input purely illustrative. </t>
    </r>
    <r>
      <rPr>
        <sz val="11"/>
        <color theme="1"/>
        <rFont val="Calibri"/>
        <family val="2"/>
        <scheme val="minor"/>
      </rPr>
      <t>For simplicity, assumed outturn availability  equal = target availability.</t>
    </r>
  </si>
  <si>
    <r>
      <rPr>
        <u/>
        <sz val="11"/>
        <color theme="1"/>
        <rFont val="Calibri"/>
        <family val="2"/>
        <scheme val="minor"/>
      </rPr>
      <t xml:space="preserve">Input purely illustrative. </t>
    </r>
    <r>
      <rPr>
        <sz val="11"/>
        <color theme="1"/>
        <rFont val="Calibri"/>
        <family val="2"/>
        <scheme val="minor"/>
      </rPr>
      <t>We are proposing this allowance would be paid on the notional non-geared proportional (for an efficiently financed developer during  construction phase) of the opening RAV.. Until we have developed an IDC methodology the size of the non-geared proportion is not known.</t>
    </r>
  </si>
  <si>
    <r>
      <t xml:space="preserve">We are proposing a </t>
    </r>
    <r>
      <rPr>
        <u/>
        <sz val="11"/>
        <color theme="1"/>
        <rFont val="Calibri"/>
        <family val="2"/>
        <scheme val="minor"/>
      </rPr>
      <t>symmetric financial incentive</t>
    </r>
    <r>
      <rPr>
        <sz val="11"/>
        <color theme="1"/>
        <rFont val="Calibri"/>
        <family val="2"/>
        <scheme val="minor"/>
      </rPr>
      <t xml:space="preserve">, which </t>
    </r>
    <r>
      <rPr>
        <u/>
        <sz val="11"/>
        <color theme="1"/>
        <rFont val="Calibri"/>
        <family val="2"/>
        <scheme val="minor"/>
      </rPr>
      <t>complements</t>
    </r>
    <r>
      <rPr>
        <sz val="11"/>
        <color theme="1"/>
        <rFont val="Calibri"/>
        <family val="2"/>
        <scheme val="minor"/>
      </rPr>
      <t xml:space="preserve"> the natural incentive to maintain high link availability provided by assessing net congestion revenues to determine if the cap (or floor) has been breached.</t>
    </r>
  </si>
  <si>
    <r>
      <t xml:space="preserve">Proposing that value should be equal to the floor cost of capital (an </t>
    </r>
    <r>
      <rPr>
        <u/>
        <sz val="11"/>
        <color theme="1"/>
        <rFont val="Calibri"/>
        <family val="2"/>
        <scheme val="minor"/>
      </rPr>
      <t>illustrative value</t>
    </r>
    <r>
      <rPr>
        <sz val="11"/>
        <color theme="1"/>
        <rFont val="Calibri"/>
        <family val="2"/>
        <scheme val="minor"/>
      </rPr>
      <t xml:space="preserve"> currently)</t>
    </r>
  </si>
  <si>
    <r>
      <t xml:space="preserve">We are proposing the operational cost of capital calculated  using our proposed methodology will be used for this annuity WACC. The proposed process for deriving the operational cost of capital is shown but the value of the inputs are </t>
    </r>
    <r>
      <rPr>
        <u/>
        <sz val="11"/>
        <color theme="1"/>
        <rFont val="Calibri"/>
        <family val="2"/>
        <scheme val="minor"/>
      </rPr>
      <t>illustrative values</t>
    </r>
  </si>
  <si>
    <r>
      <t xml:space="preserve"> We are proposing the operational cost of capital calculated using our proposed methodology will be used for true-ups. The proposed process for deriving the operational cost of capital is shown but the value of the inputs are </t>
    </r>
    <r>
      <rPr>
        <u/>
        <sz val="11"/>
        <color theme="1"/>
        <rFont val="Calibri"/>
        <family val="2"/>
        <scheme val="minor"/>
      </rPr>
      <t>illustrative values</t>
    </r>
  </si>
  <si>
    <t>Cost of capital (cap on returns)</t>
  </si>
  <si>
    <t>Cost of capital (floor on returns)</t>
  </si>
  <si>
    <t>Choose one of the scenarios from the drop-down list in cell C65 to see the impact on cap and floor breaches</t>
  </si>
  <si>
    <t>Annual net revenue (gross revenues - market related costs)</t>
  </si>
  <si>
    <t>Tax allowance (within-period floor)</t>
  </si>
  <si>
    <t>Tax allowance (floor)</t>
  </si>
  <si>
    <t>Tax allowance (cap)</t>
  </si>
  <si>
    <t>Tax allowance at within period floor</t>
  </si>
  <si>
    <t>Tax allowance at floor</t>
  </si>
  <si>
    <t>Tax allowance at cap</t>
  </si>
  <si>
    <t>Real allowance (including tax)</t>
  </si>
  <si>
    <t>Indexed allowance (cap allowed revenue)</t>
  </si>
  <si>
    <t>Indexed allowance (floor allowed revenue)</t>
  </si>
  <si>
    <t>Indexed allowance (within-period floor allowed revenue)</t>
  </si>
  <si>
    <r>
      <rPr>
        <u/>
        <sz val="11"/>
        <color theme="1"/>
        <rFont val="Calibri"/>
        <family val="2"/>
        <scheme val="minor"/>
      </rPr>
      <t>Input purely illustrative.</t>
    </r>
    <r>
      <rPr>
        <sz val="11"/>
        <color theme="1"/>
        <rFont val="Calibri"/>
        <family val="2"/>
        <scheme val="minor"/>
      </rPr>
      <t xml:space="preserve"> We are proposing our cap returns methodology (considering the cost of equity for a generation plant) will be used to set this value</t>
    </r>
  </si>
  <si>
    <r>
      <rPr>
        <u/>
        <sz val="11"/>
        <color theme="1"/>
        <rFont val="Calibri"/>
        <family val="2"/>
        <scheme val="minor"/>
      </rPr>
      <t>Inputs purely illustrative.</t>
    </r>
    <r>
      <rPr>
        <sz val="11"/>
        <color theme="1"/>
        <rFont val="Calibri"/>
        <family val="2"/>
        <scheme val="minor"/>
      </rPr>
      <t xml:space="preserve"> For simplicity we have assumed the tax allowance = tax paid. Developers will be taxed on profits. Profits will vary depending on whether the developer is earning congestion revenue at the cap or the floor. Separate tax allowances at the cap and the floor are therefore required. We will be setting the tax allowances to take account of the developer being able to claim capex allowances for this project. This, along with the fact that interest payments are tax deductible, reduces the developers' tax liability. For simplicity we have assumed the tax allowance and tax paid.</t>
    </r>
  </si>
  <si>
    <t>Simplified Financial Model Illustrating Proposed Regime Design for application to NEMO</t>
  </si>
  <si>
    <t>Office of Gas and Electricity Markets (Ofgem)</t>
  </si>
  <si>
    <t>A model illustrating how our proposed cap and floor regime design for regulated electricity interconnector investment, for application to project NEMO, would work in practice. This model is a simplified version of the financial model that will published alongside the NEMO decision document. For example, in this model some assumptions are fixed rather than varying over time for ease of illustration.</t>
  </si>
</sst>
</file>

<file path=xl/styles.xml><?xml version="1.0" encoding="utf-8"?>
<styleSheet xmlns="http://schemas.openxmlformats.org/spreadsheetml/2006/main">
  <numFmts count="7">
    <numFmt numFmtId="8" formatCode="&quot;£&quot;#,##0.00;[Red]\-&quot;£&quot;#,##0.00"/>
    <numFmt numFmtId="43" formatCode="_-* #,##0.00_-;\-* #,##0.00_-;_-* &quot;-&quot;??_-;_-@_-"/>
    <numFmt numFmtId="164" formatCode="0.0"/>
    <numFmt numFmtId="165" formatCode="#,##0.0"/>
    <numFmt numFmtId="166" formatCode="0.0%"/>
    <numFmt numFmtId="167" formatCode="_-* #,##0_-;\-* #,##0_-;_-* &quot;-&quot;??_-;_-@_-"/>
    <numFmt numFmtId="168" formatCode="[$-F800]dddd\,\ mmmm\ dd\,\ yyyy"/>
  </numFmts>
  <fonts count="21">
    <font>
      <sz val="11"/>
      <color theme="1"/>
      <name val="Calibri"/>
      <family val="2"/>
      <scheme val="minor"/>
    </font>
    <font>
      <b/>
      <i/>
      <sz val="11"/>
      <color theme="1"/>
      <name val="Calibri"/>
      <family val="2"/>
      <scheme val="minor"/>
    </font>
    <font>
      <i/>
      <sz val="11"/>
      <color theme="1"/>
      <name val="Calibri"/>
      <family val="2"/>
      <scheme val="minor"/>
    </font>
    <font>
      <b/>
      <i/>
      <sz val="11"/>
      <color theme="0" tint="-0.499984740745262"/>
      <name val="Calibri"/>
      <family val="2"/>
      <scheme val="minor"/>
    </font>
    <font>
      <i/>
      <sz val="11"/>
      <color theme="0" tint="-0.499984740745262"/>
      <name val="Calibri"/>
      <family val="2"/>
      <scheme val="minor"/>
    </font>
    <font>
      <sz val="11"/>
      <color theme="0" tint="-0.499984740745262"/>
      <name val="Calibri"/>
      <family val="2"/>
      <scheme val="minor"/>
    </font>
    <font>
      <b/>
      <sz val="11"/>
      <color theme="1"/>
      <name val="Calibri"/>
      <family val="2"/>
      <scheme val="minor"/>
    </font>
    <font>
      <sz val="11"/>
      <color theme="1"/>
      <name val="Calibri"/>
      <family val="2"/>
      <scheme val="minor"/>
    </font>
    <font>
      <b/>
      <u/>
      <sz val="11"/>
      <name val="Calibri"/>
      <family val="2"/>
    </font>
    <font>
      <sz val="11"/>
      <color indexed="8"/>
      <name val="Calibri"/>
      <family val="2"/>
    </font>
    <font>
      <b/>
      <sz val="11"/>
      <name val="Calibri"/>
      <family val="2"/>
    </font>
    <font>
      <sz val="11"/>
      <name val="Calibri"/>
      <family val="2"/>
    </font>
    <font>
      <b/>
      <i/>
      <sz val="10"/>
      <name val="Calibri"/>
      <family val="2"/>
    </font>
    <font>
      <sz val="10"/>
      <name val="Calibri"/>
      <family val="2"/>
    </font>
    <font>
      <i/>
      <sz val="10"/>
      <name val="Calibri"/>
      <family val="2"/>
    </font>
    <font>
      <i/>
      <u/>
      <sz val="11"/>
      <color theme="1"/>
      <name val="Calibri"/>
      <family val="2"/>
      <scheme val="minor"/>
    </font>
    <font>
      <sz val="11"/>
      <name val="Calibri"/>
      <family val="2"/>
      <scheme val="minor"/>
    </font>
    <font>
      <u/>
      <sz val="11"/>
      <color theme="1"/>
      <name val="Calibri"/>
      <family val="2"/>
      <scheme val="minor"/>
    </font>
    <font>
      <sz val="11"/>
      <color theme="0"/>
      <name val="Calibri"/>
      <family val="2"/>
      <scheme val="minor"/>
    </font>
    <font>
      <b/>
      <sz val="14"/>
      <color theme="1"/>
      <name val="Verdana"/>
      <family val="2"/>
    </font>
    <font>
      <b/>
      <sz val="16"/>
      <color theme="1"/>
      <name val="Verdana"/>
      <family val="2"/>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lightUp"/>
    </fill>
    <fill>
      <patternFill patternType="lightUp">
        <bgColor theme="9" tint="0.79998168889431442"/>
      </patternFill>
    </fill>
    <fill>
      <patternFill patternType="solid">
        <fgColor rgb="FFFF0000"/>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3" fontId="7" fillId="0" borderId="0" applyFont="0" applyFill="0" applyBorder="0" applyAlignment="0" applyProtection="0"/>
  </cellStyleXfs>
  <cellXfs count="198">
    <xf numFmtId="0" fontId="0" fillId="0" borderId="0" xfId="0"/>
    <xf numFmtId="0" fontId="1" fillId="0" borderId="0" xfId="0" applyFont="1"/>
    <xf numFmtId="0" fontId="2" fillId="0" borderId="0" xfId="0" applyFont="1"/>
    <xf numFmtId="9" fontId="0" fillId="0" borderId="0" xfId="0" applyNumberFormat="1"/>
    <xf numFmtId="164" fontId="0" fillId="0" borderId="0" xfId="0" applyNumberFormat="1"/>
    <xf numFmtId="1" fontId="0" fillId="0" borderId="0" xfId="0" applyNumberFormat="1"/>
    <xf numFmtId="165" fontId="0" fillId="0" borderId="0" xfId="0" applyNumberFormat="1"/>
    <xf numFmtId="0" fontId="3" fillId="0" borderId="0" xfId="0" applyFont="1"/>
    <xf numFmtId="0" fontId="5" fillId="0" borderId="0" xfId="0" applyFont="1"/>
    <xf numFmtId="0" fontId="0" fillId="0" borderId="0" xfId="0" applyAlignment="1">
      <alignment vertical="center"/>
    </xf>
    <xf numFmtId="0" fontId="10" fillId="0" borderId="0" xfId="0" applyFont="1"/>
    <xf numFmtId="0" fontId="12" fillId="0" borderId="0" xfId="0" applyFont="1"/>
    <xf numFmtId="0" fontId="13" fillId="0" borderId="0" xfId="0" applyFont="1"/>
    <xf numFmtId="167" fontId="13" fillId="0" borderId="0" xfId="1" applyNumberFormat="1" applyFont="1"/>
    <xf numFmtId="0" fontId="14" fillId="0" borderId="0" xfId="0" applyFont="1"/>
    <xf numFmtId="0" fontId="0" fillId="0" borderId="2" xfId="0" applyBorder="1"/>
    <xf numFmtId="0" fontId="0" fillId="0" borderId="5" xfId="0" applyBorder="1"/>
    <xf numFmtId="9" fontId="0" fillId="0" borderId="6" xfId="0" applyNumberFormat="1" applyBorder="1"/>
    <xf numFmtId="0" fontId="2" fillId="0" borderId="1" xfId="0" applyFont="1" applyBorder="1"/>
    <xf numFmtId="0" fontId="0" fillId="0" borderId="3" xfId="0" applyBorder="1"/>
    <xf numFmtId="0" fontId="2" fillId="0" borderId="7" xfId="0" applyFont="1" applyBorder="1"/>
    <xf numFmtId="0" fontId="0" fillId="0" borderId="0" xfId="0" applyBorder="1"/>
    <xf numFmtId="0" fontId="2" fillId="0" borderId="4" xfId="0" applyFont="1" applyBorder="1"/>
    <xf numFmtId="0" fontId="5" fillId="0" borderId="0" xfId="0" applyFont="1" applyBorder="1"/>
    <xf numFmtId="0" fontId="2" fillId="0" borderId="2" xfId="0" applyFont="1" applyBorder="1"/>
    <xf numFmtId="0" fontId="2" fillId="0" borderId="0" xfId="0" applyFont="1" applyBorder="1"/>
    <xf numFmtId="0" fontId="0" fillId="0" borderId="8" xfId="0" applyBorder="1"/>
    <xf numFmtId="1" fontId="0" fillId="0" borderId="0" xfId="0" applyNumberFormat="1" applyBorder="1"/>
    <xf numFmtId="1" fontId="0" fillId="0" borderId="8" xfId="0" applyNumberFormat="1" applyBorder="1"/>
    <xf numFmtId="0" fontId="2" fillId="0" borderId="5" xfId="0" applyFont="1" applyBorder="1"/>
    <xf numFmtId="1" fontId="0" fillId="0" borderId="5" xfId="0" applyNumberFormat="1" applyBorder="1"/>
    <xf numFmtId="1" fontId="0" fillId="0" borderId="6" xfId="0" applyNumberFormat="1" applyBorder="1"/>
    <xf numFmtId="0" fontId="0" fillId="2" borderId="0" xfId="0" applyFill="1" applyBorder="1"/>
    <xf numFmtId="0" fontId="0" fillId="2" borderId="8" xfId="0" applyFill="1" applyBorder="1"/>
    <xf numFmtId="0" fontId="12" fillId="2" borderId="0" xfId="0" applyFont="1" applyFill="1"/>
    <xf numFmtId="0" fontId="15" fillId="0" borderId="0" xfId="0" applyFont="1"/>
    <xf numFmtId="164" fontId="0" fillId="0" borderId="8" xfId="0" applyNumberFormat="1" applyBorder="1"/>
    <xf numFmtId="164" fontId="0" fillId="0" borderId="0" xfId="0" applyNumberFormat="1" applyBorder="1"/>
    <xf numFmtId="9" fontId="0" fillId="0" borderId="5" xfId="0" applyNumberFormat="1" applyBorder="1"/>
    <xf numFmtId="165" fontId="0" fillId="0" borderId="8" xfId="0" applyNumberFormat="1" applyBorder="1"/>
    <xf numFmtId="164" fontId="0" fillId="0" borderId="5" xfId="0" applyNumberFormat="1" applyBorder="1"/>
    <xf numFmtId="164" fontId="0" fillId="0" borderId="6" xfId="0" applyNumberFormat="1" applyBorder="1"/>
    <xf numFmtId="2" fontId="0" fillId="0" borderId="5" xfId="0" applyNumberFormat="1" applyBorder="1"/>
    <xf numFmtId="2" fontId="0" fillId="0" borderId="6" xfId="0" applyNumberFormat="1" applyBorder="1"/>
    <xf numFmtId="165" fontId="0" fillId="0" borderId="0" xfId="0" applyNumberFormat="1" applyBorder="1"/>
    <xf numFmtId="165" fontId="0" fillId="0" borderId="5" xfId="0" applyNumberFormat="1" applyBorder="1"/>
    <xf numFmtId="165" fontId="0" fillId="0" borderId="6" xfId="0" applyNumberFormat="1" applyBorder="1"/>
    <xf numFmtId="165" fontId="0" fillId="0" borderId="2" xfId="0" applyNumberFormat="1" applyBorder="1"/>
    <xf numFmtId="165" fontId="0" fillId="0" borderId="3" xfId="0" applyNumberFormat="1" applyBorder="1"/>
    <xf numFmtId="0" fontId="4" fillId="0" borderId="7" xfId="0" applyFont="1" applyBorder="1"/>
    <xf numFmtId="0" fontId="4" fillId="0" borderId="0" xfId="0" applyFont="1" applyBorder="1"/>
    <xf numFmtId="164" fontId="0" fillId="0" borderId="2" xfId="0" applyNumberFormat="1" applyBorder="1"/>
    <xf numFmtId="164" fontId="0" fillId="0" borderId="3" xfId="0" applyNumberFormat="1" applyBorder="1"/>
    <xf numFmtId="8" fontId="0" fillId="0" borderId="2" xfId="0" applyNumberFormat="1" applyBorder="1"/>
    <xf numFmtId="0" fontId="2" fillId="0" borderId="0" xfId="0" applyFont="1" applyAlignment="1">
      <alignment horizontal="right"/>
    </xf>
    <xf numFmtId="0" fontId="0" fillId="0" borderId="0" xfId="0" applyFill="1" applyBorder="1"/>
    <xf numFmtId="0" fontId="16" fillId="0" borderId="0" xfId="0" applyFont="1" applyFill="1" applyBorder="1"/>
    <xf numFmtId="0" fontId="16" fillId="0" borderId="5" xfId="0" applyFont="1" applyFill="1" applyBorder="1"/>
    <xf numFmtId="0" fontId="0" fillId="0" borderId="5" xfId="0" applyFill="1" applyBorder="1"/>
    <xf numFmtId="0" fontId="0" fillId="0" borderId="0" xfId="0" applyBorder="1" applyAlignment="1">
      <alignment vertical="top" wrapText="1"/>
    </xf>
    <xf numFmtId="0" fontId="1" fillId="0" borderId="0" xfId="0" applyFont="1" applyAlignment="1">
      <alignment vertical="center"/>
    </xf>
    <xf numFmtId="0" fontId="2" fillId="0" borderId="7" xfId="0" applyFont="1"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0" fillId="0" borderId="0" xfId="0" applyBorder="1" applyAlignment="1">
      <alignment vertical="center" wrapText="1"/>
    </xf>
    <xf numFmtId="0" fontId="2" fillId="0" borderId="4" xfId="0" applyFont="1" applyBorder="1" applyAlignment="1">
      <alignment vertical="center"/>
    </xf>
    <xf numFmtId="0" fontId="0" fillId="0" borderId="5" xfId="0" applyBorder="1" applyAlignment="1">
      <alignment vertical="center"/>
    </xf>
    <xf numFmtId="0" fontId="2" fillId="0" borderId="5" xfId="0" applyFont="1" applyBorder="1" applyAlignment="1">
      <alignment vertical="center"/>
    </xf>
    <xf numFmtId="0" fontId="0" fillId="0" borderId="5" xfId="0" applyBorder="1" applyAlignment="1">
      <alignment vertical="center" wrapText="1"/>
    </xf>
    <xf numFmtId="0" fontId="6" fillId="0" borderId="0" xfId="0" applyFont="1"/>
    <xf numFmtId="0" fontId="1" fillId="0" borderId="0" xfId="0" applyFont="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1" fontId="0" fillId="2" borderId="0" xfId="0" applyNumberFormat="1" applyFill="1" applyBorder="1" applyAlignment="1">
      <alignment vertical="center" wrapText="1"/>
    </xf>
    <xf numFmtId="1" fontId="0" fillId="2" borderId="8" xfId="0" applyNumberFormat="1" applyFill="1" applyBorder="1" applyAlignment="1">
      <alignment vertical="center" wrapText="1"/>
    </xf>
    <xf numFmtId="0" fontId="0" fillId="0" borderId="0" xfId="0" applyAlignment="1">
      <alignment vertical="center" wrapText="1"/>
    </xf>
    <xf numFmtId="0" fontId="2" fillId="0" borderId="4" xfId="0" applyFont="1" applyBorder="1" applyAlignment="1">
      <alignment vertical="center" wrapText="1"/>
    </xf>
    <xf numFmtId="0" fontId="0" fillId="0" borderId="0" xfId="0" applyBorder="1" applyAlignment="1">
      <alignment wrapText="1"/>
    </xf>
    <xf numFmtId="0" fontId="0" fillId="0" borderId="5" xfId="0" applyBorder="1" applyAlignment="1">
      <alignment wrapText="1"/>
    </xf>
    <xf numFmtId="0" fontId="1" fillId="0" borderId="0" xfId="0" applyFont="1" applyAlignment="1">
      <alignment vertical="top"/>
    </xf>
    <xf numFmtId="0" fontId="2" fillId="0" borderId="7" xfId="0" applyFont="1" applyBorder="1" applyAlignment="1">
      <alignment vertical="top"/>
    </xf>
    <xf numFmtId="0" fontId="0" fillId="0" borderId="0" xfId="0" applyBorder="1" applyAlignment="1">
      <alignment vertical="top"/>
    </xf>
    <xf numFmtId="0" fontId="0" fillId="0" borderId="0" xfId="0" applyAlignment="1">
      <alignment vertical="top"/>
    </xf>
    <xf numFmtId="0" fontId="0" fillId="0" borderId="0" xfId="0" applyFill="1" applyBorder="1" applyAlignment="1">
      <alignment vertical="center" wrapText="1"/>
    </xf>
    <xf numFmtId="166" fontId="0" fillId="3" borderId="8" xfId="0" applyNumberFormat="1" applyFill="1" applyBorder="1" applyAlignment="1">
      <alignment horizontal="center"/>
    </xf>
    <xf numFmtId="10" fontId="0" fillId="3" borderId="6" xfId="0" applyNumberFormat="1" applyFill="1" applyBorder="1" applyAlignment="1">
      <alignment horizontal="center" vertical="center"/>
    </xf>
    <xf numFmtId="166" fontId="0" fillId="3" borderId="0" xfId="0" applyNumberFormat="1" applyFill="1" applyBorder="1" applyAlignment="1">
      <alignment horizontal="center"/>
    </xf>
    <xf numFmtId="9" fontId="0" fillId="0" borderId="0" xfId="0" applyNumberFormat="1" applyAlignment="1">
      <alignment vertical="center" wrapText="1"/>
    </xf>
    <xf numFmtId="0" fontId="2" fillId="0" borderId="5" xfId="0" applyFont="1" applyBorder="1" applyAlignment="1">
      <alignment vertical="center" wrapText="1"/>
    </xf>
    <xf numFmtId="1" fontId="0" fillId="2" borderId="5" xfId="0" applyNumberFormat="1" applyFill="1" applyBorder="1" applyAlignment="1">
      <alignment vertical="center" wrapText="1"/>
    </xf>
    <xf numFmtId="1" fontId="0" fillId="2" borderId="6" xfId="0" applyNumberFormat="1" applyFill="1" applyBorder="1" applyAlignment="1">
      <alignment vertical="center" wrapText="1"/>
    </xf>
    <xf numFmtId="0" fontId="17" fillId="0" borderId="0" xfId="0" applyFont="1" applyBorder="1" applyAlignment="1">
      <alignment vertical="center" wrapText="1"/>
    </xf>
    <xf numFmtId="0" fontId="0" fillId="2" borderId="0" xfId="0" applyFill="1" applyBorder="1" applyAlignment="1">
      <alignment vertical="center"/>
    </xf>
    <xf numFmtId="0" fontId="0" fillId="2" borderId="8" xfId="0" applyFill="1" applyBorder="1" applyAlignment="1">
      <alignment vertical="center"/>
    </xf>
    <xf numFmtId="0" fontId="0" fillId="0" borderId="0" xfId="0" applyBorder="1" applyAlignment="1">
      <alignment vertical="center" wrapText="1"/>
    </xf>
    <xf numFmtId="9" fontId="0" fillId="3" borderId="6" xfId="0" applyNumberFormat="1" applyFill="1" applyBorder="1" applyAlignment="1">
      <alignment horizontal="center" vertical="center"/>
    </xf>
    <xf numFmtId="164" fontId="0" fillId="0" borderId="0" xfId="0" applyNumberFormat="1" applyAlignment="1">
      <alignment vertical="center"/>
    </xf>
    <xf numFmtId="164" fontId="0" fillId="0" borderId="0" xfId="0" applyNumberFormat="1" applyAlignment="1">
      <alignment vertical="center" wrapText="1"/>
    </xf>
    <xf numFmtId="166" fontId="0" fillId="2" borderId="8" xfId="0" applyNumberFormat="1" applyFill="1" applyBorder="1" applyAlignment="1">
      <alignment horizontal="center" vertical="center"/>
    </xf>
    <xf numFmtId="0" fontId="17" fillId="0" borderId="5" xfId="0" applyFont="1" applyBorder="1" applyAlignment="1">
      <alignment vertical="center" wrapText="1"/>
    </xf>
    <xf numFmtId="0" fontId="0" fillId="0" borderId="0" xfId="0" applyAlignment="1">
      <alignment horizontal="center"/>
    </xf>
    <xf numFmtId="0" fontId="0" fillId="0" borderId="2" xfId="0" applyBorder="1" applyAlignment="1">
      <alignment horizontal="center"/>
    </xf>
    <xf numFmtId="0" fontId="0" fillId="0" borderId="0" xfId="0" applyBorder="1" applyAlignment="1">
      <alignment horizontal="center" vertical="center"/>
    </xf>
    <xf numFmtId="0" fontId="0" fillId="0" borderId="0" xfId="0" applyBorder="1" applyAlignment="1">
      <alignment horizontal="center" vertical="center" wrapText="1"/>
    </xf>
    <xf numFmtId="1" fontId="0" fillId="0" borderId="0" xfId="0" applyNumberFormat="1" applyBorder="1" applyAlignment="1">
      <alignment horizontal="center"/>
    </xf>
    <xf numFmtId="1" fontId="0" fillId="0" borderId="5" xfId="0" applyNumberForma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0" fillId="0" borderId="3" xfId="0" applyBorder="1" applyAlignment="1">
      <alignment horizontal="center"/>
    </xf>
    <xf numFmtId="0" fontId="0" fillId="3" borderId="8" xfId="0" applyFill="1" applyBorder="1" applyAlignment="1">
      <alignment horizontal="center" vertical="center" wrapText="1"/>
    </xf>
    <xf numFmtId="0" fontId="0" fillId="2" borderId="6" xfId="0" applyFill="1" applyBorder="1" applyAlignment="1">
      <alignment horizontal="center" vertical="center" wrapText="1"/>
    </xf>
    <xf numFmtId="1" fontId="0" fillId="2" borderId="8" xfId="0" applyNumberFormat="1" applyFill="1" applyBorder="1" applyAlignment="1">
      <alignment horizontal="center" vertical="center"/>
    </xf>
    <xf numFmtId="1" fontId="0" fillId="2" borderId="8" xfId="0" applyNumberFormat="1" applyFill="1" applyBorder="1" applyAlignment="1">
      <alignment horizontal="center"/>
    </xf>
    <xf numFmtId="1" fontId="0" fillId="2" borderId="8" xfId="0" applyNumberFormat="1" applyFill="1" applyBorder="1" applyAlignment="1">
      <alignment horizontal="center" vertical="center" wrapText="1"/>
    </xf>
    <xf numFmtId="1" fontId="0" fillId="2" borderId="6" xfId="0" applyNumberFormat="1" applyFill="1" applyBorder="1" applyAlignment="1">
      <alignment horizontal="center" vertical="center"/>
    </xf>
    <xf numFmtId="10" fontId="0" fillId="2" borderId="8" xfId="0" applyNumberFormat="1" applyFill="1" applyBorder="1" applyAlignment="1">
      <alignment horizontal="center"/>
    </xf>
    <xf numFmtId="10" fontId="0" fillId="0" borderId="0" xfId="0" applyNumberFormat="1" applyAlignment="1">
      <alignment horizontal="center"/>
    </xf>
    <xf numFmtId="10" fontId="0" fillId="0" borderId="3" xfId="0" applyNumberFormat="1" applyBorder="1" applyAlignment="1">
      <alignment horizontal="center"/>
    </xf>
    <xf numFmtId="10" fontId="0" fillId="2" borderId="0" xfId="0" applyNumberFormat="1" applyFill="1" applyBorder="1" applyAlignment="1">
      <alignment horizontal="center"/>
    </xf>
    <xf numFmtId="10" fontId="0" fillId="3" borderId="8" xfId="0" applyNumberFormat="1" applyFill="1" applyBorder="1" applyAlignment="1">
      <alignment horizontal="center" vertical="center"/>
    </xf>
    <xf numFmtId="9" fontId="0" fillId="2" borderId="8" xfId="0" applyNumberFormat="1" applyFill="1" applyBorder="1" applyAlignment="1">
      <alignment horizontal="center" vertical="center" wrapText="1"/>
    </xf>
    <xf numFmtId="10" fontId="0" fillId="3" borderId="6" xfId="0" applyNumberFormat="1" applyFill="1" applyBorder="1" applyAlignment="1">
      <alignment horizontal="center" vertical="center" wrapText="1"/>
    </xf>
    <xf numFmtId="166" fontId="0" fillId="2" borderId="0" xfId="0" applyNumberFormat="1" applyFill="1" applyBorder="1" applyAlignment="1">
      <alignment horizontal="center" vertical="center"/>
    </xf>
    <xf numFmtId="0" fontId="0" fillId="4" borderId="2" xfId="0" applyFill="1" applyBorder="1" applyAlignment="1">
      <alignment horizontal="center"/>
    </xf>
    <xf numFmtId="1" fontId="0" fillId="4" borderId="2" xfId="0" applyNumberFormat="1" applyFill="1" applyBorder="1"/>
    <xf numFmtId="1" fontId="0" fillId="4" borderId="3" xfId="0" applyNumberFormat="1" applyFill="1" applyBorder="1"/>
    <xf numFmtId="9" fontId="0" fillId="5" borderId="0" xfId="0" applyNumberFormat="1" applyFill="1" applyBorder="1" applyAlignment="1">
      <alignment horizontal="center"/>
    </xf>
    <xf numFmtId="9" fontId="0" fillId="4" borderId="0" xfId="0" applyNumberFormat="1" applyFill="1" applyBorder="1"/>
    <xf numFmtId="9" fontId="0" fillId="4" borderId="8" xfId="0" applyNumberFormat="1" applyFill="1" applyBorder="1"/>
    <xf numFmtId="0" fontId="0" fillId="4" borderId="0" xfId="0" applyFill="1" applyBorder="1" applyAlignment="1">
      <alignment horizontal="center"/>
    </xf>
    <xf numFmtId="1" fontId="0" fillId="4" borderId="0" xfId="0" applyNumberFormat="1" applyFill="1" applyBorder="1"/>
    <xf numFmtId="1" fontId="0" fillId="4" borderId="8" xfId="0" applyNumberFormat="1" applyFill="1" applyBorder="1"/>
    <xf numFmtId="0" fontId="0" fillId="4" borderId="5" xfId="0" applyFill="1" applyBorder="1" applyAlignment="1">
      <alignment horizontal="center" vertical="center"/>
    </xf>
    <xf numFmtId="1" fontId="0" fillId="4" borderId="5" xfId="0" applyNumberFormat="1" applyFill="1" applyBorder="1" applyAlignment="1">
      <alignment vertical="center"/>
    </xf>
    <xf numFmtId="1" fontId="0" fillId="4" borderId="6" xfId="0" applyNumberFormat="1" applyFill="1" applyBorder="1" applyAlignment="1">
      <alignment vertical="center"/>
    </xf>
    <xf numFmtId="1" fontId="0" fillId="3" borderId="6" xfId="0" applyNumberFormat="1" applyFill="1" applyBorder="1" applyAlignment="1">
      <alignment horizontal="center" vertical="center"/>
    </xf>
    <xf numFmtId="10" fontId="0" fillId="0" borderId="7" xfId="0" applyNumberFormat="1" applyBorder="1" applyAlignment="1">
      <alignment horizontal="center"/>
    </xf>
    <xf numFmtId="1" fontId="0" fillId="3" borderId="8" xfId="0" applyNumberFormat="1" applyFill="1" applyBorder="1" applyAlignment="1">
      <alignment horizontal="center" vertical="center"/>
    </xf>
    <xf numFmtId="10" fontId="0" fillId="2" borderId="8" xfId="0" applyNumberFormat="1" applyFill="1" applyBorder="1" applyAlignment="1">
      <alignment horizontal="center" vertical="center"/>
    </xf>
    <xf numFmtId="0" fontId="0" fillId="0" borderId="5" xfId="0" quotePrefix="1" applyBorder="1"/>
    <xf numFmtId="9" fontId="0" fillId="2" borderId="0" xfId="0" applyNumberFormat="1" applyFill="1" applyBorder="1" applyAlignment="1">
      <alignment horizontal="right" vertical="center" wrapText="1"/>
    </xf>
    <xf numFmtId="9" fontId="0" fillId="2" borderId="5" xfId="0" applyNumberFormat="1" applyFill="1" applyBorder="1" applyAlignment="1">
      <alignment horizontal="right" vertical="center" wrapText="1"/>
    </xf>
    <xf numFmtId="0" fontId="17" fillId="0" borderId="2" xfId="0" applyFont="1" applyBorder="1"/>
    <xf numFmtId="0" fontId="18" fillId="6" borderId="0" xfId="0" applyFont="1" applyFill="1" applyBorder="1"/>
    <xf numFmtId="2" fontId="0" fillId="0" borderId="5" xfId="0" applyNumberFormat="1" applyBorder="1" applyAlignment="1">
      <alignment vertical="center"/>
    </xf>
    <xf numFmtId="2" fontId="0" fillId="0" borderId="6" xfId="0" applyNumberFormat="1" applyBorder="1" applyAlignment="1">
      <alignment vertical="center"/>
    </xf>
    <xf numFmtId="0" fontId="0" fillId="0" borderId="5"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0" xfId="0" applyAlignment="1">
      <alignment vertical="center"/>
    </xf>
    <xf numFmtId="9" fontId="0" fillId="2" borderId="8" xfId="0" applyNumberFormat="1" applyFill="1" applyBorder="1" applyAlignment="1">
      <alignment horizontal="center" vertical="center"/>
    </xf>
    <xf numFmtId="9" fontId="0" fillId="2" borderId="6" xfId="0" applyNumberFormat="1" applyFill="1" applyBorder="1" applyAlignment="1">
      <alignment horizontal="center" vertical="center"/>
    </xf>
    <xf numFmtId="2" fontId="0" fillId="2" borderId="8" xfId="0" applyNumberFormat="1" applyFill="1" applyBorder="1" applyAlignment="1">
      <alignment horizontal="center" vertical="center"/>
    </xf>
    <xf numFmtId="0" fontId="0" fillId="2" borderId="5" xfId="0" applyFill="1" applyBorder="1" applyAlignment="1">
      <alignment vertical="center"/>
    </xf>
    <xf numFmtId="164" fontId="0" fillId="0" borderId="5" xfId="0" applyNumberFormat="1" applyBorder="1" applyAlignment="1">
      <alignment horizontal="center" vertical="center"/>
    </xf>
    <xf numFmtId="164" fontId="0" fillId="0" borderId="5" xfId="0" applyNumberFormat="1" applyFill="1" applyBorder="1" applyAlignment="1">
      <alignment vertical="center"/>
    </xf>
    <xf numFmtId="164" fontId="0" fillId="0" borderId="6" xfId="0" applyNumberFormat="1" applyFill="1" applyBorder="1" applyAlignment="1">
      <alignment vertical="center"/>
    </xf>
    <xf numFmtId="0" fontId="0" fillId="2" borderId="8" xfId="0" applyNumberFormat="1" applyFill="1" applyBorder="1" applyAlignment="1">
      <alignment horizontal="center" vertical="center"/>
    </xf>
    <xf numFmtId="0" fontId="0" fillId="2" borderId="6" xfId="0" applyNumberFormat="1" applyFill="1" applyBorder="1" applyAlignment="1">
      <alignment horizontal="center" vertical="center"/>
    </xf>
    <xf numFmtId="0" fontId="0" fillId="0" borderId="0" xfId="0" applyBorder="1" applyAlignment="1">
      <alignment vertical="top" wrapText="1"/>
    </xf>
    <xf numFmtId="49" fontId="8" fillId="0" borderId="0" xfId="0" applyNumberFormat="1" applyFont="1" applyFill="1" applyAlignment="1">
      <alignment vertical="top"/>
    </xf>
    <xf numFmtId="0" fontId="9" fillId="0" borderId="0" xfId="0" applyFont="1" applyFill="1"/>
    <xf numFmtId="49" fontId="10" fillId="0" borderId="0" xfId="0" applyNumberFormat="1" applyFont="1" applyFill="1" applyAlignment="1">
      <alignment vertical="top"/>
    </xf>
    <xf numFmtId="0" fontId="10" fillId="0" borderId="0" xfId="0" applyFont="1" applyFill="1"/>
    <xf numFmtId="49" fontId="10" fillId="0" borderId="0" xfId="0" applyNumberFormat="1" applyFont="1" applyFill="1" applyAlignment="1">
      <alignment vertical="center" wrapText="1"/>
    </xf>
    <xf numFmtId="49" fontId="10" fillId="0" borderId="0" xfId="0" applyNumberFormat="1" applyFont="1" applyFill="1" applyAlignment="1">
      <alignment vertical="top" wrapText="1"/>
    </xf>
    <xf numFmtId="0" fontId="9" fillId="0" borderId="0" xfId="0" applyFont="1" applyFill="1" applyAlignment="1">
      <alignment horizontal="left" wrapText="1"/>
    </xf>
    <xf numFmtId="0" fontId="11" fillId="0" borderId="0" xfId="0" applyFont="1" applyFill="1" applyAlignment="1">
      <alignment horizontal="left" vertical="center" wrapText="1"/>
    </xf>
    <xf numFmtId="0" fontId="9" fillId="0" borderId="0" xfId="0" applyFont="1" applyFill="1" applyAlignment="1">
      <alignment horizontal="left" vertical="center" wrapText="1"/>
    </xf>
    <xf numFmtId="0" fontId="11" fillId="0" borderId="0" xfId="0" applyFont="1" applyFill="1" applyAlignment="1" applyProtection="1">
      <alignment horizontal="left" wrapText="1"/>
      <protection locked="0"/>
    </xf>
    <xf numFmtId="0" fontId="11" fillId="0" borderId="0" xfId="0" applyFont="1" applyFill="1" applyAlignment="1" applyProtection="1">
      <alignment horizontal="left"/>
      <protection locked="0"/>
    </xf>
    <xf numFmtId="0" fontId="11" fillId="0" borderId="0" xfId="0" applyFont="1" applyFill="1" applyAlignment="1">
      <alignment horizontal="left" wrapText="1"/>
    </xf>
    <xf numFmtId="0" fontId="19" fillId="7" borderId="0" xfId="0" applyFont="1" applyFill="1"/>
    <xf numFmtId="0" fontId="0" fillId="7" borderId="0" xfId="0" applyFill="1"/>
    <xf numFmtId="168" fontId="19" fillId="7" borderId="0" xfId="0" applyNumberFormat="1" applyFont="1" applyFill="1" applyAlignment="1">
      <alignment horizontal="left"/>
    </xf>
    <xf numFmtId="0" fontId="20" fillId="7" borderId="0" xfId="0" applyFont="1" applyFill="1" applyAlignment="1">
      <alignment vertical="top"/>
    </xf>
    <xf numFmtId="168" fontId="20" fillId="7" borderId="0" xfId="0" applyNumberFormat="1" applyFont="1" applyFill="1" applyAlignment="1">
      <alignment horizontal="left"/>
    </xf>
    <xf numFmtId="0" fontId="20" fillId="7" borderId="0" xfId="0" applyFont="1" applyFill="1"/>
    <xf numFmtId="0" fontId="11" fillId="0" borderId="0" xfId="0" applyFont="1" applyFill="1" applyAlignment="1">
      <alignment horizontal="left" vertical="center" wrapText="1"/>
    </xf>
    <xf numFmtId="0" fontId="9" fillId="0" borderId="0" xfId="0" applyFont="1" applyFill="1" applyAlignment="1">
      <alignment horizontal="left" vertical="center" wrapText="1"/>
    </xf>
    <xf numFmtId="0" fontId="11" fillId="0" borderId="0" xfId="0" applyFont="1" applyFill="1" applyAlignment="1" applyProtection="1">
      <alignment horizontal="left" wrapText="1"/>
      <protection locked="0"/>
    </xf>
    <xf numFmtId="0" fontId="0" fillId="0" borderId="0" xfId="0" applyBorder="1" applyAlignment="1">
      <alignment wrapText="1"/>
    </xf>
    <xf numFmtId="0" fontId="0" fillId="0" borderId="5" xfId="0" applyBorder="1" applyAlignment="1">
      <alignment wrapText="1"/>
    </xf>
    <xf numFmtId="0" fontId="0" fillId="0" borderId="0" xfId="0" applyBorder="1" applyAlignment="1">
      <alignment vertical="top" wrapText="1"/>
    </xf>
    <xf numFmtId="0" fontId="0" fillId="0" borderId="0"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17" fillId="0" borderId="0" xfId="0" applyFont="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18" fillId="6" borderId="0" xfId="0" applyFont="1" applyFill="1" applyBorder="1" applyAlignment="1">
      <alignment vertical="center"/>
    </xf>
    <xf numFmtId="0" fontId="0" fillId="0" borderId="0" xfId="0" applyAlignment="1">
      <alignment vertical="center"/>
    </xf>
  </cellXfs>
  <cellStyles count="2">
    <cellStyle name="Comma" xfId="1" builtinId="3"/>
    <cellStyle name="Normal" xfId="0" builtinId="0"/>
  </cellStyles>
  <dxfs count="1">
    <dxf>
      <font>
        <color theme="0"/>
      </font>
      <fill>
        <patternFill>
          <fgColor theme="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R28"/>
  <sheetViews>
    <sheetView showGridLines="0" tabSelected="1" zoomScale="70" zoomScaleNormal="70" workbookViewId="0">
      <selection activeCell="F3" sqref="F3"/>
    </sheetView>
  </sheetViews>
  <sheetFormatPr defaultRowHeight="15"/>
  <cols>
    <col min="1" max="1" width="2.7109375" style="10" customWidth="1"/>
    <col min="2" max="2" width="2.7109375" style="11" customWidth="1"/>
    <col min="3" max="3" width="50" style="12" customWidth="1"/>
    <col min="4" max="6" width="16.7109375" style="13" customWidth="1"/>
    <col min="7" max="8" width="16.7109375" style="12" customWidth="1"/>
    <col min="9" max="9" width="4.5703125" style="12" customWidth="1"/>
    <col min="10" max="10" width="9.140625" style="14"/>
    <col min="11" max="16384" width="9.140625" style="12"/>
  </cols>
  <sheetData>
    <row r="1" spans="1:18" ht="36" customHeight="1">
      <c r="B1" s="12"/>
      <c r="C1" s="181" t="s">
        <v>227</v>
      </c>
      <c r="D1" s="178"/>
      <c r="E1" s="178"/>
      <c r="F1" s="178"/>
      <c r="G1" s="178"/>
      <c r="H1" s="178"/>
      <c r="I1" s="178"/>
      <c r="J1" s="178"/>
      <c r="K1" s="178"/>
      <c r="L1" s="178"/>
      <c r="M1" s="178"/>
      <c r="N1" s="178"/>
      <c r="O1" s="178"/>
      <c r="P1" s="178"/>
      <c r="Q1" s="178"/>
      <c r="R1" s="178"/>
    </row>
    <row r="2" spans="1:18" ht="19.5">
      <c r="C2" s="183" t="s">
        <v>228</v>
      </c>
    </row>
    <row r="3" spans="1:18">
      <c r="C3" s="179"/>
    </row>
    <row r="4" spans="1:18" ht="19.5">
      <c r="C4" s="182">
        <v>41340</v>
      </c>
    </row>
    <row r="5" spans="1:18" ht="18">
      <c r="C5" s="180"/>
    </row>
    <row r="6" spans="1:18" customFormat="1" ht="27" customHeight="1">
      <c r="A6" s="166" t="s">
        <v>118</v>
      </c>
      <c r="B6" s="167"/>
      <c r="C6" s="167"/>
      <c r="D6" s="167"/>
      <c r="E6" s="167"/>
      <c r="F6" s="167"/>
      <c r="G6" s="167"/>
      <c r="H6" s="167"/>
      <c r="I6" s="167"/>
      <c r="J6" s="167"/>
      <c r="K6" s="167"/>
      <c r="L6" s="167"/>
      <c r="M6" s="167"/>
      <c r="N6" s="167"/>
      <c r="O6" s="167"/>
      <c r="P6" s="167"/>
      <c r="Q6" s="167"/>
      <c r="R6" s="167"/>
    </row>
    <row r="7" spans="1:18" customFormat="1">
      <c r="A7" s="171"/>
      <c r="B7" s="169" t="s">
        <v>120</v>
      </c>
      <c r="C7" s="172"/>
      <c r="D7" s="172"/>
      <c r="E7" s="172"/>
      <c r="F7" s="172"/>
      <c r="G7" s="172"/>
      <c r="H7" s="172"/>
      <c r="I7" s="172"/>
      <c r="J7" s="172"/>
      <c r="K7" s="172"/>
      <c r="L7" s="172"/>
      <c r="M7" s="172"/>
      <c r="N7" s="172"/>
      <c r="O7" s="172"/>
      <c r="P7" s="172"/>
      <c r="Q7" s="172"/>
      <c r="R7" s="172"/>
    </row>
    <row r="8" spans="1:18" s="9" customFormat="1" ht="33.75" customHeight="1">
      <c r="A8" s="170"/>
      <c r="B8" s="184" t="s">
        <v>229</v>
      </c>
      <c r="C8" s="185"/>
      <c r="D8" s="185"/>
      <c r="E8" s="185"/>
      <c r="F8" s="185"/>
      <c r="G8" s="185"/>
      <c r="H8" s="185"/>
      <c r="I8" s="185"/>
      <c r="J8" s="185"/>
      <c r="K8" s="185"/>
      <c r="L8" s="185"/>
      <c r="M8" s="185"/>
      <c r="N8" s="185"/>
      <c r="O8" s="185"/>
      <c r="P8" s="185"/>
      <c r="Q8" s="185"/>
      <c r="R8" s="185"/>
    </row>
    <row r="9" spans="1:18" customFormat="1">
      <c r="A9" s="171"/>
      <c r="B9" s="172"/>
      <c r="C9" s="172"/>
      <c r="D9" s="172"/>
      <c r="E9" s="172"/>
      <c r="F9" s="172"/>
      <c r="G9" s="172"/>
      <c r="H9" s="172"/>
      <c r="I9" s="172"/>
      <c r="J9" s="172"/>
      <c r="K9" s="172"/>
      <c r="L9" s="172"/>
      <c r="M9" s="172"/>
      <c r="N9" s="172"/>
      <c r="O9" s="172"/>
      <c r="P9" s="172"/>
      <c r="Q9" s="172"/>
      <c r="R9" s="172"/>
    </row>
    <row r="10" spans="1:18" customFormat="1">
      <c r="A10" s="168"/>
      <c r="B10" s="169" t="s">
        <v>119</v>
      </c>
      <c r="C10" s="167"/>
      <c r="D10" s="167"/>
      <c r="E10" s="167"/>
      <c r="F10" s="167"/>
      <c r="G10" s="167"/>
      <c r="H10" s="167"/>
      <c r="I10" s="167"/>
      <c r="J10" s="167"/>
      <c r="K10" s="167"/>
      <c r="L10" s="167"/>
      <c r="M10" s="167"/>
      <c r="N10" s="167"/>
      <c r="O10" s="167"/>
      <c r="P10" s="167"/>
      <c r="Q10" s="167"/>
      <c r="R10" s="167"/>
    </row>
    <row r="11" spans="1:18" s="9" customFormat="1" ht="35.25" customHeight="1">
      <c r="A11" s="170"/>
      <c r="B11" s="184" t="s">
        <v>144</v>
      </c>
      <c r="C11" s="184"/>
      <c r="D11" s="184"/>
      <c r="E11" s="184"/>
      <c r="F11" s="184"/>
      <c r="G11" s="184"/>
      <c r="H11" s="184"/>
      <c r="I11" s="184"/>
      <c r="J11" s="184"/>
      <c r="K11" s="184"/>
      <c r="L11" s="184"/>
      <c r="M11" s="184"/>
      <c r="N11" s="184"/>
      <c r="O11" s="184"/>
      <c r="P11" s="184"/>
      <c r="Q11" s="184"/>
      <c r="R11" s="184"/>
    </row>
    <row r="12" spans="1:18" customFormat="1">
      <c r="A12" s="171"/>
      <c r="B12" s="172"/>
      <c r="C12" s="172"/>
      <c r="D12" s="172"/>
      <c r="E12" s="172"/>
      <c r="F12" s="172"/>
      <c r="G12" s="172"/>
      <c r="H12" s="172"/>
      <c r="I12" s="172"/>
      <c r="J12" s="172"/>
      <c r="K12" s="172"/>
      <c r="L12" s="172"/>
      <c r="M12" s="172"/>
      <c r="N12" s="172"/>
      <c r="O12" s="172"/>
      <c r="P12" s="172"/>
      <c r="Q12" s="172"/>
      <c r="R12" s="172"/>
    </row>
    <row r="13" spans="1:18" customFormat="1">
      <c r="A13" s="171"/>
      <c r="B13" s="169" t="s">
        <v>150</v>
      </c>
      <c r="C13" s="172"/>
      <c r="D13" s="172"/>
      <c r="E13" s="172"/>
      <c r="F13" s="172"/>
      <c r="G13" s="172"/>
      <c r="H13" s="172"/>
      <c r="I13" s="172"/>
      <c r="J13" s="172"/>
      <c r="K13" s="172"/>
      <c r="L13" s="172"/>
      <c r="M13" s="172"/>
      <c r="N13" s="172"/>
      <c r="O13" s="172"/>
      <c r="P13" s="172"/>
      <c r="Q13" s="172"/>
      <c r="R13" s="172"/>
    </row>
    <row r="14" spans="1:18" s="9" customFormat="1" ht="31.5" customHeight="1">
      <c r="A14" s="170"/>
      <c r="B14" s="184" t="s">
        <v>151</v>
      </c>
      <c r="C14" s="185"/>
      <c r="D14" s="185"/>
      <c r="E14" s="185"/>
      <c r="F14" s="185"/>
      <c r="G14" s="185"/>
      <c r="H14" s="185"/>
      <c r="I14" s="185"/>
      <c r="J14" s="185"/>
      <c r="K14" s="185"/>
      <c r="L14" s="185"/>
      <c r="M14" s="185"/>
      <c r="N14" s="185"/>
      <c r="O14" s="185"/>
      <c r="P14" s="185"/>
      <c r="Q14" s="185"/>
      <c r="R14" s="185"/>
    </row>
    <row r="15" spans="1:18" s="9" customFormat="1" ht="13.5" customHeight="1">
      <c r="A15" s="170"/>
      <c r="B15" s="173"/>
      <c r="C15" s="174"/>
      <c r="D15" s="174"/>
      <c r="E15" s="174"/>
      <c r="F15" s="174"/>
      <c r="G15" s="174"/>
      <c r="H15" s="174"/>
      <c r="I15" s="174"/>
      <c r="J15" s="174"/>
      <c r="K15" s="174"/>
      <c r="L15" s="174"/>
      <c r="M15" s="174"/>
      <c r="N15" s="174"/>
      <c r="O15" s="174"/>
      <c r="P15" s="174"/>
      <c r="Q15" s="174"/>
      <c r="R15" s="174"/>
    </row>
    <row r="16" spans="1:18" customFormat="1">
      <c r="A16" s="171"/>
      <c r="B16" s="169" t="s">
        <v>121</v>
      </c>
      <c r="C16" s="172"/>
      <c r="D16" s="172"/>
      <c r="E16" s="172"/>
      <c r="F16" s="172"/>
      <c r="G16" s="172"/>
      <c r="H16" s="172"/>
      <c r="I16" s="172"/>
      <c r="J16" s="172"/>
      <c r="K16" s="172"/>
      <c r="L16" s="172"/>
      <c r="M16" s="172"/>
      <c r="N16" s="172"/>
      <c r="O16" s="172"/>
      <c r="P16" s="172"/>
      <c r="Q16" s="172"/>
      <c r="R16" s="172"/>
    </row>
    <row r="17" spans="1:18" customFormat="1">
      <c r="A17" s="171"/>
      <c r="B17" s="186" t="s">
        <v>122</v>
      </c>
      <c r="C17" s="186"/>
      <c r="D17" s="186"/>
      <c r="E17" s="186"/>
      <c r="F17" s="186"/>
      <c r="G17" s="186"/>
      <c r="H17" s="186"/>
      <c r="I17" s="186"/>
      <c r="J17" s="186"/>
      <c r="K17" s="186"/>
      <c r="L17" s="186"/>
      <c r="M17" s="186"/>
      <c r="N17" s="186"/>
      <c r="O17" s="186"/>
      <c r="P17" s="186"/>
      <c r="Q17" s="186"/>
      <c r="R17" s="186"/>
    </row>
    <row r="18" spans="1:18" customFormat="1">
      <c r="A18" s="171"/>
      <c r="B18" s="175"/>
      <c r="C18" s="176" t="s">
        <v>188</v>
      </c>
      <c r="D18" s="175"/>
      <c r="E18" s="175"/>
      <c r="F18" s="175"/>
      <c r="G18" s="175"/>
      <c r="H18" s="175"/>
      <c r="I18" s="175"/>
      <c r="J18" s="175"/>
      <c r="K18" s="175"/>
      <c r="L18" s="175"/>
      <c r="M18" s="175"/>
      <c r="N18" s="175"/>
      <c r="O18" s="175"/>
      <c r="P18" s="175"/>
      <c r="Q18" s="175"/>
      <c r="R18" s="175"/>
    </row>
    <row r="19" spans="1:18" customFormat="1">
      <c r="A19" s="171"/>
      <c r="B19" s="175"/>
      <c r="C19" s="176" t="s">
        <v>126</v>
      </c>
      <c r="D19" s="175"/>
      <c r="E19" s="175"/>
      <c r="F19" s="175"/>
      <c r="G19" s="175"/>
      <c r="H19" s="175"/>
      <c r="I19" s="175"/>
      <c r="J19" s="175"/>
      <c r="K19" s="175"/>
      <c r="L19" s="175"/>
      <c r="M19" s="175"/>
      <c r="N19" s="175"/>
      <c r="O19" s="175"/>
      <c r="P19" s="175"/>
      <c r="Q19" s="175"/>
      <c r="R19" s="175"/>
    </row>
    <row r="20" spans="1:18" customFormat="1">
      <c r="A20" s="171"/>
      <c r="B20" s="175"/>
      <c r="C20" s="176" t="s">
        <v>123</v>
      </c>
      <c r="D20" s="175"/>
      <c r="E20" s="175"/>
      <c r="F20" s="175"/>
      <c r="G20" s="175"/>
      <c r="H20" s="175"/>
      <c r="I20" s="175"/>
      <c r="J20" s="175"/>
      <c r="K20" s="175"/>
      <c r="L20" s="175"/>
      <c r="M20" s="175"/>
      <c r="N20" s="175"/>
      <c r="O20" s="175"/>
      <c r="P20" s="175"/>
      <c r="Q20" s="175"/>
      <c r="R20" s="175"/>
    </row>
    <row r="21" spans="1:18" customFormat="1">
      <c r="A21" s="171"/>
      <c r="B21" s="175"/>
      <c r="C21" s="176" t="s">
        <v>124</v>
      </c>
      <c r="D21" s="175"/>
      <c r="E21" s="175"/>
      <c r="F21" s="175"/>
      <c r="G21" s="175"/>
      <c r="H21" s="175"/>
      <c r="I21" s="175"/>
      <c r="J21" s="175"/>
      <c r="K21" s="175"/>
      <c r="L21" s="175"/>
      <c r="M21" s="175"/>
      <c r="N21" s="175"/>
      <c r="O21" s="175"/>
      <c r="P21" s="175"/>
      <c r="Q21" s="175"/>
      <c r="R21" s="175"/>
    </row>
    <row r="22" spans="1:18" customFormat="1">
      <c r="A22" s="171"/>
      <c r="B22" s="177"/>
      <c r="C22" s="177"/>
      <c r="D22" s="177"/>
      <c r="E22" s="177"/>
      <c r="F22" s="177"/>
      <c r="G22" s="177"/>
      <c r="H22" s="177"/>
      <c r="I22" s="177"/>
      <c r="J22" s="177"/>
      <c r="K22" s="177"/>
      <c r="L22" s="177"/>
      <c r="M22" s="177"/>
      <c r="N22" s="177"/>
      <c r="O22" s="177"/>
      <c r="P22" s="177"/>
      <c r="Q22" s="177"/>
      <c r="R22" s="177"/>
    </row>
    <row r="23" spans="1:18" customFormat="1"/>
    <row r="24" spans="1:18" customFormat="1">
      <c r="A24" s="35" t="s">
        <v>189</v>
      </c>
    </row>
    <row r="25" spans="1:18" customFormat="1" ht="5.25" customHeight="1">
      <c r="A25" s="35"/>
    </row>
    <row r="26" spans="1:18">
      <c r="B26" s="86"/>
      <c r="C26" s="12" t="s">
        <v>159</v>
      </c>
    </row>
    <row r="27" spans="1:18">
      <c r="B27" s="34"/>
      <c r="C27" s="12" t="s">
        <v>160</v>
      </c>
    </row>
    <row r="28" spans="1:18">
      <c r="C28" s="12" t="s">
        <v>125</v>
      </c>
    </row>
  </sheetData>
  <mergeCells count="4">
    <mergeCell ref="B11:R11"/>
    <mergeCell ref="B8:R8"/>
    <mergeCell ref="B17:R17"/>
    <mergeCell ref="B14:R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I37"/>
  <sheetViews>
    <sheetView showGridLines="0" workbookViewId="0">
      <pane xSplit="4" ySplit="2" topLeftCell="E26" activePane="bottomRight" state="frozen"/>
      <selection pane="topRight"/>
      <selection pane="bottomLeft"/>
      <selection pane="bottomRight" activeCell="E32" sqref="E32:E34"/>
    </sheetView>
  </sheetViews>
  <sheetFormatPr defaultRowHeight="15"/>
  <cols>
    <col min="1" max="1" width="2.7109375" style="1" customWidth="1"/>
    <col min="2" max="2" width="2.7109375" style="2" customWidth="1"/>
    <col min="3" max="3" width="26.28515625" customWidth="1"/>
    <col min="4" max="4" width="2.28515625" customWidth="1"/>
    <col min="5" max="5" width="62.140625" customWidth="1"/>
    <col min="6" max="6" width="4.5703125" customWidth="1"/>
    <col min="7" max="7" width="9.140625" style="100"/>
    <col min="11" max="11" width="10.140625" bestFit="1" customWidth="1"/>
  </cols>
  <sheetData>
    <row r="1" spans="1:35">
      <c r="A1" t="s">
        <v>97</v>
      </c>
      <c r="G1" s="100" t="s">
        <v>5</v>
      </c>
      <c r="H1" t="s">
        <v>6</v>
      </c>
      <c r="I1" t="s">
        <v>7</v>
      </c>
      <c r="J1" t="s">
        <v>8</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row>
    <row r="2" spans="1:35">
      <c r="E2" s="69" t="s">
        <v>145</v>
      </c>
      <c r="H2">
        <v>2015</v>
      </c>
      <c r="I2">
        <v>2016</v>
      </c>
      <c r="J2">
        <v>2017</v>
      </c>
      <c r="K2">
        <v>2018</v>
      </c>
      <c r="L2">
        <v>2019</v>
      </c>
      <c r="M2">
        <v>2020</v>
      </c>
      <c r="N2">
        <v>2021</v>
      </c>
      <c r="O2">
        <v>2022</v>
      </c>
      <c r="P2">
        <v>2023</v>
      </c>
      <c r="Q2">
        <v>2024</v>
      </c>
      <c r="R2">
        <v>2025</v>
      </c>
      <c r="S2">
        <v>2026</v>
      </c>
      <c r="T2">
        <v>2027</v>
      </c>
      <c r="U2">
        <v>2028</v>
      </c>
      <c r="V2">
        <v>2029</v>
      </c>
      <c r="W2">
        <v>2030</v>
      </c>
      <c r="X2">
        <v>2031</v>
      </c>
      <c r="Y2">
        <v>2032</v>
      </c>
      <c r="Z2">
        <v>2033</v>
      </c>
      <c r="AA2">
        <v>2034</v>
      </c>
      <c r="AB2">
        <v>2035</v>
      </c>
      <c r="AC2">
        <v>2036</v>
      </c>
      <c r="AD2">
        <v>2037</v>
      </c>
      <c r="AE2">
        <v>2038</v>
      </c>
      <c r="AF2">
        <v>2039</v>
      </c>
      <c r="AG2">
        <v>2040</v>
      </c>
      <c r="AH2">
        <v>2041</v>
      </c>
      <c r="AI2">
        <v>2042</v>
      </c>
    </row>
    <row r="3" spans="1:35">
      <c r="A3" s="1" t="s">
        <v>88</v>
      </c>
    </row>
    <row r="4" spans="1:35">
      <c r="B4" s="18" t="s">
        <v>68</v>
      </c>
      <c r="C4" s="15"/>
      <c r="D4" s="15"/>
      <c r="E4" s="15"/>
      <c r="F4" s="15"/>
      <c r="G4" s="109"/>
    </row>
    <row r="5" spans="1:35" s="151" customFormat="1" ht="30">
      <c r="A5" s="60"/>
      <c r="B5" s="61"/>
      <c r="C5" s="62" t="s">
        <v>2</v>
      </c>
      <c r="D5" s="62"/>
      <c r="E5" s="148" t="s">
        <v>208</v>
      </c>
      <c r="F5" s="62"/>
      <c r="G5" s="120">
        <f>G12</f>
        <v>0.02</v>
      </c>
    </row>
    <row r="6" spans="1:35">
      <c r="B6" s="20"/>
      <c r="C6" s="21" t="s">
        <v>138</v>
      </c>
      <c r="D6" s="21"/>
      <c r="E6" s="21"/>
      <c r="F6" s="21"/>
      <c r="G6" s="158">
        <v>0</v>
      </c>
    </row>
    <row r="7" spans="1:35">
      <c r="B7" s="20"/>
      <c r="C7" s="21" t="s">
        <v>43</v>
      </c>
      <c r="D7" s="21"/>
      <c r="E7" s="190" t="s">
        <v>203</v>
      </c>
      <c r="F7" s="21"/>
      <c r="G7" s="156">
        <v>0.5</v>
      </c>
    </row>
    <row r="8" spans="1:35" ht="18.75" customHeight="1">
      <c r="B8" s="20"/>
      <c r="C8" s="21" t="s">
        <v>139</v>
      </c>
      <c r="D8" s="21"/>
      <c r="E8" s="191"/>
      <c r="F8" s="21"/>
      <c r="G8" s="156">
        <v>1</v>
      </c>
    </row>
    <row r="9" spans="1:35" ht="31.5" customHeight="1">
      <c r="B9" s="22"/>
      <c r="C9" s="58" t="s">
        <v>140</v>
      </c>
      <c r="D9" s="16"/>
      <c r="E9" s="192"/>
      <c r="F9" s="16"/>
      <c r="G9" s="157">
        <v>1</v>
      </c>
    </row>
    <row r="11" spans="1:35">
      <c r="B11" s="18" t="s">
        <v>0</v>
      </c>
      <c r="C11" s="15"/>
      <c r="D11" s="15"/>
      <c r="E11" s="15"/>
      <c r="F11" s="15"/>
      <c r="G11" s="109"/>
    </row>
    <row r="12" spans="1:35" s="82" customFormat="1" ht="45">
      <c r="A12" s="79"/>
      <c r="B12" s="80"/>
      <c r="C12" s="81" t="s">
        <v>212</v>
      </c>
      <c r="D12" s="81"/>
      <c r="E12" s="59" t="s">
        <v>186</v>
      </c>
      <c r="F12" s="81"/>
      <c r="G12" s="139">
        <v>0.02</v>
      </c>
    </row>
    <row r="13" spans="1:35" s="75" customFormat="1" ht="30">
      <c r="A13" s="70"/>
      <c r="B13" s="76"/>
      <c r="C13" s="68" t="s">
        <v>43</v>
      </c>
      <c r="D13" s="68"/>
      <c r="E13" s="68" t="s">
        <v>152</v>
      </c>
      <c r="F13" s="68"/>
      <c r="G13" s="95">
        <v>1</v>
      </c>
    </row>
    <row r="15" spans="1:35">
      <c r="B15" s="18" t="s">
        <v>1</v>
      </c>
      <c r="C15" s="15"/>
      <c r="D15" s="15"/>
      <c r="E15" s="15"/>
      <c r="F15" s="15"/>
      <c r="G15" s="109"/>
    </row>
    <row r="16" spans="1:35" ht="45">
      <c r="B16" s="20"/>
      <c r="C16" s="21" t="s">
        <v>211</v>
      </c>
      <c r="D16" s="21"/>
      <c r="E16" s="165" t="s">
        <v>225</v>
      </c>
      <c r="F16" s="21"/>
      <c r="G16" s="139">
        <v>7.0000000000000007E-2</v>
      </c>
    </row>
    <row r="17" spans="1:7" s="75" customFormat="1" ht="30">
      <c r="A17" s="70"/>
      <c r="B17" s="76"/>
      <c r="C17" s="68" t="s">
        <v>43</v>
      </c>
      <c r="D17" s="68"/>
      <c r="E17" s="68" t="s">
        <v>153</v>
      </c>
      <c r="F17" s="68"/>
      <c r="G17" s="95">
        <v>1</v>
      </c>
    </row>
    <row r="19" spans="1:7">
      <c r="B19" s="18" t="s">
        <v>72</v>
      </c>
      <c r="C19" s="15"/>
      <c r="D19" s="15"/>
      <c r="E19" s="15"/>
      <c r="F19" s="15"/>
      <c r="G19" s="109"/>
    </row>
    <row r="20" spans="1:7" s="75" customFormat="1" ht="90">
      <c r="A20" s="70"/>
      <c r="B20" s="71"/>
      <c r="C20" s="64" t="s">
        <v>154</v>
      </c>
      <c r="D20" s="64"/>
      <c r="E20" s="64" t="s">
        <v>184</v>
      </c>
      <c r="F20" s="64"/>
      <c r="G20" s="139">
        <v>0.06</v>
      </c>
    </row>
    <row r="21" spans="1:7" s="75" customFormat="1" ht="66" customHeight="1">
      <c r="A21" s="70"/>
      <c r="B21" s="76"/>
      <c r="C21" s="68" t="s">
        <v>73</v>
      </c>
      <c r="D21" s="68"/>
      <c r="E21" s="150" t="s">
        <v>209</v>
      </c>
      <c r="F21" s="68"/>
      <c r="G21" s="85">
        <f>G$37*G$12+G$16*(1-G$37)</f>
        <v>4.5000000000000005E-2</v>
      </c>
    </row>
    <row r="22" spans="1:7">
      <c r="G22" s="117"/>
    </row>
    <row r="23" spans="1:7">
      <c r="B23" s="18" t="s">
        <v>44</v>
      </c>
      <c r="C23" s="15"/>
      <c r="D23" s="15"/>
      <c r="E23" s="15"/>
      <c r="F23" s="15"/>
      <c r="G23" s="118"/>
    </row>
    <row r="24" spans="1:7" ht="33.75" customHeight="1">
      <c r="B24" s="20"/>
      <c r="C24" s="21" t="s">
        <v>113</v>
      </c>
      <c r="D24" s="21"/>
      <c r="E24" s="187" t="s">
        <v>210</v>
      </c>
      <c r="F24" s="21"/>
      <c r="G24" s="120">
        <f>G$37*G$12+G$16*(1-G$37)</f>
        <v>4.5000000000000005E-2</v>
      </c>
    </row>
    <row r="25" spans="1:7" ht="27" customHeight="1">
      <c r="B25" s="22"/>
      <c r="C25" s="16" t="s">
        <v>45</v>
      </c>
      <c r="D25" s="16"/>
      <c r="E25" s="188"/>
      <c r="F25" s="16"/>
      <c r="G25" s="85">
        <f>G$37*G$12+G$16*(1-G$37)</f>
        <v>4.5000000000000005E-2</v>
      </c>
    </row>
    <row r="27" spans="1:7">
      <c r="A27" s="1" t="s">
        <v>82</v>
      </c>
    </row>
    <row r="28" spans="1:7">
      <c r="B28" s="18" t="s">
        <v>83</v>
      </c>
      <c r="C28" s="15"/>
      <c r="D28" s="15"/>
      <c r="E28" s="15"/>
      <c r="F28" s="15"/>
      <c r="G28" s="109"/>
    </row>
    <row r="29" spans="1:7">
      <c r="B29" s="20"/>
      <c r="C29" s="21" t="s">
        <v>80</v>
      </c>
      <c r="D29" s="21"/>
      <c r="E29" s="189" t="s">
        <v>156</v>
      </c>
      <c r="F29" s="21"/>
      <c r="G29" s="116">
        <v>0.21</v>
      </c>
    </row>
    <row r="30" spans="1:7" s="9" customFormat="1" ht="33.75" customHeight="1">
      <c r="A30" s="60"/>
      <c r="B30" s="61"/>
      <c r="C30" s="62" t="s">
        <v>81</v>
      </c>
      <c r="D30" s="62"/>
      <c r="E30" s="189"/>
      <c r="F30" s="62"/>
      <c r="G30" s="116">
        <v>0.33989999999999998</v>
      </c>
    </row>
    <row r="31" spans="1:7" s="155" customFormat="1" ht="33.75" customHeight="1">
      <c r="A31" s="60"/>
      <c r="B31" s="61"/>
      <c r="C31" s="152" t="s">
        <v>42</v>
      </c>
      <c r="D31" s="152"/>
      <c r="E31" s="152" t="s">
        <v>157</v>
      </c>
      <c r="F31" s="152"/>
      <c r="G31" s="116">
        <f>AVERAGE(G29:G30)</f>
        <v>0.27494999999999997</v>
      </c>
    </row>
    <row r="32" spans="1:7" s="155" customFormat="1" ht="51" customHeight="1">
      <c r="A32" s="60"/>
      <c r="B32" s="61"/>
      <c r="C32" s="62" t="s">
        <v>215</v>
      </c>
      <c r="D32" s="62"/>
      <c r="E32" s="190" t="s">
        <v>226</v>
      </c>
      <c r="F32" s="62"/>
      <c r="G32" s="163">
        <v>0</v>
      </c>
    </row>
    <row r="33" spans="1:7" s="155" customFormat="1" ht="51" customHeight="1">
      <c r="A33" s="60"/>
      <c r="B33" s="61"/>
      <c r="C33" s="62" t="s">
        <v>216</v>
      </c>
      <c r="D33" s="62"/>
      <c r="E33" s="190"/>
      <c r="F33" s="62"/>
      <c r="G33" s="163">
        <v>5</v>
      </c>
    </row>
    <row r="34" spans="1:7" s="153" customFormat="1" ht="51" customHeight="1">
      <c r="A34" s="70"/>
      <c r="B34" s="76"/>
      <c r="C34" s="154" t="s">
        <v>217</v>
      </c>
      <c r="D34" s="154"/>
      <c r="E34" s="192"/>
      <c r="F34" s="154"/>
      <c r="G34" s="164">
        <v>15</v>
      </c>
    </row>
    <row r="36" spans="1:7">
      <c r="B36" s="18" t="s">
        <v>142</v>
      </c>
      <c r="C36" s="15"/>
      <c r="D36" s="15"/>
      <c r="E36" s="15"/>
      <c r="F36" s="15"/>
      <c r="G36" s="109"/>
    </row>
    <row r="37" spans="1:7" s="9" customFormat="1" ht="30">
      <c r="A37" s="60"/>
      <c r="B37" s="65"/>
      <c r="C37" s="66" t="s">
        <v>143</v>
      </c>
      <c r="D37" s="66"/>
      <c r="E37" s="68" t="s">
        <v>155</v>
      </c>
      <c r="F37" s="66"/>
      <c r="G37" s="95">
        <v>0.5</v>
      </c>
    </row>
  </sheetData>
  <mergeCells count="4">
    <mergeCell ref="E24:E25"/>
    <mergeCell ref="E29:E30"/>
    <mergeCell ref="E7:E9"/>
    <mergeCell ref="E32:E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J73"/>
  <sheetViews>
    <sheetView showGridLines="0" zoomScale="85" zoomScaleNormal="85" workbookViewId="0">
      <pane xSplit="5" ySplit="2" topLeftCell="F49" activePane="bottomRight" state="frozen"/>
      <selection pane="topRight"/>
      <selection pane="bottomLeft"/>
      <selection pane="bottomRight" activeCell="G69" sqref="G69"/>
    </sheetView>
  </sheetViews>
  <sheetFormatPr defaultRowHeight="15"/>
  <cols>
    <col min="1" max="1" width="2.7109375" style="1" customWidth="1"/>
    <col min="2" max="2" width="2.7109375" style="2" customWidth="1"/>
    <col min="3" max="3" width="30.42578125" customWidth="1"/>
    <col min="4" max="4" width="28.7109375" style="2" bestFit="1" customWidth="1"/>
    <col min="5" max="5" width="93.85546875" style="2" customWidth="1"/>
    <col min="6" max="6" width="8.5703125" style="100" bestFit="1" customWidth="1"/>
    <col min="10" max="10" width="9.140625" customWidth="1"/>
  </cols>
  <sheetData>
    <row r="1" spans="1:36">
      <c r="A1" t="s">
        <v>97</v>
      </c>
      <c r="F1" s="100" t="s">
        <v>5</v>
      </c>
      <c r="G1" t="s">
        <v>6</v>
      </c>
      <c r="H1" t="s">
        <v>7</v>
      </c>
      <c r="I1" t="s">
        <v>8</v>
      </c>
      <c r="J1" t="s">
        <v>10</v>
      </c>
      <c r="K1" t="s">
        <v>11</v>
      </c>
      <c r="L1" t="s">
        <v>12</v>
      </c>
      <c r="M1" t="s">
        <v>13</v>
      </c>
      <c r="N1" t="s">
        <v>14</v>
      </c>
      <c r="O1" t="s">
        <v>15</v>
      </c>
      <c r="P1" t="s">
        <v>16</v>
      </c>
      <c r="Q1" t="s">
        <v>17</v>
      </c>
      <c r="R1" t="s">
        <v>18</v>
      </c>
      <c r="S1" t="s">
        <v>19</v>
      </c>
      <c r="T1" t="s">
        <v>20</v>
      </c>
      <c r="U1" t="s">
        <v>21</v>
      </c>
      <c r="V1" t="s">
        <v>22</v>
      </c>
      <c r="W1" t="s">
        <v>23</v>
      </c>
      <c r="X1" t="s">
        <v>24</v>
      </c>
      <c r="Y1" t="s">
        <v>25</v>
      </c>
      <c r="Z1" t="s">
        <v>26</v>
      </c>
      <c r="AA1" t="s">
        <v>27</v>
      </c>
      <c r="AB1" t="s">
        <v>28</v>
      </c>
      <c r="AC1" t="s">
        <v>29</v>
      </c>
      <c r="AD1" t="s">
        <v>30</v>
      </c>
      <c r="AE1" t="s">
        <v>31</v>
      </c>
      <c r="AF1" t="s">
        <v>32</v>
      </c>
      <c r="AG1" t="s">
        <v>33</v>
      </c>
      <c r="AH1" t="s">
        <v>34</v>
      </c>
      <c r="AI1" t="s">
        <v>98</v>
      </c>
      <c r="AJ1" t="s">
        <v>99</v>
      </c>
    </row>
    <row r="2" spans="1:36">
      <c r="E2" s="69" t="s">
        <v>145</v>
      </c>
      <c r="G2">
        <v>2015</v>
      </c>
      <c r="H2">
        <v>2016</v>
      </c>
      <c r="I2">
        <v>2017</v>
      </c>
      <c r="J2">
        <v>2018</v>
      </c>
      <c r="K2">
        <v>2019</v>
      </c>
      <c r="L2">
        <v>2020</v>
      </c>
      <c r="M2">
        <v>2021</v>
      </c>
      <c r="N2">
        <v>2022</v>
      </c>
      <c r="O2">
        <v>2023</v>
      </c>
      <c r="P2">
        <v>2024</v>
      </c>
      <c r="Q2">
        <v>2025</v>
      </c>
      <c r="R2">
        <v>2026</v>
      </c>
      <c r="S2">
        <v>2027</v>
      </c>
      <c r="T2">
        <v>2028</v>
      </c>
      <c r="U2">
        <v>2029</v>
      </c>
      <c r="V2">
        <v>2030</v>
      </c>
      <c r="W2">
        <v>2031</v>
      </c>
      <c r="X2">
        <v>2032</v>
      </c>
      <c r="Y2">
        <v>2033</v>
      </c>
      <c r="Z2">
        <v>2034</v>
      </c>
      <c r="AA2">
        <v>2035</v>
      </c>
      <c r="AB2">
        <v>2036</v>
      </c>
      <c r="AC2">
        <v>2037</v>
      </c>
      <c r="AD2">
        <v>2038</v>
      </c>
      <c r="AE2">
        <v>2039</v>
      </c>
      <c r="AF2">
        <v>2040</v>
      </c>
      <c r="AG2">
        <v>2041</v>
      </c>
      <c r="AH2">
        <v>2042</v>
      </c>
      <c r="AI2">
        <v>2043</v>
      </c>
      <c r="AJ2">
        <v>2044</v>
      </c>
    </row>
    <row r="3" spans="1:36">
      <c r="A3" s="1" t="s">
        <v>54</v>
      </c>
    </row>
    <row r="4" spans="1:36">
      <c r="B4" s="18" t="s">
        <v>3</v>
      </c>
      <c r="C4" s="15"/>
      <c r="D4" s="24"/>
      <c r="E4" s="24"/>
      <c r="F4" s="101"/>
      <c r="G4" s="15"/>
      <c r="H4" s="15"/>
      <c r="I4" s="19"/>
    </row>
    <row r="5" spans="1:36" s="9" customFormat="1" ht="34.5" customHeight="1">
      <c r="A5" s="60"/>
      <c r="B5" s="61"/>
      <c r="C5" s="62" t="s">
        <v>58</v>
      </c>
      <c r="D5" s="63"/>
      <c r="E5" s="193" t="s">
        <v>162</v>
      </c>
      <c r="F5" s="102"/>
      <c r="G5" s="92">
        <v>300</v>
      </c>
      <c r="H5" s="92">
        <v>400</v>
      </c>
      <c r="I5" s="93">
        <v>300</v>
      </c>
    </row>
    <row r="6" spans="1:36" s="9" customFormat="1" ht="27.75" customHeight="1">
      <c r="A6" s="60"/>
      <c r="B6" s="61"/>
      <c r="C6" s="62" t="s">
        <v>59</v>
      </c>
      <c r="D6" s="63"/>
      <c r="E6" s="191"/>
      <c r="F6" s="102"/>
      <c r="G6" s="92">
        <v>10</v>
      </c>
      <c r="H6" s="92">
        <v>10</v>
      </c>
      <c r="I6" s="93">
        <v>10</v>
      </c>
    </row>
    <row r="7" spans="1:36" s="75" customFormat="1" ht="45">
      <c r="A7" s="70"/>
      <c r="B7" s="71"/>
      <c r="C7" s="64" t="s">
        <v>4</v>
      </c>
      <c r="D7" s="72"/>
      <c r="E7" s="83" t="s">
        <v>168</v>
      </c>
      <c r="F7" s="103"/>
      <c r="G7" s="73">
        <v>5</v>
      </c>
      <c r="H7" s="73">
        <v>5</v>
      </c>
      <c r="I7" s="74">
        <v>5</v>
      </c>
    </row>
    <row r="8" spans="1:36">
      <c r="B8" s="20"/>
      <c r="C8" s="21" t="s">
        <v>92</v>
      </c>
      <c r="D8" s="25"/>
      <c r="E8" s="55" t="s">
        <v>148</v>
      </c>
      <c r="F8" s="104">
        <f>SUM(G8:I8)</f>
        <v>1045</v>
      </c>
      <c r="G8" s="27">
        <f>SUM(G5:G7)</f>
        <v>315</v>
      </c>
      <c r="H8" s="27">
        <f>SUM(H5:H7)</f>
        <v>415</v>
      </c>
      <c r="I8" s="28">
        <f>SUM(I5:I7)</f>
        <v>315</v>
      </c>
    </row>
    <row r="9" spans="1:36">
      <c r="B9" s="22"/>
      <c r="C9" s="16" t="s">
        <v>91</v>
      </c>
      <c r="D9" s="29"/>
      <c r="E9" s="16" t="s">
        <v>149</v>
      </c>
      <c r="F9" s="105">
        <f>SUM(G9:I9)</f>
        <v>1182.5388956335446</v>
      </c>
      <c r="G9" s="30">
        <f>G8*G$69</f>
        <v>347.70106054687494</v>
      </c>
      <c r="H9" s="30">
        <f>H8*H$69</f>
        <v>469.53440834960924</v>
      </c>
      <c r="I9" s="31">
        <f>I8*I$69</f>
        <v>365.30342673706042</v>
      </c>
    </row>
    <row r="11" spans="1:36">
      <c r="B11" s="18" t="s">
        <v>9</v>
      </c>
      <c r="C11" s="15"/>
      <c r="D11" s="24"/>
      <c r="E11" s="24"/>
      <c r="F11" s="101"/>
      <c r="G11" s="15"/>
      <c r="H11" s="15"/>
      <c r="I11" s="19"/>
    </row>
    <row r="12" spans="1:36">
      <c r="B12" s="20"/>
      <c r="C12" s="21" t="s">
        <v>58</v>
      </c>
      <c r="D12" s="25"/>
      <c r="E12" s="190" t="s">
        <v>164</v>
      </c>
      <c r="F12" s="106"/>
      <c r="G12" s="32">
        <f t="shared" ref="G12:I14" si="0">G5</f>
        <v>300</v>
      </c>
      <c r="H12" s="32">
        <f t="shared" si="0"/>
        <v>400</v>
      </c>
      <c r="I12" s="33">
        <f t="shared" si="0"/>
        <v>300</v>
      </c>
    </row>
    <row r="13" spans="1:36">
      <c r="B13" s="20"/>
      <c r="C13" s="21" t="s">
        <v>59</v>
      </c>
      <c r="D13" s="25"/>
      <c r="E13" s="194"/>
      <c r="F13" s="106"/>
      <c r="G13" s="32">
        <f t="shared" si="0"/>
        <v>10</v>
      </c>
      <c r="H13" s="32">
        <f t="shared" si="0"/>
        <v>10</v>
      </c>
      <c r="I13" s="33">
        <f t="shared" si="0"/>
        <v>10</v>
      </c>
    </row>
    <row r="14" spans="1:36">
      <c r="B14" s="22"/>
      <c r="C14" s="16" t="s">
        <v>4</v>
      </c>
      <c r="D14" s="29"/>
      <c r="E14" s="195"/>
      <c r="F14" s="107"/>
      <c r="G14" s="89">
        <f t="shared" si="0"/>
        <v>5</v>
      </c>
      <c r="H14" s="89">
        <f t="shared" si="0"/>
        <v>5</v>
      </c>
      <c r="I14" s="90">
        <f t="shared" si="0"/>
        <v>5</v>
      </c>
    </row>
    <row r="15" spans="1:36">
      <c r="G15" s="5"/>
      <c r="H15" s="5"/>
      <c r="I15" s="5"/>
    </row>
    <row r="16" spans="1:36">
      <c r="B16" s="18" t="s">
        <v>178</v>
      </c>
      <c r="C16" s="15"/>
      <c r="D16" s="24"/>
      <c r="E16" s="24"/>
      <c r="F16" s="124"/>
      <c r="G16" s="125"/>
      <c r="H16" s="125"/>
      <c r="I16" s="126"/>
    </row>
    <row r="17" spans="1:34">
      <c r="B17" s="20"/>
      <c r="C17" s="21" t="s">
        <v>36</v>
      </c>
      <c r="D17" s="25"/>
      <c r="E17" s="190" t="s">
        <v>163</v>
      </c>
      <c r="F17" s="127">
        <v>0</v>
      </c>
      <c r="G17" s="128"/>
      <c r="H17" s="128"/>
      <c r="I17" s="129"/>
    </row>
    <row r="18" spans="1:34">
      <c r="B18" s="20"/>
      <c r="C18" s="21" t="s">
        <v>100</v>
      </c>
      <c r="D18" s="25"/>
      <c r="E18" s="191"/>
      <c r="F18" s="130"/>
      <c r="G18" s="131">
        <f t="shared" ref="G18:I20" si="1">(G12-G5)*$F$17</f>
        <v>0</v>
      </c>
      <c r="H18" s="131">
        <f t="shared" si="1"/>
        <v>0</v>
      </c>
      <c r="I18" s="132">
        <f t="shared" si="1"/>
        <v>0</v>
      </c>
    </row>
    <row r="19" spans="1:34">
      <c r="B19" s="20"/>
      <c r="C19" s="21" t="s">
        <v>101</v>
      </c>
      <c r="D19" s="25"/>
      <c r="E19" s="191"/>
      <c r="F19" s="130"/>
      <c r="G19" s="131">
        <f t="shared" si="1"/>
        <v>0</v>
      </c>
      <c r="H19" s="131">
        <f t="shared" si="1"/>
        <v>0</v>
      </c>
      <c r="I19" s="132">
        <f t="shared" si="1"/>
        <v>0</v>
      </c>
    </row>
    <row r="20" spans="1:34" s="9" customFormat="1" ht="30.75" customHeight="1">
      <c r="A20" s="60"/>
      <c r="B20" s="65"/>
      <c r="C20" s="66" t="s">
        <v>102</v>
      </c>
      <c r="D20" s="67"/>
      <c r="E20" s="192"/>
      <c r="F20" s="133"/>
      <c r="G20" s="134">
        <f t="shared" si="1"/>
        <v>0</v>
      </c>
      <c r="H20" s="134">
        <f t="shared" si="1"/>
        <v>0</v>
      </c>
      <c r="I20" s="135">
        <f t="shared" si="1"/>
        <v>0</v>
      </c>
    </row>
    <row r="21" spans="1:34">
      <c r="G21" s="5"/>
      <c r="H21" s="5"/>
      <c r="I21" s="5"/>
    </row>
    <row r="22" spans="1:34">
      <c r="B22" s="18" t="s">
        <v>103</v>
      </c>
      <c r="C22" s="15"/>
      <c r="D22" s="24"/>
      <c r="E22" s="24"/>
      <c r="F22" s="109"/>
      <c r="G22" s="5"/>
      <c r="H22" s="5"/>
      <c r="I22" s="5"/>
    </row>
    <row r="23" spans="1:34" s="75" customFormat="1" ht="30">
      <c r="A23" s="70"/>
      <c r="B23" s="71"/>
      <c r="C23" s="64" t="s">
        <v>56</v>
      </c>
      <c r="D23" s="72"/>
      <c r="E23" s="64" t="s">
        <v>161</v>
      </c>
      <c r="F23" s="110">
        <v>25</v>
      </c>
      <c r="G23" s="87"/>
      <c r="H23" s="87"/>
      <c r="I23" s="87"/>
    </row>
    <row r="24" spans="1:34" s="75" customFormat="1" ht="78.75" customHeight="1">
      <c r="A24" s="70"/>
      <c r="B24" s="76"/>
      <c r="C24" s="68" t="s">
        <v>57</v>
      </c>
      <c r="D24" s="88"/>
      <c r="E24" s="68" t="s">
        <v>169</v>
      </c>
      <c r="F24" s="111">
        <v>15</v>
      </c>
      <c r="G24" s="87"/>
      <c r="H24" s="87"/>
      <c r="I24" s="87"/>
    </row>
    <row r="26" spans="1:34">
      <c r="A26" s="1" t="s">
        <v>55</v>
      </c>
    </row>
    <row r="27" spans="1:34">
      <c r="B27" s="18" t="s">
        <v>3</v>
      </c>
      <c r="C27" s="15"/>
      <c r="D27" s="24"/>
      <c r="E27" s="24"/>
      <c r="F27" s="109"/>
    </row>
    <row r="28" spans="1:34" s="9" customFormat="1" ht="60">
      <c r="A28" s="60"/>
      <c r="B28" s="61"/>
      <c r="C28" s="62" t="s">
        <v>158</v>
      </c>
      <c r="D28" s="63"/>
      <c r="E28" s="64" t="s">
        <v>167</v>
      </c>
      <c r="F28" s="112">
        <v>20</v>
      </c>
      <c r="X28" s="9">
        <v>15</v>
      </c>
      <c r="Y28" s="96"/>
    </row>
    <row r="29" spans="1:34" ht="57.75" customHeight="1">
      <c r="B29" s="20"/>
      <c r="C29" s="21" t="s">
        <v>96</v>
      </c>
      <c r="D29" s="25"/>
      <c r="E29" s="91" t="s">
        <v>204</v>
      </c>
      <c r="F29" s="113">
        <v>50</v>
      </c>
      <c r="AH29" s="4">
        <f>F29</f>
        <v>50</v>
      </c>
    </row>
    <row r="30" spans="1:34" s="75" customFormat="1" ht="45">
      <c r="A30" s="70"/>
      <c r="B30" s="71"/>
      <c r="C30" s="64" t="s">
        <v>165</v>
      </c>
      <c r="D30" s="72"/>
      <c r="E30" s="64" t="s">
        <v>166</v>
      </c>
      <c r="F30" s="114">
        <v>20</v>
      </c>
      <c r="G30" s="149"/>
      <c r="H30" s="149"/>
      <c r="I30" s="149"/>
      <c r="J30" s="97">
        <f t="shared" ref="J30:Y30" si="2">$F30</f>
        <v>20</v>
      </c>
      <c r="K30" s="97">
        <f t="shared" si="2"/>
        <v>20</v>
      </c>
      <c r="L30" s="97">
        <f t="shared" si="2"/>
        <v>20</v>
      </c>
      <c r="M30" s="97">
        <f t="shared" si="2"/>
        <v>20</v>
      </c>
      <c r="N30" s="97">
        <f t="shared" si="2"/>
        <v>20</v>
      </c>
      <c r="O30" s="97">
        <f t="shared" si="2"/>
        <v>20</v>
      </c>
      <c r="P30" s="97">
        <f t="shared" si="2"/>
        <v>20</v>
      </c>
      <c r="Q30" s="97">
        <f t="shared" si="2"/>
        <v>20</v>
      </c>
      <c r="R30" s="97">
        <f t="shared" si="2"/>
        <v>20</v>
      </c>
      <c r="S30" s="97">
        <f t="shared" si="2"/>
        <v>20</v>
      </c>
      <c r="T30" s="97">
        <f t="shared" si="2"/>
        <v>20</v>
      </c>
      <c r="U30" s="97">
        <f t="shared" si="2"/>
        <v>20</v>
      </c>
      <c r="V30" s="97">
        <f t="shared" si="2"/>
        <v>20</v>
      </c>
      <c r="W30" s="97">
        <f t="shared" si="2"/>
        <v>20</v>
      </c>
      <c r="X30" s="97">
        <f t="shared" si="2"/>
        <v>20</v>
      </c>
      <c r="Y30" s="97">
        <f t="shared" si="2"/>
        <v>20</v>
      </c>
      <c r="Z30" s="97">
        <f t="shared" ref="K30:AH32" si="3">$F30</f>
        <v>20</v>
      </c>
      <c r="AA30" s="97">
        <f t="shared" si="3"/>
        <v>20</v>
      </c>
      <c r="AB30" s="97">
        <f t="shared" si="3"/>
        <v>20</v>
      </c>
      <c r="AC30" s="97">
        <f t="shared" si="3"/>
        <v>20</v>
      </c>
      <c r="AD30" s="97">
        <f t="shared" si="3"/>
        <v>20</v>
      </c>
      <c r="AE30" s="97">
        <f t="shared" si="3"/>
        <v>20</v>
      </c>
      <c r="AF30" s="97">
        <f t="shared" si="3"/>
        <v>20</v>
      </c>
      <c r="AG30" s="97">
        <f t="shared" si="3"/>
        <v>20</v>
      </c>
      <c r="AH30" s="97">
        <f t="shared" si="3"/>
        <v>20</v>
      </c>
    </row>
    <row r="31" spans="1:34" s="9" customFormat="1" ht="75">
      <c r="A31" s="60"/>
      <c r="B31" s="61"/>
      <c r="C31" s="62" t="s">
        <v>47</v>
      </c>
      <c r="D31" s="63"/>
      <c r="E31" s="64" t="s">
        <v>187</v>
      </c>
      <c r="F31" s="110">
        <v>0</v>
      </c>
      <c r="J31" s="96">
        <f>$F31</f>
        <v>0</v>
      </c>
      <c r="K31" s="96">
        <f t="shared" si="3"/>
        <v>0</v>
      </c>
      <c r="L31" s="96">
        <f t="shared" si="3"/>
        <v>0</v>
      </c>
      <c r="M31" s="96">
        <f t="shared" si="3"/>
        <v>0</v>
      </c>
      <c r="N31" s="96">
        <f t="shared" si="3"/>
        <v>0</v>
      </c>
      <c r="O31" s="96">
        <f t="shared" si="3"/>
        <v>0</v>
      </c>
      <c r="P31" s="96">
        <f t="shared" si="3"/>
        <v>0</v>
      </c>
      <c r="Q31" s="96">
        <f t="shared" si="3"/>
        <v>0</v>
      </c>
      <c r="R31" s="96">
        <f t="shared" si="3"/>
        <v>0</v>
      </c>
      <c r="S31" s="96">
        <f t="shared" si="3"/>
        <v>0</v>
      </c>
      <c r="T31" s="96">
        <f t="shared" si="3"/>
        <v>0</v>
      </c>
      <c r="U31" s="96">
        <f t="shared" si="3"/>
        <v>0</v>
      </c>
      <c r="V31" s="96">
        <f t="shared" si="3"/>
        <v>0</v>
      </c>
      <c r="W31" s="96">
        <f t="shared" si="3"/>
        <v>0</v>
      </c>
      <c r="X31" s="96">
        <f t="shared" si="3"/>
        <v>0</v>
      </c>
      <c r="Y31" s="96">
        <f t="shared" si="3"/>
        <v>0</v>
      </c>
      <c r="Z31" s="96">
        <f t="shared" si="3"/>
        <v>0</v>
      </c>
      <c r="AA31" s="96">
        <f t="shared" si="3"/>
        <v>0</v>
      </c>
      <c r="AB31" s="96">
        <f t="shared" si="3"/>
        <v>0</v>
      </c>
      <c r="AC31" s="96">
        <f t="shared" si="3"/>
        <v>0</v>
      </c>
      <c r="AD31" s="96">
        <f t="shared" si="3"/>
        <v>0</v>
      </c>
      <c r="AE31" s="96">
        <f t="shared" si="3"/>
        <v>0</v>
      </c>
      <c r="AF31" s="96">
        <f t="shared" si="3"/>
        <v>0</v>
      </c>
      <c r="AG31" s="96">
        <f t="shared" si="3"/>
        <v>0</v>
      </c>
      <c r="AH31" s="96">
        <f t="shared" si="3"/>
        <v>0</v>
      </c>
    </row>
    <row r="32" spans="1:34" s="9" customFormat="1" ht="60">
      <c r="A32" s="60"/>
      <c r="B32" s="65"/>
      <c r="C32" s="66" t="s">
        <v>171</v>
      </c>
      <c r="D32" s="67"/>
      <c r="E32" s="99" t="s">
        <v>172</v>
      </c>
      <c r="F32" s="115">
        <v>0</v>
      </c>
      <c r="J32" s="9">
        <f>$F32</f>
        <v>0</v>
      </c>
      <c r="K32" s="9">
        <f t="shared" si="3"/>
        <v>0</v>
      </c>
      <c r="L32" s="9">
        <f t="shared" si="3"/>
        <v>0</v>
      </c>
      <c r="M32" s="9">
        <f t="shared" si="3"/>
        <v>0</v>
      </c>
      <c r="N32" s="9">
        <f t="shared" si="3"/>
        <v>0</v>
      </c>
      <c r="O32" s="9">
        <f t="shared" si="3"/>
        <v>0</v>
      </c>
      <c r="P32" s="9">
        <f t="shared" si="3"/>
        <v>0</v>
      </c>
      <c r="Q32" s="9">
        <f t="shared" si="3"/>
        <v>0</v>
      </c>
      <c r="R32" s="9">
        <f t="shared" si="3"/>
        <v>0</v>
      </c>
      <c r="S32" s="9">
        <f t="shared" si="3"/>
        <v>0</v>
      </c>
      <c r="T32" s="9">
        <f t="shared" si="3"/>
        <v>0</v>
      </c>
      <c r="U32" s="9">
        <f t="shared" si="3"/>
        <v>0</v>
      </c>
      <c r="V32" s="9">
        <f t="shared" si="3"/>
        <v>0</v>
      </c>
      <c r="W32" s="9">
        <f t="shared" si="3"/>
        <v>0</v>
      </c>
      <c r="X32" s="9">
        <f t="shared" si="3"/>
        <v>0</v>
      </c>
      <c r="Y32" s="9">
        <f t="shared" si="3"/>
        <v>0</v>
      </c>
      <c r="Z32" s="9">
        <f t="shared" si="3"/>
        <v>0</v>
      </c>
      <c r="AA32" s="9">
        <f t="shared" si="3"/>
        <v>0</v>
      </c>
      <c r="AB32" s="9">
        <f t="shared" si="3"/>
        <v>0</v>
      </c>
      <c r="AC32" s="9">
        <f t="shared" si="3"/>
        <v>0</v>
      </c>
      <c r="AD32" s="9">
        <f t="shared" si="3"/>
        <v>0</v>
      </c>
      <c r="AE32" s="9">
        <f t="shared" si="3"/>
        <v>0</v>
      </c>
      <c r="AF32" s="9">
        <f t="shared" si="3"/>
        <v>0</v>
      </c>
      <c r="AG32" s="9">
        <f t="shared" si="3"/>
        <v>0</v>
      </c>
      <c r="AH32" s="9">
        <f t="shared" si="3"/>
        <v>0</v>
      </c>
    </row>
    <row r="34" spans="1:34">
      <c r="A34" s="1" t="s">
        <v>39</v>
      </c>
    </row>
    <row r="35" spans="1:34">
      <c r="B35" s="18" t="s">
        <v>40</v>
      </c>
      <c r="C35" s="15"/>
      <c r="D35" s="24"/>
      <c r="E35" s="24"/>
      <c r="F35" s="109"/>
    </row>
    <row r="36" spans="1:34">
      <c r="B36" s="20"/>
      <c r="C36" s="21" t="s">
        <v>1</v>
      </c>
      <c r="D36" s="25"/>
      <c r="E36" s="21" t="s">
        <v>146</v>
      </c>
      <c r="F36" s="84">
        <f>F37+0.02</f>
        <v>0.995</v>
      </c>
    </row>
    <row r="37" spans="1:34" s="9" customFormat="1" ht="30">
      <c r="A37" s="60"/>
      <c r="B37" s="61"/>
      <c r="C37" s="62" t="s">
        <v>38</v>
      </c>
      <c r="D37" s="63"/>
      <c r="E37" s="64" t="s">
        <v>170</v>
      </c>
      <c r="F37" s="98">
        <v>0.97499999999999998</v>
      </c>
    </row>
    <row r="38" spans="1:34">
      <c r="B38" s="20"/>
      <c r="C38" s="21" t="s">
        <v>0</v>
      </c>
      <c r="D38" s="25"/>
      <c r="E38" s="21" t="s">
        <v>147</v>
      </c>
      <c r="F38" s="84">
        <f>F37-0.02</f>
        <v>0.95499999999999996</v>
      </c>
    </row>
    <row r="39" spans="1:34" s="9" customFormat="1" ht="45">
      <c r="A39" s="60"/>
      <c r="B39" s="65"/>
      <c r="C39" s="66" t="s">
        <v>95</v>
      </c>
      <c r="D39" s="67" t="s">
        <v>94</v>
      </c>
      <c r="E39" s="147" t="s">
        <v>207</v>
      </c>
      <c r="F39" s="85">
        <v>0.01</v>
      </c>
    </row>
    <row r="41" spans="1:34">
      <c r="B41" s="18" t="s">
        <v>41</v>
      </c>
      <c r="C41" s="15"/>
      <c r="D41" s="24"/>
      <c r="E41" s="24"/>
      <c r="F41" s="101"/>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9"/>
    </row>
    <row r="42" spans="1:34">
      <c r="B42" s="20"/>
      <c r="C42" s="21" t="s">
        <v>199</v>
      </c>
      <c r="D42" s="25"/>
      <c r="E42" s="21" t="s">
        <v>205</v>
      </c>
      <c r="F42" s="106"/>
      <c r="G42" s="21"/>
      <c r="H42" s="21"/>
      <c r="I42" s="21"/>
      <c r="J42" s="123">
        <f>$F$37</f>
        <v>0.97499999999999998</v>
      </c>
      <c r="K42" s="123">
        <f t="shared" ref="K42:AH42" si="4">$F$37</f>
        <v>0.97499999999999998</v>
      </c>
      <c r="L42" s="123">
        <f t="shared" si="4"/>
        <v>0.97499999999999998</v>
      </c>
      <c r="M42" s="123">
        <f t="shared" si="4"/>
        <v>0.97499999999999998</v>
      </c>
      <c r="N42" s="123">
        <f t="shared" si="4"/>
        <v>0.97499999999999998</v>
      </c>
      <c r="O42" s="123">
        <f t="shared" si="4"/>
        <v>0.97499999999999998</v>
      </c>
      <c r="P42" s="123">
        <f t="shared" si="4"/>
        <v>0.97499999999999998</v>
      </c>
      <c r="Q42" s="123">
        <f t="shared" si="4"/>
        <v>0.97499999999999998</v>
      </c>
      <c r="R42" s="123">
        <f t="shared" si="4"/>
        <v>0.97499999999999998</v>
      </c>
      <c r="S42" s="123">
        <f t="shared" si="4"/>
        <v>0.97499999999999998</v>
      </c>
      <c r="T42" s="123">
        <f t="shared" si="4"/>
        <v>0.97499999999999998</v>
      </c>
      <c r="U42" s="123">
        <f t="shared" si="4"/>
        <v>0.97499999999999998</v>
      </c>
      <c r="V42" s="123">
        <f t="shared" si="4"/>
        <v>0.97499999999999998</v>
      </c>
      <c r="W42" s="123">
        <f t="shared" si="4"/>
        <v>0.97499999999999998</v>
      </c>
      <c r="X42" s="123">
        <f t="shared" si="4"/>
        <v>0.97499999999999998</v>
      </c>
      <c r="Y42" s="123">
        <f t="shared" si="4"/>
        <v>0.97499999999999998</v>
      </c>
      <c r="Z42" s="123">
        <f t="shared" si="4"/>
        <v>0.97499999999999998</v>
      </c>
      <c r="AA42" s="123">
        <f t="shared" si="4"/>
        <v>0.97499999999999998</v>
      </c>
      <c r="AB42" s="123">
        <f t="shared" si="4"/>
        <v>0.97499999999999998</v>
      </c>
      <c r="AC42" s="123">
        <f t="shared" si="4"/>
        <v>0.97499999999999998</v>
      </c>
      <c r="AD42" s="123">
        <f t="shared" si="4"/>
        <v>0.97499999999999998</v>
      </c>
      <c r="AE42" s="123">
        <f t="shared" si="4"/>
        <v>0.97499999999999998</v>
      </c>
      <c r="AF42" s="123">
        <f t="shared" si="4"/>
        <v>0.97499999999999998</v>
      </c>
      <c r="AG42" s="123">
        <f t="shared" si="4"/>
        <v>0.97499999999999998</v>
      </c>
      <c r="AH42" s="98">
        <f t="shared" si="4"/>
        <v>0.97499999999999998</v>
      </c>
    </row>
    <row r="43" spans="1:34">
      <c r="B43" s="22"/>
      <c r="C43" s="16"/>
      <c r="D43" s="29"/>
      <c r="E43" s="29"/>
      <c r="F43" s="107"/>
      <c r="G43" s="16"/>
      <c r="H43" s="16"/>
      <c r="I43" s="16"/>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17"/>
    </row>
    <row r="44" spans="1:34">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c r="F45" s="117"/>
    </row>
    <row r="46" spans="1:34">
      <c r="B46" s="18" t="s">
        <v>114</v>
      </c>
      <c r="C46" s="15"/>
      <c r="D46" s="24"/>
      <c r="E46" s="15" t="s">
        <v>174</v>
      </c>
      <c r="F46" s="118"/>
    </row>
    <row r="47" spans="1:34">
      <c r="B47" s="20"/>
      <c r="C47" s="21" t="s">
        <v>90</v>
      </c>
      <c r="D47" s="25" t="s">
        <v>93</v>
      </c>
      <c r="E47" s="21" t="s">
        <v>175</v>
      </c>
      <c r="F47" s="120">
        <v>0.05</v>
      </c>
    </row>
    <row r="48" spans="1:34" s="75" customFormat="1" ht="62.25" customHeight="1">
      <c r="A48" s="70"/>
      <c r="B48" s="71"/>
      <c r="C48" s="64" t="s">
        <v>115</v>
      </c>
      <c r="D48" s="72" t="s">
        <v>93</v>
      </c>
      <c r="E48" s="94" t="s">
        <v>206</v>
      </c>
      <c r="F48" s="121">
        <v>1</v>
      </c>
    </row>
    <row r="49" spans="1:34">
      <c r="B49" s="20"/>
      <c r="C49" s="21" t="s">
        <v>84</v>
      </c>
      <c r="D49" s="25" t="s">
        <v>93</v>
      </c>
      <c r="E49" s="21" t="s">
        <v>173</v>
      </c>
      <c r="F49" s="120">
        <v>2.5000000000000001E-2</v>
      </c>
    </row>
    <row r="50" spans="1:34" s="75" customFormat="1" ht="30">
      <c r="A50" s="70"/>
      <c r="B50" s="76"/>
      <c r="C50" s="68" t="s">
        <v>116</v>
      </c>
      <c r="D50" s="88" t="s">
        <v>93</v>
      </c>
      <c r="E50" s="68" t="s">
        <v>176</v>
      </c>
      <c r="F50" s="122">
        <f>'CoC inputs'!$G$37</f>
        <v>0.5</v>
      </c>
    </row>
    <row r="52" spans="1:34">
      <c r="A52" s="1" t="s">
        <v>179</v>
      </c>
    </row>
    <row r="54" spans="1:34">
      <c r="B54" s="18" t="s">
        <v>131</v>
      </c>
      <c r="C54" s="15"/>
      <c r="D54" s="24"/>
      <c r="E54" s="143" t="s">
        <v>196</v>
      </c>
      <c r="F54" s="101"/>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9"/>
    </row>
    <row r="55" spans="1:34">
      <c r="B55" s="20"/>
      <c r="C55" s="56" t="s">
        <v>78</v>
      </c>
      <c r="D55" s="141">
        <v>0.2</v>
      </c>
      <c r="E55" s="25" t="s">
        <v>190</v>
      </c>
      <c r="F55" s="106"/>
      <c r="G55" s="21"/>
      <c r="H55" s="21"/>
      <c r="I55" s="21"/>
      <c r="J55" s="44">
        <f>'C&amp;F calcs'!$E$68*(1+D55)</f>
        <v>162.25091587583236</v>
      </c>
      <c r="K55" s="44">
        <f>$J$55</f>
        <v>162.25091587583236</v>
      </c>
      <c r="L55" s="44">
        <f t="shared" ref="L55:AH55" si="5">$J$55</f>
        <v>162.25091587583236</v>
      </c>
      <c r="M55" s="44">
        <f t="shared" si="5"/>
        <v>162.25091587583236</v>
      </c>
      <c r="N55" s="44">
        <f t="shared" si="5"/>
        <v>162.25091587583236</v>
      </c>
      <c r="O55" s="44">
        <f t="shared" si="5"/>
        <v>162.25091587583236</v>
      </c>
      <c r="P55" s="44">
        <f t="shared" si="5"/>
        <v>162.25091587583236</v>
      </c>
      <c r="Q55" s="44">
        <f t="shared" si="5"/>
        <v>162.25091587583236</v>
      </c>
      <c r="R55" s="44">
        <f t="shared" si="5"/>
        <v>162.25091587583236</v>
      </c>
      <c r="S55" s="44">
        <f t="shared" si="5"/>
        <v>162.25091587583236</v>
      </c>
      <c r="T55" s="44">
        <f t="shared" si="5"/>
        <v>162.25091587583236</v>
      </c>
      <c r="U55" s="44">
        <f t="shared" si="5"/>
        <v>162.25091587583236</v>
      </c>
      <c r="V55" s="44">
        <f t="shared" si="5"/>
        <v>162.25091587583236</v>
      </c>
      <c r="W55" s="44">
        <f t="shared" si="5"/>
        <v>162.25091587583236</v>
      </c>
      <c r="X55" s="44">
        <f t="shared" si="5"/>
        <v>162.25091587583236</v>
      </c>
      <c r="Y55" s="44">
        <f t="shared" si="5"/>
        <v>162.25091587583236</v>
      </c>
      <c r="Z55" s="44">
        <f t="shared" si="5"/>
        <v>162.25091587583236</v>
      </c>
      <c r="AA55" s="44">
        <f t="shared" si="5"/>
        <v>162.25091587583236</v>
      </c>
      <c r="AB55" s="44">
        <f t="shared" si="5"/>
        <v>162.25091587583236</v>
      </c>
      <c r="AC55" s="44">
        <f t="shared" si="5"/>
        <v>162.25091587583236</v>
      </c>
      <c r="AD55" s="44">
        <f t="shared" si="5"/>
        <v>162.25091587583236</v>
      </c>
      <c r="AE55" s="44">
        <f t="shared" si="5"/>
        <v>162.25091587583236</v>
      </c>
      <c r="AF55" s="44">
        <f t="shared" si="5"/>
        <v>162.25091587583236</v>
      </c>
      <c r="AG55" s="44">
        <f t="shared" si="5"/>
        <v>162.25091587583236</v>
      </c>
      <c r="AH55" s="39">
        <f t="shared" si="5"/>
        <v>162.25091587583236</v>
      </c>
    </row>
    <row r="56" spans="1:34">
      <c r="B56" s="20"/>
      <c r="C56" s="56" t="s">
        <v>137</v>
      </c>
      <c r="D56" s="141">
        <v>0.02</v>
      </c>
      <c r="E56" s="25" t="s">
        <v>191</v>
      </c>
      <c r="F56" s="106"/>
      <c r="G56" s="21"/>
      <c r="H56" s="21"/>
      <c r="I56" s="21"/>
      <c r="J56" s="37">
        <f>AVERAGE('C&amp;F calcs'!$E$62,'C&amp;F calcs'!$E$68)</f>
        <v>112.41592227493264</v>
      </c>
      <c r="K56" s="44">
        <f>J56*(1+$D$56)</f>
        <v>114.66424072043129</v>
      </c>
      <c r="L56" s="44">
        <f t="shared" ref="L56:AH56" si="6">K56*(1+$D$56)</f>
        <v>116.95752553483992</v>
      </c>
      <c r="M56" s="44">
        <f t="shared" si="6"/>
        <v>119.29667604553671</v>
      </c>
      <c r="N56" s="44">
        <f t="shared" si="6"/>
        <v>121.68260956644745</v>
      </c>
      <c r="O56" s="44">
        <f t="shared" si="6"/>
        <v>124.1162617577764</v>
      </c>
      <c r="P56" s="44">
        <f t="shared" si="6"/>
        <v>126.59858699293193</v>
      </c>
      <c r="Q56" s="44">
        <f t="shared" si="6"/>
        <v>129.13055873279058</v>
      </c>
      <c r="R56" s="44">
        <f t="shared" si="6"/>
        <v>131.7131699074464</v>
      </c>
      <c r="S56" s="44">
        <f t="shared" si="6"/>
        <v>134.34743330559533</v>
      </c>
      <c r="T56" s="44">
        <f t="shared" si="6"/>
        <v>137.03438197170723</v>
      </c>
      <c r="U56" s="44">
        <f t="shared" si="6"/>
        <v>139.77506961114139</v>
      </c>
      <c r="V56" s="44">
        <f t="shared" si="6"/>
        <v>142.57057100336422</v>
      </c>
      <c r="W56" s="44">
        <f t="shared" si="6"/>
        <v>145.4219824234315</v>
      </c>
      <c r="X56" s="44">
        <f t="shared" si="6"/>
        <v>148.33042207190013</v>
      </c>
      <c r="Y56" s="44">
        <f t="shared" si="6"/>
        <v>151.29703051333814</v>
      </c>
      <c r="Z56" s="44">
        <f t="shared" si="6"/>
        <v>154.3229711236049</v>
      </c>
      <c r="AA56" s="44">
        <f t="shared" si="6"/>
        <v>157.409430546077</v>
      </c>
      <c r="AB56" s="44">
        <f t="shared" si="6"/>
        <v>160.55761915699856</v>
      </c>
      <c r="AC56" s="44">
        <f t="shared" si="6"/>
        <v>163.76877154013852</v>
      </c>
      <c r="AD56" s="44">
        <f t="shared" si="6"/>
        <v>167.04414697094128</v>
      </c>
      <c r="AE56" s="44">
        <f t="shared" si="6"/>
        <v>170.38502991036012</v>
      </c>
      <c r="AF56" s="44">
        <f t="shared" si="6"/>
        <v>173.79273050856733</v>
      </c>
      <c r="AG56" s="44">
        <f t="shared" si="6"/>
        <v>177.26858511873868</v>
      </c>
      <c r="AH56" s="39">
        <f t="shared" si="6"/>
        <v>180.81395682111346</v>
      </c>
    </row>
    <row r="57" spans="1:34">
      <c r="B57" s="20"/>
      <c r="C57" s="56" t="s">
        <v>141</v>
      </c>
      <c r="D57" s="141">
        <v>0</v>
      </c>
      <c r="E57" s="25" t="s">
        <v>193</v>
      </c>
      <c r="F57" s="106"/>
      <c r="G57" s="21"/>
      <c r="H57" s="21"/>
      <c r="I57" s="21"/>
      <c r="J57" s="37">
        <f>AVERAGE('C&amp;F calcs'!$E$62,'C&amp;F calcs'!$E$68)</f>
        <v>112.41592227493264</v>
      </c>
      <c r="K57" s="44">
        <f>J57*(1+$D$57)</f>
        <v>112.41592227493264</v>
      </c>
      <c r="L57" s="44">
        <f t="shared" ref="L57:AH57" si="7">K57*(1+$D$57)</f>
        <v>112.41592227493264</v>
      </c>
      <c r="M57" s="44">
        <f t="shared" si="7"/>
        <v>112.41592227493264</v>
      </c>
      <c r="N57" s="44">
        <f t="shared" si="7"/>
        <v>112.41592227493264</v>
      </c>
      <c r="O57" s="44">
        <f t="shared" si="7"/>
        <v>112.41592227493264</v>
      </c>
      <c r="P57" s="44">
        <f t="shared" si="7"/>
        <v>112.41592227493264</v>
      </c>
      <c r="Q57" s="44">
        <f t="shared" si="7"/>
        <v>112.41592227493264</v>
      </c>
      <c r="R57" s="44">
        <f t="shared" si="7"/>
        <v>112.41592227493264</v>
      </c>
      <c r="S57" s="44">
        <f t="shared" si="7"/>
        <v>112.41592227493264</v>
      </c>
      <c r="T57" s="44">
        <f t="shared" si="7"/>
        <v>112.41592227493264</v>
      </c>
      <c r="U57" s="44">
        <f t="shared" si="7"/>
        <v>112.41592227493264</v>
      </c>
      <c r="V57" s="44">
        <f t="shared" si="7"/>
        <v>112.41592227493264</v>
      </c>
      <c r="W57" s="44">
        <f t="shared" si="7"/>
        <v>112.41592227493264</v>
      </c>
      <c r="X57" s="44">
        <f t="shared" si="7"/>
        <v>112.41592227493264</v>
      </c>
      <c r="Y57" s="44">
        <f t="shared" si="7"/>
        <v>112.41592227493264</v>
      </c>
      <c r="Z57" s="44">
        <f t="shared" si="7"/>
        <v>112.41592227493264</v>
      </c>
      <c r="AA57" s="44">
        <f t="shared" si="7"/>
        <v>112.41592227493264</v>
      </c>
      <c r="AB57" s="44">
        <f t="shared" si="7"/>
        <v>112.41592227493264</v>
      </c>
      <c r="AC57" s="44">
        <f t="shared" si="7"/>
        <v>112.41592227493264</v>
      </c>
      <c r="AD57" s="44">
        <f t="shared" si="7"/>
        <v>112.41592227493264</v>
      </c>
      <c r="AE57" s="44">
        <f t="shared" si="7"/>
        <v>112.41592227493264</v>
      </c>
      <c r="AF57" s="44">
        <f t="shared" si="7"/>
        <v>112.41592227493264</v>
      </c>
      <c r="AG57" s="44">
        <f t="shared" si="7"/>
        <v>112.41592227493264</v>
      </c>
      <c r="AH57" s="39">
        <f t="shared" si="7"/>
        <v>112.41592227493264</v>
      </c>
    </row>
    <row r="58" spans="1:34">
      <c r="B58" s="20"/>
      <c r="C58" s="21" t="s">
        <v>136</v>
      </c>
      <c r="D58" s="141">
        <v>-0.02</v>
      </c>
      <c r="E58" s="25" t="s">
        <v>192</v>
      </c>
      <c r="F58" s="106"/>
      <c r="G58" s="21"/>
      <c r="H58" s="21"/>
      <c r="I58" s="21"/>
      <c r="J58" s="37">
        <f>AVERAGE('C&amp;F calcs'!$E$62,'C&amp;F calcs'!$E$68)</f>
        <v>112.41592227493264</v>
      </c>
      <c r="K58" s="44">
        <f>J58*(1+$D$58)</f>
        <v>110.16760382943399</v>
      </c>
      <c r="L58" s="44">
        <f t="shared" ref="L58:AH58" si="8">K58*(1+$D$58)</f>
        <v>107.9642517528453</v>
      </c>
      <c r="M58" s="44">
        <f t="shared" si="8"/>
        <v>105.80496671778839</v>
      </c>
      <c r="N58" s="44">
        <f t="shared" si="8"/>
        <v>103.68886738343262</v>
      </c>
      <c r="O58" s="44">
        <f t="shared" si="8"/>
        <v>101.61509003576397</v>
      </c>
      <c r="P58" s="44">
        <f t="shared" si="8"/>
        <v>99.582788235048682</v>
      </c>
      <c r="Q58" s="44">
        <f t="shared" si="8"/>
        <v>97.591132470347702</v>
      </c>
      <c r="R58" s="44">
        <f t="shared" si="8"/>
        <v>95.639309820940753</v>
      </c>
      <c r="S58" s="44">
        <f t="shared" si="8"/>
        <v>93.726523624521931</v>
      </c>
      <c r="T58" s="44">
        <f t="shared" si="8"/>
        <v>91.851993152031497</v>
      </c>
      <c r="U58" s="44">
        <f t="shared" si="8"/>
        <v>90.014953288990867</v>
      </c>
      <c r="V58" s="44">
        <f t="shared" si="8"/>
        <v>88.214654223211042</v>
      </c>
      <c r="W58" s="44">
        <f t="shared" si="8"/>
        <v>86.450361138746814</v>
      </c>
      <c r="X58" s="44">
        <f t="shared" si="8"/>
        <v>84.721353915971875</v>
      </c>
      <c r="Y58" s="44">
        <f t="shared" si="8"/>
        <v>83.026926837652439</v>
      </c>
      <c r="Z58" s="44">
        <f t="shared" si="8"/>
        <v>81.366388300899388</v>
      </c>
      <c r="AA58" s="44">
        <f t="shared" si="8"/>
        <v>79.739060534881403</v>
      </c>
      <c r="AB58" s="44">
        <f t="shared" si="8"/>
        <v>78.144279324183771</v>
      </c>
      <c r="AC58" s="44">
        <f t="shared" si="8"/>
        <v>76.581393737700097</v>
      </c>
      <c r="AD58" s="44">
        <f t="shared" si="8"/>
        <v>75.049765862946089</v>
      </c>
      <c r="AE58" s="44">
        <f t="shared" si="8"/>
        <v>73.548770545687162</v>
      </c>
      <c r="AF58" s="44">
        <f t="shared" si="8"/>
        <v>72.077795134773424</v>
      </c>
      <c r="AG58" s="44">
        <f t="shared" si="8"/>
        <v>70.636239232077955</v>
      </c>
      <c r="AH58" s="39">
        <f t="shared" si="8"/>
        <v>69.223514447436401</v>
      </c>
    </row>
    <row r="59" spans="1:34">
      <c r="B59" s="20"/>
      <c r="C59" s="21" t="s">
        <v>77</v>
      </c>
      <c r="D59" s="141">
        <v>0.1</v>
      </c>
      <c r="E59" s="25" t="s">
        <v>194</v>
      </c>
      <c r="F59" s="106"/>
      <c r="G59" s="21"/>
      <c r="H59" s="21"/>
      <c r="I59" s="21"/>
      <c r="J59" s="44">
        <f>'C&amp;F calcs'!$E$62*(1-$D59)</f>
        <v>80.660473188004474</v>
      </c>
      <c r="K59" s="44">
        <f>'C&amp;F calcs'!$E$62*(1-$D59)</f>
        <v>80.660473188004474</v>
      </c>
      <c r="L59" s="44">
        <f>'C&amp;F calcs'!$E$62*(1-$D59)</f>
        <v>80.660473188004474</v>
      </c>
      <c r="M59" s="44">
        <f>'C&amp;F calcs'!$E$62*(1-$D59)</f>
        <v>80.660473188004474</v>
      </c>
      <c r="N59" s="44">
        <f>'C&amp;F calcs'!$E$62*(1-$D59)</f>
        <v>80.660473188004474</v>
      </c>
      <c r="O59" s="44">
        <f>'C&amp;F calcs'!$E$62*(1-$D59)</f>
        <v>80.660473188004474</v>
      </c>
      <c r="P59" s="44">
        <f>'C&amp;F calcs'!$E$62*(1-$D59)</f>
        <v>80.660473188004474</v>
      </c>
      <c r="Q59" s="44">
        <f>'C&amp;F calcs'!$E$62*(1-$D59)</f>
        <v>80.660473188004474</v>
      </c>
      <c r="R59" s="44">
        <f>'C&amp;F calcs'!$E$62*(1-$D59)</f>
        <v>80.660473188004474</v>
      </c>
      <c r="S59" s="44">
        <f>'C&amp;F calcs'!$E$62*(1-$D59)</f>
        <v>80.660473188004474</v>
      </c>
      <c r="T59" s="44">
        <f>'C&amp;F calcs'!$E$62*(1-$D59)</f>
        <v>80.660473188004474</v>
      </c>
      <c r="U59" s="44">
        <f>'C&amp;F calcs'!$E$62*(1-$D59)</f>
        <v>80.660473188004474</v>
      </c>
      <c r="V59" s="44">
        <f>'C&amp;F calcs'!$E$62*(1-$D59)</f>
        <v>80.660473188004474</v>
      </c>
      <c r="W59" s="44">
        <f>'C&amp;F calcs'!$E$62*(1-$D59)</f>
        <v>80.660473188004474</v>
      </c>
      <c r="X59" s="44">
        <f>'C&amp;F calcs'!$E$62*(1-$D59)</f>
        <v>80.660473188004474</v>
      </c>
      <c r="Y59" s="44">
        <f>'C&amp;F calcs'!$E$62*(1-$D59)</f>
        <v>80.660473188004474</v>
      </c>
      <c r="Z59" s="44">
        <f>'C&amp;F calcs'!$E$62*(1-$D59)</f>
        <v>80.660473188004474</v>
      </c>
      <c r="AA59" s="44">
        <f>'C&amp;F calcs'!$E$62*(1-$D59)</f>
        <v>80.660473188004474</v>
      </c>
      <c r="AB59" s="44">
        <f>'C&amp;F calcs'!$E$62*(1-$D59)</f>
        <v>80.660473188004474</v>
      </c>
      <c r="AC59" s="44">
        <f>'C&amp;F calcs'!$E$62*(1-$D59)</f>
        <v>80.660473188004474</v>
      </c>
      <c r="AD59" s="44">
        <f>'C&amp;F calcs'!$E$62*(1-$D59)</f>
        <v>80.660473188004474</v>
      </c>
      <c r="AE59" s="44">
        <f>'C&amp;F calcs'!$E$62*(1-$D59)</f>
        <v>80.660473188004474</v>
      </c>
      <c r="AF59" s="44">
        <f>'C&amp;F calcs'!$E$62*(1-$D59)</f>
        <v>80.660473188004474</v>
      </c>
      <c r="AG59" s="44">
        <f>'C&amp;F calcs'!$E$62*(1-$D59)</f>
        <v>80.660473188004474</v>
      </c>
      <c r="AH59" s="39">
        <f>'C&amp;F calcs'!$E$62*(1-$D59)</f>
        <v>80.660473188004474</v>
      </c>
    </row>
    <row r="60" spans="1:34">
      <c r="B60" s="20"/>
      <c r="C60" s="21" t="s">
        <v>133</v>
      </c>
      <c r="D60" s="141">
        <v>0.1</v>
      </c>
      <c r="E60" s="25" t="s">
        <v>195</v>
      </c>
      <c r="F60" s="106"/>
      <c r="G60" s="21"/>
      <c r="H60" s="21"/>
      <c r="I60" s="21"/>
      <c r="J60" s="44">
        <f>IF(VALUE(RIGHT($E60,4))=J$2,0,'C&amp;F calcs'!$E$62*(1-$D60))</f>
        <v>80.660473188004474</v>
      </c>
      <c r="K60" s="44">
        <f>IF(VALUE(RIGHT($E60,4))=K$2,0,'C&amp;F calcs'!$E$62*(1-$D60))</f>
        <v>80.660473188004474</v>
      </c>
      <c r="L60" s="44">
        <f>IF(VALUE(RIGHT($E60,4))=L$2,0,'C&amp;F calcs'!$E$62*(1-$D60))</f>
        <v>80.660473188004474</v>
      </c>
      <c r="M60" s="44">
        <f>IF(VALUE(RIGHT($E60,4))=M$2,0,'C&amp;F calcs'!$E$62*(1-$D60))</f>
        <v>80.660473188004474</v>
      </c>
      <c r="N60" s="44">
        <f>IF(VALUE(RIGHT($E60,4))=N$2,0,'C&amp;F calcs'!$E$62*(1-$D60))</f>
        <v>80.660473188004474</v>
      </c>
      <c r="O60" s="44">
        <f>IF(VALUE(RIGHT($E60,4))=O$2,0,'C&amp;F calcs'!$E$62*(1-$D60))</f>
        <v>0</v>
      </c>
      <c r="P60" s="44">
        <f>IF(VALUE(RIGHT($E60,4))=P$2,0,'C&amp;F calcs'!$E$62*(1-$D60))</f>
        <v>80.660473188004474</v>
      </c>
      <c r="Q60" s="44">
        <f>IF(VALUE(RIGHT($E60,4))=Q$2,0,'C&amp;F calcs'!$E$62*(1-$D60))</f>
        <v>80.660473188004474</v>
      </c>
      <c r="R60" s="44">
        <f>IF(VALUE(RIGHT($E60,4))=R$2,0,'C&amp;F calcs'!$E$62*(1-$D60))</f>
        <v>80.660473188004474</v>
      </c>
      <c r="S60" s="44">
        <f>IF(VALUE(RIGHT($E60,4))=S$2,0,'C&amp;F calcs'!$E$62*(1-$D60))</f>
        <v>80.660473188004474</v>
      </c>
      <c r="T60" s="44">
        <f>IF(VALUE(RIGHT($E60,4))=T$2,0,'C&amp;F calcs'!$E$62*(1-$D60))</f>
        <v>80.660473188004474</v>
      </c>
      <c r="U60" s="44">
        <f>IF(VALUE(RIGHT($E60,4))=U$2,0,'C&amp;F calcs'!$E$62*(1-$D60))</f>
        <v>80.660473188004474</v>
      </c>
      <c r="V60" s="44">
        <f>IF(VALUE(RIGHT($E60,4))=V$2,0,'C&amp;F calcs'!$E$62*(1-$D60))</f>
        <v>80.660473188004474</v>
      </c>
      <c r="W60" s="44">
        <f>IF(VALUE(RIGHT($E60,4))=W$2,0,'C&amp;F calcs'!$E$62*(1-$D60))</f>
        <v>80.660473188004474</v>
      </c>
      <c r="X60" s="44">
        <f>IF(VALUE(RIGHT($E60,4))=X$2,0,'C&amp;F calcs'!$E$62*(1-$D60))</f>
        <v>80.660473188004474</v>
      </c>
      <c r="Y60" s="44">
        <f>IF(VALUE(RIGHT($E60,4))=Y$2,0,'C&amp;F calcs'!$E$62*(1-$D60))</f>
        <v>80.660473188004474</v>
      </c>
      <c r="Z60" s="44">
        <f>IF(VALUE(RIGHT($E60,4))=Z$2,0,'C&amp;F calcs'!$E$62*(1-$D60))</f>
        <v>80.660473188004474</v>
      </c>
      <c r="AA60" s="44">
        <f>IF(VALUE(RIGHT($E60,4))=AA$2,0,'C&amp;F calcs'!$E$62*(1-$D60))</f>
        <v>80.660473188004474</v>
      </c>
      <c r="AB60" s="44">
        <f>IF(VALUE(RIGHT($E60,4))=AB$2,0,'C&amp;F calcs'!$E$62*(1-$D60))</f>
        <v>80.660473188004474</v>
      </c>
      <c r="AC60" s="44">
        <f>IF(VALUE(RIGHT($E60,4))=AC$2,0,'C&amp;F calcs'!$E$62*(1-$D60))</f>
        <v>80.660473188004474</v>
      </c>
      <c r="AD60" s="44">
        <f>IF(VALUE(RIGHT($E60,4))=AD$2,0,'C&amp;F calcs'!$E$62*(1-$D60))</f>
        <v>80.660473188004474</v>
      </c>
      <c r="AE60" s="44">
        <f>IF(VALUE(RIGHT($E60,4))=AE$2,0,'C&amp;F calcs'!$E$62*(1-$D60))</f>
        <v>80.660473188004474</v>
      </c>
      <c r="AF60" s="44">
        <f>IF(VALUE(RIGHT($E60,4))=AF$2,0,'C&amp;F calcs'!$E$62*(1-$D60))</f>
        <v>80.660473188004474</v>
      </c>
      <c r="AG60" s="44">
        <f>IF(VALUE(RIGHT($E60,4))=AG$2,0,'C&amp;F calcs'!$E$62*(1-$D60))</f>
        <v>80.660473188004474</v>
      </c>
      <c r="AH60" s="44">
        <f>IF(VALUE(RIGHT($E60,4))=AH$2,0,'C&amp;F calcs'!$E$62*(1-$D60))</f>
        <v>80.660473188004474</v>
      </c>
    </row>
    <row r="61" spans="1:34">
      <c r="B61" s="20"/>
      <c r="C61" s="21" t="s">
        <v>134</v>
      </c>
      <c r="D61" s="141">
        <v>0.25</v>
      </c>
      <c r="E61" s="25" t="s">
        <v>194</v>
      </c>
      <c r="F61" s="106"/>
      <c r="G61" s="21"/>
      <c r="H61" s="21"/>
      <c r="I61" s="21"/>
      <c r="J61" s="44">
        <f>'C&amp;F calcs'!$E$62*(1-$D61)</f>
        <v>67.217060990003731</v>
      </c>
      <c r="K61" s="44">
        <f>'C&amp;F calcs'!$E$62*(1-$D61)</f>
        <v>67.217060990003731</v>
      </c>
      <c r="L61" s="44">
        <f>'C&amp;F calcs'!$E$62*(1-$D61)</f>
        <v>67.217060990003731</v>
      </c>
      <c r="M61" s="44">
        <f>'C&amp;F calcs'!$E$62*(1-$D61)</f>
        <v>67.217060990003731</v>
      </c>
      <c r="N61" s="44">
        <f>'C&amp;F calcs'!$E$62*(1-$D61)</f>
        <v>67.217060990003731</v>
      </c>
      <c r="O61" s="44">
        <f>'C&amp;F calcs'!$E$62*(1-$D61)</f>
        <v>67.217060990003731</v>
      </c>
      <c r="P61" s="44">
        <f>'C&amp;F calcs'!$E$62*(1-$D61)</f>
        <v>67.217060990003731</v>
      </c>
      <c r="Q61" s="44">
        <f>'C&amp;F calcs'!$E$62*(1-$D61)</f>
        <v>67.217060990003731</v>
      </c>
      <c r="R61" s="44">
        <f>'C&amp;F calcs'!$E$62*(1-$D61)</f>
        <v>67.217060990003731</v>
      </c>
      <c r="S61" s="44">
        <f>'C&amp;F calcs'!$E$62*(1-$D61)</f>
        <v>67.217060990003731</v>
      </c>
      <c r="T61" s="44">
        <f>'C&amp;F calcs'!$E$62*(1-$D61)</f>
        <v>67.217060990003731</v>
      </c>
      <c r="U61" s="44">
        <f>'C&amp;F calcs'!$E$62*(1-$D61)</f>
        <v>67.217060990003731</v>
      </c>
      <c r="V61" s="44">
        <f>'C&amp;F calcs'!$E$62*(1-$D61)</f>
        <v>67.217060990003731</v>
      </c>
      <c r="W61" s="44">
        <f>'C&amp;F calcs'!$E$62*(1-$D61)</f>
        <v>67.217060990003731</v>
      </c>
      <c r="X61" s="44">
        <f>'C&amp;F calcs'!$E$62*(1-$D61)</f>
        <v>67.217060990003731</v>
      </c>
      <c r="Y61" s="44">
        <f>'C&amp;F calcs'!$E$62*(1-$D61)</f>
        <v>67.217060990003731</v>
      </c>
      <c r="Z61" s="44">
        <f>'C&amp;F calcs'!$E$62*(1-$D61)</f>
        <v>67.217060990003731</v>
      </c>
      <c r="AA61" s="44">
        <f>'C&amp;F calcs'!$E$62*(1-$D61)</f>
        <v>67.217060990003731</v>
      </c>
      <c r="AB61" s="44">
        <f>'C&amp;F calcs'!$E$62*(1-$D61)</f>
        <v>67.217060990003731</v>
      </c>
      <c r="AC61" s="44">
        <f>'C&amp;F calcs'!$E$62*(1-$D61)</f>
        <v>67.217060990003731</v>
      </c>
      <c r="AD61" s="44">
        <f>'C&amp;F calcs'!$E$62*(1-$D61)</f>
        <v>67.217060990003731</v>
      </c>
      <c r="AE61" s="44">
        <f>'C&amp;F calcs'!$E$62*(1-$D61)</f>
        <v>67.217060990003731</v>
      </c>
      <c r="AF61" s="44">
        <f>'C&amp;F calcs'!$E$62*(1-$D61)</f>
        <v>67.217060990003731</v>
      </c>
      <c r="AG61" s="44">
        <f>'C&amp;F calcs'!$E$62*(1-$D61)</f>
        <v>67.217060990003731</v>
      </c>
      <c r="AH61" s="39">
        <f>'C&amp;F calcs'!$E$62*(1-$D61)</f>
        <v>67.217060990003731</v>
      </c>
    </row>
    <row r="62" spans="1:34">
      <c r="B62" s="22"/>
      <c r="C62" s="57" t="s">
        <v>135</v>
      </c>
      <c r="D62" s="142">
        <v>0.25</v>
      </c>
      <c r="E62" s="29" t="s">
        <v>195</v>
      </c>
      <c r="F62" s="107"/>
      <c r="G62" s="16"/>
      <c r="H62" s="16"/>
      <c r="I62" s="16"/>
      <c r="J62" s="45">
        <f>IF(VALUE(RIGHT($E62,4))=J$2,0,'C&amp;F calcs'!$E$62*(1-$D62))</f>
        <v>67.217060990003731</v>
      </c>
      <c r="K62" s="45">
        <f>IF(VALUE(RIGHT($E62,4))=K$2,0,'C&amp;F calcs'!$E$62*(1-$D62))</f>
        <v>67.217060990003731</v>
      </c>
      <c r="L62" s="45">
        <f>IF(VALUE(RIGHT($E62,4))=L$2,0,'C&amp;F calcs'!$E$62*(1-$D62))</f>
        <v>67.217060990003731</v>
      </c>
      <c r="M62" s="45">
        <f>IF(VALUE(RIGHT($E62,4))=M$2,0,'C&amp;F calcs'!$E$62*(1-$D62))</f>
        <v>67.217060990003731</v>
      </c>
      <c r="N62" s="45">
        <f>IF(VALUE(RIGHT($E62,4))=N$2,0,'C&amp;F calcs'!$E$62*(1-$D62))</f>
        <v>67.217060990003731</v>
      </c>
      <c r="O62" s="45">
        <f>IF(VALUE(RIGHT($E62,4))=O$2,0,'C&amp;F calcs'!$E$62*(1-$D62))</f>
        <v>0</v>
      </c>
      <c r="P62" s="45">
        <f>IF(VALUE(RIGHT($E62,4))=P$2,0,'C&amp;F calcs'!$E$62*(1-$D62))</f>
        <v>67.217060990003731</v>
      </c>
      <c r="Q62" s="45">
        <f>IF(VALUE(RIGHT($E62,4))=Q$2,0,'C&amp;F calcs'!$E$62*(1-$D62))</f>
        <v>67.217060990003731</v>
      </c>
      <c r="R62" s="45">
        <f>IF(VALUE(RIGHT($E62,4))=R$2,0,'C&amp;F calcs'!$E$62*(1-$D62))</f>
        <v>67.217060990003731</v>
      </c>
      <c r="S62" s="45">
        <f>IF(VALUE(RIGHT($E62,4))=S$2,0,'C&amp;F calcs'!$E$62*(1-$D62))</f>
        <v>67.217060990003731</v>
      </c>
      <c r="T62" s="45">
        <f>IF(VALUE(RIGHT($E62,4))=T$2,0,'C&amp;F calcs'!$E$62*(1-$D62))</f>
        <v>67.217060990003731</v>
      </c>
      <c r="U62" s="45">
        <f>IF(VALUE(RIGHT($E62,4))=U$2,0,'C&amp;F calcs'!$E$62*(1-$D62))</f>
        <v>67.217060990003731</v>
      </c>
      <c r="V62" s="45">
        <f>IF(VALUE(RIGHT($E62,4))=V$2,0,'C&amp;F calcs'!$E$62*(1-$D62))</f>
        <v>67.217060990003731</v>
      </c>
      <c r="W62" s="45">
        <f>IF(VALUE(RIGHT($E62,4))=W$2,0,'C&amp;F calcs'!$E$62*(1-$D62))</f>
        <v>67.217060990003731</v>
      </c>
      <c r="X62" s="45">
        <f>IF(VALUE(RIGHT($E62,4))=X$2,0,'C&amp;F calcs'!$E$62*(1-$D62))</f>
        <v>67.217060990003731</v>
      </c>
      <c r="Y62" s="45">
        <f>IF(VALUE(RIGHT($E62,4))=Y$2,0,'C&amp;F calcs'!$E$62*(1-$D62))</f>
        <v>67.217060990003731</v>
      </c>
      <c r="Z62" s="45">
        <f>IF(VALUE(RIGHT($E62,4))=Z$2,0,'C&amp;F calcs'!$E$62*(1-$D62))</f>
        <v>67.217060990003731</v>
      </c>
      <c r="AA62" s="45">
        <f>IF(VALUE(RIGHT($E62,4))=AA$2,0,'C&amp;F calcs'!$E$62*(1-$D62))</f>
        <v>67.217060990003731</v>
      </c>
      <c r="AB62" s="45">
        <f>IF(VALUE(RIGHT($E62,4))=AB$2,0,'C&amp;F calcs'!$E$62*(1-$D62))</f>
        <v>67.217060990003731</v>
      </c>
      <c r="AC62" s="45">
        <f>IF(VALUE(RIGHT($E62,4))=AC$2,0,'C&amp;F calcs'!$E$62*(1-$D62))</f>
        <v>67.217060990003731</v>
      </c>
      <c r="AD62" s="45">
        <f>IF(VALUE(RIGHT($E62,4))=AD$2,0,'C&amp;F calcs'!$E$62*(1-$D62))</f>
        <v>67.217060990003731</v>
      </c>
      <c r="AE62" s="45">
        <f>IF(VALUE(RIGHT($E62,4))=AE$2,0,'C&amp;F calcs'!$E$62*(1-$D62))</f>
        <v>67.217060990003731</v>
      </c>
      <c r="AF62" s="45">
        <f>IF(VALUE(RIGHT($E62,4))=AF$2,0,'C&amp;F calcs'!$E$62*(1-$D62))</f>
        <v>67.217060990003731</v>
      </c>
      <c r="AG62" s="45">
        <f>IF(VALUE(RIGHT($E62,4))=AG$2,0,'C&amp;F calcs'!$E$62*(1-$D62))</f>
        <v>67.217060990003731</v>
      </c>
      <c r="AH62" s="46">
        <f>IF(VALUE(RIGHT($E62,4))=AH$2,0,'C&amp;F calcs'!$E$62*(1-$D62))</f>
        <v>67.217060990003731</v>
      </c>
    </row>
    <row r="64" spans="1:34">
      <c r="B64" s="18" t="s">
        <v>132</v>
      </c>
      <c r="C64" s="15"/>
      <c r="D64" s="24"/>
      <c r="E64" s="24"/>
      <c r="F64" s="101"/>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9"/>
    </row>
    <row r="65" spans="1:36" s="155" customFormat="1" ht="30">
      <c r="A65" s="60"/>
      <c r="B65" s="65"/>
      <c r="C65" s="159" t="s">
        <v>78</v>
      </c>
      <c r="D65" s="67"/>
      <c r="E65" s="99" t="s">
        <v>213</v>
      </c>
      <c r="F65" s="160"/>
      <c r="G65" s="66"/>
      <c r="H65" s="66"/>
      <c r="I65" s="66"/>
      <c r="J65" s="161">
        <f>INDEX(J$55:J$62,MATCH($C65,$C$55:$C$62,0))</f>
        <v>162.25091587583236</v>
      </c>
      <c r="K65" s="161">
        <f t="shared" ref="K65:AH65" si="9">INDEX(K$55:K$62,MATCH($C65,$C$55:$C$62,0))</f>
        <v>162.25091587583236</v>
      </c>
      <c r="L65" s="161">
        <f t="shared" si="9"/>
        <v>162.25091587583236</v>
      </c>
      <c r="M65" s="161">
        <f t="shared" si="9"/>
        <v>162.25091587583236</v>
      </c>
      <c r="N65" s="161">
        <f t="shared" si="9"/>
        <v>162.25091587583236</v>
      </c>
      <c r="O65" s="161">
        <f t="shared" si="9"/>
        <v>162.25091587583236</v>
      </c>
      <c r="P65" s="161">
        <f t="shared" si="9"/>
        <v>162.25091587583236</v>
      </c>
      <c r="Q65" s="161">
        <f t="shared" si="9"/>
        <v>162.25091587583236</v>
      </c>
      <c r="R65" s="161">
        <f t="shared" si="9"/>
        <v>162.25091587583236</v>
      </c>
      <c r="S65" s="161">
        <f t="shared" si="9"/>
        <v>162.25091587583236</v>
      </c>
      <c r="T65" s="161">
        <f t="shared" si="9"/>
        <v>162.25091587583236</v>
      </c>
      <c r="U65" s="161">
        <f t="shared" si="9"/>
        <v>162.25091587583236</v>
      </c>
      <c r="V65" s="161">
        <f t="shared" si="9"/>
        <v>162.25091587583236</v>
      </c>
      <c r="W65" s="161">
        <f t="shared" si="9"/>
        <v>162.25091587583236</v>
      </c>
      <c r="X65" s="161">
        <f t="shared" si="9"/>
        <v>162.25091587583236</v>
      </c>
      <c r="Y65" s="161">
        <f t="shared" si="9"/>
        <v>162.25091587583236</v>
      </c>
      <c r="Z65" s="161">
        <f t="shared" si="9"/>
        <v>162.25091587583236</v>
      </c>
      <c r="AA65" s="161">
        <f t="shared" si="9"/>
        <v>162.25091587583236</v>
      </c>
      <c r="AB65" s="161">
        <f t="shared" si="9"/>
        <v>162.25091587583236</v>
      </c>
      <c r="AC65" s="161">
        <f t="shared" si="9"/>
        <v>162.25091587583236</v>
      </c>
      <c r="AD65" s="161">
        <f t="shared" si="9"/>
        <v>162.25091587583236</v>
      </c>
      <c r="AE65" s="161">
        <f t="shared" si="9"/>
        <v>162.25091587583236</v>
      </c>
      <c r="AF65" s="161">
        <f t="shared" si="9"/>
        <v>162.25091587583236</v>
      </c>
      <c r="AG65" s="161">
        <f t="shared" si="9"/>
        <v>162.25091587583236</v>
      </c>
      <c r="AH65" s="162">
        <f t="shared" si="9"/>
        <v>162.25091587583236</v>
      </c>
    </row>
    <row r="67" spans="1:36">
      <c r="B67" s="18" t="s">
        <v>67</v>
      </c>
      <c r="C67" s="15"/>
      <c r="D67" s="24"/>
      <c r="E67" s="24"/>
      <c r="F67" s="101"/>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9"/>
    </row>
    <row r="68" spans="1:36">
      <c r="B68" s="20"/>
      <c r="C68" s="21" t="s">
        <v>200</v>
      </c>
      <c r="D68" s="25"/>
      <c r="E68" s="190" t="s">
        <v>202</v>
      </c>
      <c r="F68" s="119">
        <v>2.5000000000000001E-2</v>
      </c>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6"/>
    </row>
    <row r="69" spans="1:36" s="9" customFormat="1" ht="33" customHeight="1">
      <c r="A69" s="60"/>
      <c r="B69" s="65"/>
      <c r="C69" s="66" t="s">
        <v>201</v>
      </c>
      <c r="D69" s="67" t="s">
        <v>85</v>
      </c>
      <c r="E69" s="192"/>
      <c r="F69" s="108"/>
      <c r="G69" s="145">
        <f>1*(1+$F$68)^4</f>
        <v>1.1038128906249998</v>
      </c>
      <c r="H69" s="145">
        <f>G69*(1+$F$68)</f>
        <v>1.1314082128906247</v>
      </c>
      <c r="I69" s="145">
        <f t="shared" ref="I69:AH69" si="10">H69*(1+$F$68)</f>
        <v>1.1596934182128902</v>
      </c>
      <c r="J69" s="145">
        <f t="shared" si="10"/>
        <v>1.1886857536682123</v>
      </c>
      <c r="K69" s="145">
        <f t="shared" si="10"/>
        <v>1.2184028975099175</v>
      </c>
      <c r="L69" s="145">
        <f t="shared" si="10"/>
        <v>1.2488629699476652</v>
      </c>
      <c r="M69" s="145">
        <f t="shared" si="10"/>
        <v>1.2800845441963566</v>
      </c>
      <c r="N69" s="145">
        <f t="shared" si="10"/>
        <v>1.3120866578012655</v>
      </c>
      <c r="O69" s="145">
        <f t="shared" si="10"/>
        <v>1.3448888242462971</v>
      </c>
      <c r="P69" s="145">
        <f t="shared" si="10"/>
        <v>1.3785110448524545</v>
      </c>
      <c r="Q69" s="145">
        <f t="shared" si="10"/>
        <v>1.4129738209737657</v>
      </c>
      <c r="R69" s="145">
        <f t="shared" si="10"/>
        <v>1.4482981664981096</v>
      </c>
      <c r="S69" s="145">
        <f t="shared" si="10"/>
        <v>1.4845056206605622</v>
      </c>
      <c r="T69" s="145">
        <f t="shared" si="10"/>
        <v>1.5216182611770761</v>
      </c>
      <c r="U69" s="145">
        <f t="shared" si="10"/>
        <v>1.5596587177065029</v>
      </c>
      <c r="V69" s="145">
        <f t="shared" si="10"/>
        <v>1.5986501856491653</v>
      </c>
      <c r="W69" s="145">
        <f t="shared" si="10"/>
        <v>1.6386164402903942</v>
      </c>
      <c r="X69" s="145">
        <f t="shared" si="10"/>
        <v>1.6795818512976539</v>
      </c>
      <c r="Y69" s="145">
        <f t="shared" si="10"/>
        <v>1.721571397580095</v>
      </c>
      <c r="Z69" s="145">
        <f t="shared" si="10"/>
        <v>1.7646106825195973</v>
      </c>
      <c r="AA69" s="145">
        <f t="shared" si="10"/>
        <v>1.8087259495825871</v>
      </c>
      <c r="AB69" s="145">
        <f t="shared" si="10"/>
        <v>1.8539440983221516</v>
      </c>
      <c r="AC69" s="145">
        <f t="shared" si="10"/>
        <v>1.9002927007802053</v>
      </c>
      <c r="AD69" s="145">
        <f t="shared" si="10"/>
        <v>1.9478000182997102</v>
      </c>
      <c r="AE69" s="145">
        <f t="shared" si="10"/>
        <v>1.9964950187572028</v>
      </c>
      <c r="AF69" s="145">
        <f t="shared" si="10"/>
        <v>2.0464073942261325</v>
      </c>
      <c r="AG69" s="145">
        <f t="shared" si="10"/>
        <v>2.0975675790817858</v>
      </c>
      <c r="AH69" s="145">
        <f t="shared" si="10"/>
        <v>2.1500067685588302</v>
      </c>
      <c r="AI69" s="145">
        <f>AH69*(1+$F$68)</f>
        <v>2.2037569377728006</v>
      </c>
      <c r="AJ69" s="146">
        <f>AI69*(1+$F$68)</f>
        <v>2.2588508612171205</v>
      </c>
    </row>
    <row r="71" spans="1:36">
      <c r="B71" s="18" t="s">
        <v>180</v>
      </c>
      <c r="C71" s="15"/>
      <c r="D71" s="15"/>
      <c r="E71" s="15"/>
      <c r="F71" s="19"/>
      <c r="G71" s="137"/>
    </row>
    <row r="72" spans="1:36">
      <c r="B72" s="20"/>
      <c r="C72" s="21" t="s">
        <v>181</v>
      </c>
      <c r="D72" s="21"/>
      <c r="E72" s="77" t="str">
        <f>CONCATENATE("We are proposing ",F72,"-year assessment periods with a financeability test: within period")</f>
        <v>We are proposing 5-year assessment periods with a financeability test: within period</v>
      </c>
      <c r="F72" s="138">
        <v>5</v>
      </c>
      <c r="G72" s="137"/>
    </row>
    <row r="73" spans="1:36">
      <c r="B73" s="22"/>
      <c r="C73" s="16" t="s">
        <v>182</v>
      </c>
      <c r="D73" s="16"/>
      <c r="E73" s="78" t="str">
        <f>CONCATENATE("We are proposing ",LOWER(F73)," periodic assessments rather than cumulative periodic assessments")</f>
        <v>We are proposing discrete periodic assessments rather than cumulative periodic assessments</v>
      </c>
      <c r="F73" s="136" t="s">
        <v>183</v>
      </c>
      <c r="G73" s="137"/>
    </row>
  </sheetData>
  <mergeCells count="4">
    <mergeCell ref="E5:E6"/>
    <mergeCell ref="E17:E20"/>
    <mergeCell ref="E12:E14"/>
    <mergeCell ref="E68:E69"/>
  </mergeCells>
  <dataValidations count="1">
    <dataValidation type="list" allowBlank="1" showInputMessage="1" showErrorMessage="1" sqref="C65">
      <formula1>$C$55:$C$62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AG70"/>
  <sheetViews>
    <sheetView showGridLines="0" zoomScale="80" zoomScaleNormal="80" workbookViewId="0">
      <pane xSplit="4" ySplit="4" topLeftCell="E35" activePane="bottomRight" state="frozen"/>
      <selection pane="topRight"/>
      <selection pane="bottomLeft"/>
      <selection pane="bottomRight" activeCell="D61" sqref="D61"/>
    </sheetView>
  </sheetViews>
  <sheetFormatPr defaultRowHeight="15"/>
  <cols>
    <col min="1" max="1" width="2.7109375" style="1" customWidth="1"/>
    <col min="2" max="2" width="2.7109375" style="2" customWidth="1"/>
    <col min="3" max="3" width="29" customWidth="1"/>
    <col min="8" max="8" width="12.85546875" customWidth="1"/>
  </cols>
  <sheetData>
    <row r="1" spans="1:33">
      <c r="A1" t="s">
        <v>97</v>
      </c>
      <c r="E1" t="s">
        <v>5</v>
      </c>
      <c r="F1" t="s">
        <v>6</v>
      </c>
      <c r="G1" t="s">
        <v>7</v>
      </c>
      <c r="H1" t="s">
        <v>8</v>
      </c>
      <c r="I1" t="s">
        <v>10</v>
      </c>
      <c r="J1" t="s">
        <v>11</v>
      </c>
      <c r="K1" t="s">
        <v>12</v>
      </c>
      <c r="L1" t="s">
        <v>13</v>
      </c>
      <c r="M1" t="s">
        <v>14</v>
      </c>
      <c r="N1" t="s">
        <v>15</v>
      </c>
      <c r="O1" t="s">
        <v>16</v>
      </c>
      <c r="P1" t="s">
        <v>17</v>
      </c>
      <c r="Q1" t="s">
        <v>18</v>
      </c>
      <c r="R1" t="s">
        <v>19</v>
      </c>
      <c r="S1" t="s">
        <v>20</v>
      </c>
      <c r="T1" t="s">
        <v>21</v>
      </c>
      <c r="U1" t="s">
        <v>22</v>
      </c>
      <c r="V1" t="s">
        <v>23</v>
      </c>
      <c r="W1" t="s">
        <v>24</v>
      </c>
      <c r="X1" t="s">
        <v>25</v>
      </c>
      <c r="Y1" t="s">
        <v>26</v>
      </c>
      <c r="Z1" t="s">
        <v>27</v>
      </c>
      <c r="AA1" t="s">
        <v>28</v>
      </c>
      <c r="AB1" t="s">
        <v>29</v>
      </c>
      <c r="AC1" t="s">
        <v>30</v>
      </c>
      <c r="AD1" t="s">
        <v>31</v>
      </c>
      <c r="AE1" t="s">
        <v>32</v>
      </c>
      <c r="AF1" t="s">
        <v>33</v>
      </c>
      <c r="AG1" t="s">
        <v>34</v>
      </c>
    </row>
    <row r="2" spans="1:33">
      <c r="D2" s="54" t="s">
        <v>128</v>
      </c>
      <c r="I2">
        <v>1</v>
      </c>
      <c r="J2">
        <f>I2+1</f>
        <v>2</v>
      </c>
      <c r="K2">
        <f t="shared" ref="K2:AG2" si="0">J2+1</f>
        <v>3</v>
      </c>
      <c r="L2">
        <f t="shared" si="0"/>
        <v>4</v>
      </c>
      <c r="M2">
        <f t="shared" si="0"/>
        <v>5</v>
      </c>
      <c r="N2">
        <f t="shared" si="0"/>
        <v>6</v>
      </c>
      <c r="O2">
        <f t="shared" si="0"/>
        <v>7</v>
      </c>
      <c r="P2">
        <f t="shared" si="0"/>
        <v>8</v>
      </c>
      <c r="Q2">
        <f t="shared" si="0"/>
        <v>9</v>
      </c>
      <c r="R2">
        <f t="shared" si="0"/>
        <v>10</v>
      </c>
      <c r="S2">
        <f t="shared" si="0"/>
        <v>11</v>
      </c>
      <c r="T2">
        <f t="shared" si="0"/>
        <v>12</v>
      </c>
      <c r="U2">
        <f t="shared" si="0"/>
        <v>13</v>
      </c>
      <c r="V2">
        <f t="shared" si="0"/>
        <v>14</v>
      </c>
      <c r="W2">
        <f t="shared" si="0"/>
        <v>15</v>
      </c>
      <c r="X2">
        <f t="shared" si="0"/>
        <v>16</v>
      </c>
      <c r="Y2">
        <f t="shared" si="0"/>
        <v>17</v>
      </c>
      <c r="Z2">
        <f t="shared" si="0"/>
        <v>18</v>
      </c>
      <c r="AA2">
        <f t="shared" si="0"/>
        <v>19</v>
      </c>
      <c r="AB2">
        <f t="shared" si="0"/>
        <v>20</v>
      </c>
      <c r="AC2">
        <f t="shared" si="0"/>
        <v>21</v>
      </c>
      <c r="AD2">
        <f t="shared" si="0"/>
        <v>22</v>
      </c>
      <c r="AE2">
        <f t="shared" si="0"/>
        <v>23</v>
      </c>
      <c r="AF2">
        <f t="shared" si="0"/>
        <v>24</v>
      </c>
      <c r="AG2">
        <f t="shared" si="0"/>
        <v>25</v>
      </c>
    </row>
    <row r="3" spans="1:33">
      <c r="D3" s="54" t="s">
        <v>129</v>
      </c>
      <c r="I3">
        <f>IF(MOD(I2,'Other inputs'!$F$72)=0,1,0)</f>
        <v>0</v>
      </c>
      <c r="J3">
        <f>IF(MOD(J2,'Other inputs'!$F$72)=0,1,0)</f>
        <v>0</v>
      </c>
      <c r="K3">
        <f>IF(MOD(K2,'Other inputs'!$F$72)=0,1,0)</f>
        <v>0</v>
      </c>
      <c r="L3">
        <f>IF(MOD(L2,'Other inputs'!$F$72)=0,1,0)</f>
        <v>0</v>
      </c>
      <c r="M3">
        <f>IF(MOD(M2,'Other inputs'!$F$72)=0,1,0)</f>
        <v>1</v>
      </c>
      <c r="N3">
        <f>IF(MOD(N2,'Other inputs'!$F$72)=0,1,0)</f>
        <v>0</v>
      </c>
      <c r="O3">
        <f>IF(MOD(O2,'Other inputs'!$F$72)=0,1,0)</f>
        <v>0</v>
      </c>
      <c r="P3">
        <f>IF(MOD(P2,'Other inputs'!$F$72)=0,1,0)</f>
        <v>0</v>
      </c>
      <c r="Q3">
        <f>IF(MOD(Q2,'Other inputs'!$F$72)=0,1,0)</f>
        <v>0</v>
      </c>
      <c r="R3">
        <f>IF(MOD(R2,'Other inputs'!$F$72)=0,1,0)</f>
        <v>1</v>
      </c>
      <c r="S3">
        <f>IF(MOD(S2,'Other inputs'!$F$72)=0,1,0)</f>
        <v>0</v>
      </c>
      <c r="T3">
        <f>IF(MOD(T2,'Other inputs'!$F$72)=0,1,0)</f>
        <v>0</v>
      </c>
      <c r="U3">
        <f>IF(MOD(U2,'Other inputs'!$F$72)=0,1,0)</f>
        <v>0</v>
      </c>
      <c r="V3">
        <f>IF(MOD(V2,'Other inputs'!$F$72)=0,1,0)</f>
        <v>0</v>
      </c>
      <c r="W3">
        <f>IF(MOD(W2,'Other inputs'!$F$72)=0,1,0)</f>
        <v>1</v>
      </c>
      <c r="X3">
        <f>IF(MOD(X2,'Other inputs'!$F$72)=0,1,0)</f>
        <v>0</v>
      </c>
      <c r="Y3">
        <f>IF(MOD(Y2,'Other inputs'!$F$72)=0,1,0)</f>
        <v>0</v>
      </c>
      <c r="Z3">
        <f>IF(MOD(Z2,'Other inputs'!$F$72)=0,1,0)</f>
        <v>0</v>
      </c>
      <c r="AA3">
        <f>IF(MOD(AA2,'Other inputs'!$F$72)=0,1,0)</f>
        <v>0</v>
      </c>
      <c r="AB3">
        <f>IF(MOD(AB2,'Other inputs'!$F$72)=0,1,0)</f>
        <v>1</v>
      </c>
      <c r="AC3">
        <f>IF(MOD(AC2,'Other inputs'!$F$72)=0,1,0)</f>
        <v>0</v>
      </c>
      <c r="AD3">
        <f>IF(MOD(AD2,'Other inputs'!$F$72)=0,1,0)</f>
        <v>0</v>
      </c>
      <c r="AE3">
        <f>IF(MOD(AE2,'Other inputs'!$F$72)=0,1,0)</f>
        <v>0</v>
      </c>
      <c r="AF3">
        <f>IF(MOD(AF2,'Other inputs'!$F$72)=0,1,0)</f>
        <v>0</v>
      </c>
      <c r="AG3">
        <f>IF(MOD(AG2,'Other inputs'!$F$72)=0,1,0)</f>
        <v>1</v>
      </c>
    </row>
    <row r="4" spans="1:33">
      <c r="F4">
        <v>2015</v>
      </c>
      <c r="G4">
        <v>2016</v>
      </c>
      <c r="H4">
        <v>2017</v>
      </c>
      <c r="I4">
        <v>2018</v>
      </c>
      <c r="J4">
        <v>2019</v>
      </c>
      <c r="K4">
        <v>2020</v>
      </c>
      <c r="L4">
        <v>2021</v>
      </c>
      <c r="M4">
        <v>2022</v>
      </c>
      <c r="N4">
        <v>2023</v>
      </c>
      <c r="O4">
        <v>2024</v>
      </c>
      <c r="P4">
        <v>2025</v>
      </c>
      <c r="Q4">
        <v>2026</v>
      </c>
      <c r="R4">
        <v>2027</v>
      </c>
      <c r="S4">
        <v>2028</v>
      </c>
      <c r="T4">
        <v>2029</v>
      </c>
      <c r="U4">
        <v>2030</v>
      </c>
      <c r="V4">
        <v>2031</v>
      </c>
      <c r="W4">
        <v>2032</v>
      </c>
      <c r="X4">
        <v>2033</v>
      </c>
      <c r="Y4">
        <v>2034</v>
      </c>
      <c r="Z4">
        <v>2035</v>
      </c>
      <c r="AA4">
        <v>2036</v>
      </c>
      <c r="AB4">
        <v>2037</v>
      </c>
      <c r="AC4">
        <v>2038</v>
      </c>
      <c r="AD4">
        <v>2039</v>
      </c>
      <c r="AE4">
        <v>2040</v>
      </c>
      <c r="AF4">
        <v>2041</v>
      </c>
      <c r="AG4">
        <v>2042</v>
      </c>
    </row>
    <row r="5" spans="1:33">
      <c r="A5" s="1" t="s">
        <v>65</v>
      </c>
    </row>
    <row r="6" spans="1:33">
      <c r="B6" s="18" t="str">
        <f>CONCATENATE('Other inputs'!$F$23," year assets")</f>
        <v>25 year assets</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9"/>
    </row>
    <row r="7" spans="1:33">
      <c r="B7" s="20"/>
      <c r="C7" s="21" t="s">
        <v>35</v>
      </c>
      <c r="D7" s="21"/>
      <c r="E7" s="44"/>
      <c r="F7" s="44">
        <f>IF(F$2=1,E11+E12,E11)</f>
        <v>0</v>
      </c>
      <c r="G7" s="44">
        <f t="shared" ref="G7:AG7" si="1">IF(G$2=1,F11+F12,F11)</f>
        <v>314.14999999999998</v>
      </c>
      <c r="H7" s="44">
        <f t="shared" si="1"/>
        <v>750.149</v>
      </c>
      <c r="I7" s="44">
        <f t="shared" si="1"/>
        <v>1178.6396862499998</v>
      </c>
      <c r="J7" s="44">
        <f t="shared" si="1"/>
        <v>1131.4940987999998</v>
      </c>
      <c r="K7" s="44">
        <f t="shared" si="1"/>
        <v>1084.3485113499999</v>
      </c>
      <c r="L7" s="44">
        <f t="shared" si="1"/>
        <v>1037.2029238999999</v>
      </c>
      <c r="M7" s="44">
        <f t="shared" si="1"/>
        <v>990.05733644999987</v>
      </c>
      <c r="N7" s="44">
        <f t="shared" si="1"/>
        <v>942.91174899999987</v>
      </c>
      <c r="O7" s="44">
        <f t="shared" si="1"/>
        <v>895.76616154999988</v>
      </c>
      <c r="P7" s="44">
        <f t="shared" si="1"/>
        <v>848.62057409999989</v>
      </c>
      <c r="Q7" s="44">
        <f t="shared" si="1"/>
        <v>801.47498664999989</v>
      </c>
      <c r="R7" s="44">
        <f t="shared" si="1"/>
        <v>754.3293991999999</v>
      </c>
      <c r="S7" s="44">
        <f t="shared" si="1"/>
        <v>707.1838117499999</v>
      </c>
      <c r="T7" s="44">
        <f t="shared" si="1"/>
        <v>660.03822429999991</v>
      </c>
      <c r="U7" s="44">
        <f t="shared" si="1"/>
        <v>612.89263684999992</v>
      </c>
      <c r="V7" s="44">
        <f t="shared" si="1"/>
        <v>565.74704939999992</v>
      </c>
      <c r="W7" s="44">
        <f t="shared" si="1"/>
        <v>518.60146194999993</v>
      </c>
      <c r="X7" s="44">
        <f t="shared" si="1"/>
        <v>471.45587449999994</v>
      </c>
      <c r="Y7" s="44">
        <f t="shared" si="1"/>
        <v>424.31028704999994</v>
      </c>
      <c r="Z7" s="44">
        <f t="shared" si="1"/>
        <v>377.16469959999995</v>
      </c>
      <c r="AA7" s="44">
        <f t="shared" si="1"/>
        <v>330.01911214999996</v>
      </c>
      <c r="AB7" s="44">
        <f t="shared" si="1"/>
        <v>282.87352469999996</v>
      </c>
      <c r="AC7" s="44">
        <f t="shared" si="1"/>
        <v>235.72793724999997</v>
      </c>
      <c r="AD7" s="44">
        <f t="shared" si="1"/>
        <v>188.58234979999997</v>
      </c>
      <c r="AE7" s="44">
        <f t="shared" si="1"/>
        <v>141.43676234999998</v>
      </c>
      <c r="AF7" s="44">
        <f t="shared" si="1"/>
        <v>94.291174899999987</v>
      </c>
      <c r="AG7" s="44">
        <f t="shared" si="1"/>
        <v>47.145587449999994</v>
      </c>
    </row>
    <row r="8" spans="1:33">
      <c r="B8" s="20"/>
      <c r="C8" s="21" t="s">
        <v>48</v>
      </c>
      <c r="D8" s="21"/>
      <c r="E8" s="44">
        <f>SUM(F8:AG8)</f>
        <v>1015</v>
      </c>
      <c r="F8" s="44">
        <f>'Other inputs'!G5+'Other inputs'!G7</f>
        <v>305</v>
      </c>
      <c r="G8" s="44">
        <f>'Other inputs'!H5+'Other inputs'!H7</f>
        <v>405</v>
      </c>
      <c r="H8" s="44">
        <f>'Other inputs'!I5+'Other inputs'!I7</f>
        <v>305</v>
      </c>
      <c r="I8" s="44">
        <f>'Other inputs'!J5+'Other inputs'!J7</f>
        <v>0</v>
      </c>
      <c r="J8" s="44">
        <f>'Other inputs'!K5+'Other inputs'!K7</f>
        <v>0</v>
      </c>
      <c r="K8" s="44">
        <f>'Other inputs'!L5+'Other inputs'!L7</f>
        <v>0</v>
      </c>
      <c r="L8" s="44">
        <f>'Other inputs'!M5+'Other inputs'!M7</f>
        <v>0</v>
      </c>
      <c r="M8" s="44">
        <f>'Other inputs'!N5+'Other inputs'!N7</f>
        <v>0</v>
      </c>
      <c r="N8" s="44">
        <f>'Other inputs'!O5+'Other inputs'!O7</f>
        <v>0</v>
      </c>
      <c r="O8" s="44">
        <f>'Other inputs'!P5+'Other inputs'!P7</f>
        <v>0</v>
      </c>
      <c r="P8" s="44">
        <f>'Other inputs'!Q5+'Other inputs'!Q7</f>
        <v>0</v>
      </c>
      <c r="Q8" s="44">
        <f>'Other inputs'!R5+'Other inputs'!R7</f>
        <v>0</v>
      </c>
      <c r="R8" s="44">
        <f>'Other inputs'!S5+'Other inputs'!S7</f>
        <v>0</v>
      </c>
      <c r="S8" s="44">
        <f>'Other inputs'!T5+'Other inputs'!T7</f>
        <v>0</v>
      </c>
      <c r="T8" s="44">
        <f>'Other inputs'!U5+'Other inputs'!U7</f>
        <v>0</v>
      </c>
      <c r="U8" s="44">
        <f>'Other inputs'!V5+'Other inputs'!V7</f>
        <v>0</v>
      </c>
      <c r="V8" s="44">
        <f>'Other inputs'!W5+'Other inputs'!W7</f>
        <v>0</v>
      </c>
      <c r="W8" s="44">
        <f>'Other inputs'!X5+'Other inputs'!X7</f>
        <v>0</v>
      </c>
      <c r="X8" s="44">
        <f>'Other inputs'!Y5+'Other inputs'!Y7</f>
        <v>0</v>
      </c>
      <c r="Y8" s="44">
        <f>'Other inputs'!Z5+'Other inputs'!Z7</f>
        <v>0</v>
      </c>
      <c r="Z8" s="44">
        <f>'Other inputs'!AA5+'Other inputs'!AA7</f>
        <v>0</v>
      </c>
      <c r="AA8" s="44">
        <f>'Other inputs'!AB5+'Other inputs'!AB7</f>
        <v>0</v>
      </c>
      <c r="AB8" s="44">
        <f>'Other inputs'!AC5+'Other inputs'!AC7</f>
        <v>0</v>
      </c>
      <c r="AC8" s="44">
        <f>'Other inputs'!AD5+'Other inputs'!AD7</f>
        <v>0</v>
      </c>
      <c r="AD8" s="44">
        <f>'Other inputs'!AE5+'Other inputs'!AE7</f>
        <v>0</v>
      </c>
      <c r="AE8" s="44">
        <f>'Other inputs'!AF5+'Other inputs'!AF7</f>
        <v>0</v>
      </c>
      <c r="AF8" s="44">
        <f>'Other inputs'!AG5+'Other inputs'!AG7</f>
        <v>0</v>
      </c>
      <c r="AG8" s="39">
        <f>'Other inputs'!AH5+'Other inputs'!AH7</f>
        <v>0</v>
      </c>
    </row>
    <row r="9" spans="1:33">
      <c r="B9" s="20"/>
      <c r="C9" s="21" t="s">
        <v>49</v>
      </c>
      <c r="D9" s="21"/>
      <c r="E9" s="44"/>
      <c r="F9" s="44">
        <f>IF(F$2&lt;1,,SUM($E8,$E10,$E12)/'Other inputs'!$F$23)</f>
        <v>0</v>
      </c>
      <c r="G9" s="44">
        <f>IF(G$2&lt;1,,SUM($E8,$E10,$E12)/'Other inputs'!$F$23)</f>
        <v>0</v>
      </c>
      <c r="H9" s="44">
        <f>IF(H$2&lt;1,,SUM($E8,$E10,$E12)/'Other inputs'!$F$23)</f>
        <v>0</v>
      </c>
      <c r="I9" s="44">
        <f>IF(I$2&lt;1,,SUM($E8,$E10,$E12)/'Other inputs'!$F$23)</f>
        <v>47.145587449999994</v>
      </c>
      <c r="J9" s="44">
        <f>IF(J$2&lt;1,,SUM($E8,$E10,$E12)/'Other inputs'!$F$23)</f>
        <v>47.145587449999994</v>
      </c>
      <c r="K9" s="44">
        <f>IF(K$2&lt;1,,SUM($E8,$E10,$E12)/'Other inputs'!$F$23)</f>
        <v>47.145587449999994</v>
      </c>
      <c r="L9" s="44">
        <f>IF(L$2&lt;1,,SUM($E8,$E10,$E12)/'Other inputs'!$F$23)</f>
        <v>47.145587449999994</v>
      </c>
      <c r="M9" s="44">
        <f>IF(M$2&lt;1,,SUM($E8,$E10,$E12)/'Other inputs'!$F$23)</f>
        <v>47.145587449999994</v>
      </c>
      <c r="N9" s="44">
        <f>IF(N$2&lt;1,,SUM($E8,$E10,$E12)/'Other inputs'!$F$23)</f>
        <v>47.145587449999994</v>
      </c>
      <c r="O9" s="44">
        <f>IF(O$2&lt;1,,SUM($E8,$E10,$E12)/'Other inputs'!$F$23)</f>
        <v>47.145587449999994</v>
      </c>
      <c r="P9" s="44">
        <f>IF(P$2&lt;1,,SUM($E8,$E10,$E12)/'Other inputs'!$F$23)</f>
        <v>47.145587449999994</v>
      </c>
      <c r="Q9" s="44">
        <f>IF(Q$2&lt;1,,SUM($E8,$E10,$E12)/'Other inputs'!$F$23)</f>
        <v>47.145587449999994</v>
      </c>
      <c r="R9" s="44">
        <f>IF(R$2&lt;1,,SUM($E8,$E10,$E12)/'Other inputs'!$F$23)</f>
        <v>47.145587449999994</v>
      </c>
      <c r="S9" s="44">
        <f>IF(S$2&lt;1,,SUM($E8,$E10,$E12)/'Other inputs'!$F$23)</f>
        <v>47.145587449999994</v>
      </c>
      <c r="T9" s="44">
        <f>IF(T$2&lt;1,,SUM($E8,$E10,$E12)/'Other inputs'!$F$23)</f>
        <v>47.145587449999994</v>
      </c>
      <c r="U9" s="44">
        <f>IF(U$2&lt;1,,SUM($E8,$E10,$E12)/'Other inputs'!$F$23)</f>
        <v>47.145587449999994</v>
      </c>
      <c r="V9" s="44">
        <f>IF(V$2&lt;1,,SUM($E8,$E10,$E12)/'Other inputs'!$F$23)</f>
        <v>47.145587449999994</v>
      </c>
      <c r="W9" s="44">
        <f>IF(W$2&lt;1,,SUM($E8,$E10,$E12)/'Other inputs'!$F$23)</f>
        <v>47.145587449999994</v>
      </c>
      <c r="X9" s="44">
        <f>IF(X$2&lt;1,,SUM($E8,$E10,$E12)/'Other inputs'!$F$23)</f>
        <v>47.145587449999994</v>
      </c>
      <c r="Y9" s="44">
        <f>IF(Y$2&lt;1,,SUM($E8,$E10,$E12)/'Other inputs'!$F$23)</f>
        <v>47.145587449999994</v>
      </c>
      <c r="Z9" s="44">
        <f>IF(Z$2&lt;1,,SUM($E8,$E10,$E12)/'Other inputs'!$F$23)</f>
        <v>47.145587449999994</v>
      </c>
      <c r="AA9" s="44">
        <f>IF(AA$2&lt;1,,SUM($E8,$E10,$E12)/'Other inputs'!$F$23)</f>
        <v>47.145587449999994</v>
      </c>
      <c r="AB9" s="44">
        <f>IF(AB$2&lt;1,,SUM($E8,$E10,$E12)/'Other inputs'!$F$23)</f>
        <v>47.145587449999994</v>
      </c>
      <c r="AC9" s="44">
        <f>IF(AC$2&lt;1,,SUM($E8,$E10,$E12)/'Other inputs'!$F$23)</f>
        <v>47.145587449999994</v>
      </c>
      <c r="AD9" s="44">
        <f>IF(AD$2&lt;1,,SUM($E8,$E10,$E12)/'Other inputs'!$F$23)</f>
        <v>47.145587449999994</v>
      </c>
      <c r="AE9" s="44">
        <f>IF(AE$2&lt;1,,SUM($E8,$E10,$E12)/'Other inputs'!$F$23)</f>
        <v>47.145587449999994</v>
      </c>
      <c r="AF9" s="44">
        <f>IF(AF$2&lt;1,,SUM($E8,$E10,$E12)/'Other inputs'!$F$23)</f>
        <v>47.145587449999994</v>
      </c>
      <c r="AG9" s="39">
        <f>IF(AG$2&lt;1,,SUM($E8,$E10,$E12)/'Other inputs'!$F$23)</f>
        <v>47.145587449999994</v>
      </c>
    </row>
    <row r="10" spans="1:33">
      <c r="B10" s="20"/>
      <c r="C10" s="21" t="s">
        <v>177</v>
      </c>
      <c r="D10" s="21"/>
      <c r="E10" s="44">
        <f>SUM(F10:H10)</f>
        <v>94.307940000000002</v>
      </c>
      <c r="F10" s="44">
        <f>IF(F$2&lt;1,(F7+F8/2)*'CoC inputs'!$G$20,)</f>
        <v>9.15</v>
      </c>
      <c r="G10" s="44">
        <f>IF(G$2&lt;1,(G7+G8/2)*'CoC inputs'!$G$20,)</f>
        <v>30.998999999999999</v>
      </c>
      <c r="H10" s="44">
        <f>IF(H$2&lt;1,(H7+H8/2)*'CoC inputs'!$G$20,)</f>
        <v>54.158940000000001</v>
      </c>
      <c r="I10" s="44">
        <f>IF(I$2&lt;1,(I7+I8/2)*'CoC inputs'!$G$20,)</f>
        <v>0</v>
      </c>
      <c r="J10" s="44">
        <f>IF(J$2&lt;1,(J7+J8/2)*'CoC inputs'!$G$20,)</f>
        <v>0</v>
      </c>
      <c r="K10" s="44">
        <f>IF(K$2&lt;1,(K7+K8/2)*'CoC inputs'!$G$20,)</f>
        <v>0</v>
      </c>
      <c r="L10" s="44">
        <f>IF(L$2&lt;1,(L7+L8/2)*'CoC inputs'!$G$20,)</f>
        <v>0</v>
      </c>
      <c r="M10" s="44">
        <f>IF(M$2&lt;1,(M7+M8/2)*'CoC inputs'!$G$20,)</f>
        <v>0</v>
      </c>
      <c r="N10" s="44">
        <f>IF(N$2&lt;1,(N7+N8/2)*'CoC inputs'!$G$20,)</f>
        <v>0</v>
      </c>
      <c r="O10" s="44">
        <f>IF(O$2&lt;1,(O7+O8/2)*'CoC inputs'!$G$20,)</f>
        <v>0</v>
      </c>
      <c r="P10" s="44">
        <f>IF(P$2&lt;1,(P7+P8/2)*'CoC inputs'!$G$20,)</f>
        <v>0</v>
      </c>
      <c r="Q10" s="44">
        <f>IF(Q$2&lt;1,(Q7+Q8/2)*'CoC inputs'!$G$20,)</f>
        <v>0</v>
      </c>
      <c r="R10" s="44">
        <f>IF(R$2&lt;1,(R7+R8/2)*'CoC inputs'!$G$20,)</f>
        <v>0</v>
      </c>
      <c r="S10" s="44">
        <f>IF(S$2&lt;1,(S7+S8/2)*'CoC inputs'!$G$20,)</f>
        <v>0</v>
      </c>
      <c r="T10" s="44">
        <f>IF(T$2&lt;1,(T7+T8/2)*'CoC inputs'!$G$20,)</f>
        <v>0</v>
      </c>
      <c r="U10" s="44">
        <f>IF(U$2&lt;1,(U7+U8/2)*'CoC inputs'!$G$20,)</f>
        <v>0</v>
      </c>
      <c r="V10" s="44">
        <f>IF(V$2&lt;1,(V7+V8/2)*'CoC inputs'!$G$20,)</f>
        <v>0</v>
      </c>
      <c r="W10" s="44">
        <f>IF(W$2&lt;1,(W7+W8/2)*'CoC inputs'!$G$20,)</f>
        <v>0</v>
      </c>
      <c r="X10" s="44">
        <f>IF(X$2&lt;1,(X7+X8/2)*'CoC inputs'!$G$20,)</f>
        <v>0</v>
      </c>
      <c r="Y10" s="44">
        <f>IF(Y$2&lt;1,(Y7+Y8/2)*'CoC inputs'!$G$20,)</f>
        <v>0</v>
      </c>
      <c r="Z10" s="44">
        <f>IF(Z$2&lt;1,(Z7+Z8/2)*'CoC inputs'!$G$20,)</f>
        <v>0</v>
      </c>
      <c r="AA10" s="44">
        <f>IF(AA$2&lt;1,(AA7+AA8/2)*'CoC inputs'!$G$20,)</f>
        <v>0</v>
      </c>
      <c r="AB10" s="44">
        <f>IF(AB$2&lt;1,(AB7+AB8/2)*'CoC inputs'!$G$20,)</f>
        <v>0</v>
      </c>
      <c r="AC10" s="44">
        <f>IF(AC$2&lt;1,(AC7+AC8/2)*'CoC inputs'!$G$20,)</f>
        <v>0</v>
      </c>
      <c r="AD10" s="44">
        <f>IF(AD$2&lt;1,(AD7+AD8/2)*'CoC inputs'!$G$20,)</f>
        <v>0</v>
      </c>
      <c r="AE10" s="44">
        <f>IF(AE$2&lt;1,(AE7+AE8/2)*'CoC inputs'!$G$20,)</f>
        <v>0</v>
      </c>
      <c r="AF10" s="44">
        <f>IF(AF$2&lt;1,(AF7+AF8/2)*'CoC inputs'!$G$20,)</f>
        <v>0</v>
      </c>
      <c r="AG10" s="39">
        <f>IF(AG$2&lt;1,(AG7+AG8/2)*'CoC inputs'!$G$20,)</f>
        <v>0</v>
      </c>
    </row>
    <row r="11" spans="1:33">
      <c r="B11" s="20"/>
      <c r="C11" s="21" t="s">
        <v>37</v>
      </c>
      <c r="D11" s="21"/>
      <c r="E11" s="44"/>
      <c r="F11" s="44">
        <f>F7+F8-F9+F10</f>
        <v>314.14999999999998</v>
      </c>
      <c r="G11" s="44">
        <f t="shared" ref="G11:AG11" si="2">G7+G8-G9+G10</f>
        <v>750.149</v>
      </c>
      <c r="H11" s="44">
        <f t="shared" si="2"/>
        <v>1109.3079399999999</v>
      </c>
      <c r="I11" s="44">
        <f t="shared" si="2"/>
        <v>1131.4940987999998</v>
      </c>
      <c r="J11" s="44">
        <f t="shared" si="2"/>
        <v>1084.3485113499999</v>
      </c>
      <c r="K11" s="44">
        <f t="shared" si="2"/>
        <v>1037.2029238999999</v>
      </c>
      <c r="L11" s="44">
        <f t="shared" si="2"/>
        <v>990.05733644999987</v>
      </c>
      <c r="M11" s="44">
        <f t="shared" si="2"/>
        <v>942.91174899999987</v>
      </c>
      <c r="N11" s="44">
        <f t="shared" si="2"/>
        <v>895.76616154999988</v>
      </c>
      <c r="O11" s="44">
        <f t="shared" si="2"/>
        <v>848.62057409999989</v>
      </c>
      <c r="P11" s="44">
        <f t="shared" si="2"/>
        <v>801.47498664999989</v>
      </c>
      <c r="Q11" s="44">
        <f t="shared" si="2"/>
        <v>754.3293991999999</v>
      </c>
      <c r="R11" s="44">
        <f t="shared" si="2"/>
        <v>707.1838117499999</v>
      </c>
      <c r="S11" s="44">
        <f t="shared" si="2"/>
        <v>660.03822429999991</v>
      </c>
      <c r="T11" s="44">
        <f t="shared" si="2"/>
        <v>612.89263684999992</v>
      </c>
      <c r="U11" s="44">
        <f t="shared" si="2"/>
        <v>565.74704939999992</v>
      </c>
      <c r="V11" s="44">
        <f t="shared" si="2"/>
        <v>518.60146194999993</v>
      </c>
      <c r="W11" s="44">
        <f t="shared" si="2"/>
        <v>471.45587449999994</v>
      </c>
      <c r="X11" s="44">
        <f t="shared" si="2"/>
        <v>424.31028704999994</v>
      </c>
      <c r="Y11" s="44">
        <f t="shared" si="2"/>
        <v>377.16469959999995</v>
      </c>
      <c r="Z11" s="44">
        <f t="shared" si="2"/>
        <v>330.01911214999996</v>
      </c>
      <c r="AA11" s="44">
        <f t="shared" si="2"/>
        <v>282.87352469999996</v>
      </c>
      <c r="AB11" s="44">
        <f t="shared" si="2"/>
        <v>235.72793724999997</v>
      </c>
      <c r="AC11" s="44">
        <f t="shared" si="2"/>
        <v>188.58234979999997</v>
      </c>
      <c r="AD11" s="44">
        <f t="shared" si="2"/>
        <v>141.43676234999998</v>
      </c>
      <c r="AE11" s="44">
        <f t="shared" si="2"/>
        <v>94.291174899999987</v>
      </c>
      <c r="AF11" s="44">
        <f t="shared" si="2"/>
        <v>47.145587449999994</v>
      </c>
      <c r="AG11" s="39">
        <f t="shared" si="2"/>
        <v>0</v>
      </c>
    </row>
    <row r="12" spans="1:33">
      <c r="B12" s="22"/>
      <c r="C12" s="16" t="s">
        <v>114</v>
      </c>
      <c r="D12" s="16"/>
      <c r="E12" s="45">
        <f>SUM(F12:H12)</f>
        <v>69.331746249999995</v>
      </c>
      <c r="F12" s="45">
        <f>IF(G$2=1,F11*'Other inputs'!$F$48*'Other inputs'!$F$47+F11*'Other inputs'!$F$50*'Other inputs'!$F$49,)</f>
        <v>0</v>
      </c>
      <c r="G12" s="45">
        <f>IF(H$2=1,G11*'Other inputs'!$F$48*'Other inputs'!$F$47+G11*'Other inputs'!$F$50*'Other inputs'!$F$49,)</f>
        <v>0</v>
      </c>
      <c r="H12" s="45">
        <f>IF(I$2=1,H11*'Other inputs'!$F$48*'Other inputs'!$F$47+H11*'Other inputs'!$F$50*'Other inputs'!$F$49,)</f>
        <v>69.331746249999995</v>
      </c>
      <c r="I12" s="45">
        <f>IF(J$2=1,I11*'Other inputs'!$F$48*'Other inputs'!$F$47+I11*'Other inputs'!$F$50*'Other inputs'!$F$49,)</f>
        <v>0</v>
      </c>
      <c r="J12" s="45">
        <f>IF(K$2=1,J11*'Other inputs'!$F$48*'Other inputs'!$F$47+J11*'Other inputs'!$F$50*'Other inputs'!$F$49,)</f>
        <v>0</v>
      </c>
      <c r="K12" s="45">
        <f>IF(L$2=1,K11*'Other inputs'!$F$48*'Other inputs'!$F$47+K11*'Other inputs'!$F$50*'Other inputs'!$F$49,)</f>
        <v>0</v>
      </c>
      <c r="L12" s="45">
        <f>IF(M$2=1,L11*'Other inputs'!$F$48*'Other inputs'!$F$47+L11*'Other inputs'!$F$50*'Other inputs'!$F$49,)</f>
        <v>0</v>
      </c>
      <c r="M12" s="45">
        <f>IF(N$2=1,M11*'Other inputs'!$F$48*'Other inputs'!$F$47+M11*'Other inputs'!$F$50*'Other inputs'!$F$49,)</f>
        <v>0</v>
      </c>
      <c r="N12" s="45">
        <f>IF(O$2=1,N11*'Other inputs'!$F$48*'Other inputs'!$F$47+N11*'Other inputs'!$F$50*'Other inputs'!$F$49,)</f>
        <v>0</v>
      </c>
      <c r="O12" s="45">
        <f>IF(P$2=1,O11*'Other inputs'!$F$48*'Other inputs'!$F$47+O11*'Other inputs'!$F$50*'Other inputs'!$F$49,)</f>
        <v>0</v>
      </c>
      <c r="P12" s="45">
        <f>IF(Q$2=1,P11*'Other inputs'!$F$48*'Other inputs'!$F$47+P11*'Other inputs'!$F$50*'Other inputs'!$F$49,)</f>
        <v>0</v>
      </c>
      <c r="Q12" s="45">
        <f>IF(R$2=1,Q11*'Other inputs'!$F$48*'Other inputs'!$F$47+Q11*'Other inputs'!$F$50*'Other inputs'!$F$49,)</f>
        <v>0</v>
      </c>
      <c r="R12" s="45">
        <f>IF(S$2=1,R11*'Other inputs'!$F$48*'Other inputs'!$F$47+R11*'Other inputs'!$F$50*'Other inputs'!$F$49,)</f>
        <v>0</v>
      </c>
      <c r="S12" s="45">
        <f>IF(T$2=1,S11*'Other inputs'!$F$48*'Other inputs'!$F$47+S11*'Other inputs'!$F$50*'Other inputs'!$F$49,)</f>
        <v>0</v>
      </c>
      <c r="T12" s="45">
        <f>IF(U$2=1,T11*'Other inputs'!$F$48*'Other inputs'!$F$47+T11*'Other inputs'!$F$50*'Other inputs'!$F$49,)</f>
        <v>0</v>
      </c>
      <c r="U12" s="45">
        <f>IF(V$2=1,U11*'Other inputs'!$F$48*'Other inputs'!$F$47+U11*'Other inputs'!$F$50*'Other inputs'!$F$49,)</f>
        <v>0</v>
      </c>
      <c r="V12" s="45">
        <f>IF(W$2=1,V11*'Other inputs'!$F$48*'Other inputs'!$F$47+V11*'Other inputs'!$F$50*'Other inputs'!$F$49,)</f>
        <v>0</v>
      </c>
      <c r="W12" s="45">
        <f>IF(X$2=1,W11*'Other inputs'!$F$48*'Other inputs'!$F$47+W11*'Other inputs'!$F$50*'Other inputs'!$F$49,)</f>
        <v>0</v>
      </c>
      <c r="X12" s="45">
        <f>IF(Y$2=1,X11*'Other inputs'!$F$48*'Other inputs'!$F$47+X11*'Other inputs'!$F$50*'Other inputs'!$F$49,)</f>
        <v>0</v>
      </c>
      <c r="Y12" s="45">
        <f>IF(Z$2=1,Y11*'Other inputs'!$F$48*'Other inputs'!$F$47+Y11*'Other inputs'!$F$50*'Other inputs'!$F$49,)</f>
        <v>0</v>
      </c>
      <c r="Z12" s="45">
        <f>IF(AA$2=1,Z11*'Other inputs'!$F$48*'Other inputs'!$F$47+Z11*'Other inputs'!$F$50*'Other inputs'!$F$49,)</f>
        <v>0</v>
      </c>
      <c r="AA12" s="45">
        <f>IF(AB$2=1,AA11*'Other inputs'!$F$48*'Other inputs'!$F$47+AA11*'Other inputs'!$F$50*'Other inputs'!$F$49,)</f>
        <v>0</v>
      </c>
      <c r="AB12" s="45">
        <f>IF(AC$2=1,AB11*'Other inputs'!$F$48*'Other inputs'!$F$47+AB11*'Other inputs'!$F$50*'Other inputs'!$F$49,)</f>
        <v>0</v>
      </c>
      <c r="AC12" s="45">
        <f>IF(AD$2=1,AC11*'Other inputs'!$F$48*'Other inputs'!$F$47+AC11*'Other inputs'!$F$50*'Other inputs'!$F$49,)</f>
        <v>0</v>
      </c>
      <c r="AD12" s="45">
        <f>IF(AE$2=1,AD11*'Other inputs'!$F$48*'Other inputs'!$F$47+AD11*'Other inputs'!$F$50*'Other inputs'!$F$49,)</f>
        <v>0</v>
      </c>
      <c r="AE12" s="45">
        <f>IF(AF$2=1,AE11*'Other inputs'!$F$48*'Other inputs'!$F$47+AE11*'Other inputs'!$F$50*'Other inputs'!$F$49,)</f>
        <v>0</v>
      </c>
      <c r="AF12" s="45">
        <f>IF(AG$2=1,AF11*'Other inputs'!$F$48*'Other inputs'!$F$47+AF11*'Other inputs'!$F$50*'Other inputs'!$F$49,)</f>
        <v>0</v>
      </c>
      <c r="AG12" s="46">
        <f>IF(AH$2=1,AG11*'Other inputs'!$F$48*'Other inputs'!$F$47+AG11*'Other inputs'!$F$50*'Other inputs'!$F$49,)</f>
        <v>0</v>
      </c>
    </row>
    <row r="13" spans="1:33">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row>
    <row r="14" spans="1:33">
      <c r="B14" s="18" t="str">
        <f>CONCATENATE('Other inputs'!$F$24," year original assets")</f>
        <v>15 year original assets</v>
      </c>
      <c r="C14" s="15"/>
      <c r="D14" s="15"/>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8"/>
    </row>
    <row r="15" spans="1:33">
      <c r="B15" s="20"/>
      <c r="C15" s="21" t="s">
        <v>35</v>
      </c>
      <c r="D15" s="21"/>
      <c r="E15" s="44"/>
      <c r="F15" s="44">
        <f>IF(F$2=1,E19+E20,E19)</f>
        <v>0</v>
      </c>
      <c r="G15" s="44">
        <f t="shared" ref="G15:AG15" si="3">IF(G$2=1,F19+F20,F19)</f>
        <v>10.3</v>
      </c>
      <c r="H15" s="44">
        <f t="shared" si="3"/>
        <v>21.218</v>
      </c>
      <c r="I15" s="44">
        <f t="shared" si="3"/>
        <v>34.840522499999999</v>
      </c>
      <c r="J15" s="44">
        <f t="shared" si="3"/>
        <v>32.517820999999998</v>
      </c>
      <c r="K15" s="44">
        <f t="shared" si="3"/>
        <v>30.195119499999997</v>
      </c>
      <c r="L15" s="44">
        <f t="shared" si="3"/>
        <v>27.872417999999996</v>
      </c>
      <c r="M15" s="44">
        <f t="shared" si="3"/>
        <v>25.549716499999995</v>
      </c>
      <c r="N15" s="44">
        <f t="shared" si="3"/>
        <v>23.227014999999994</v>
      </c>
      <c r="O15" s="44">
        <f t="shared" si="3"/>
        <v>20.904313499999994</v>
      </c>
      <c r="P15" s="44">
        <f t="shared" si="3"/>
        <v>18.581611999999993</v>
      </c>
      <c r="Q15" s="44">
        <f t="shared" si="3"/>
        <v>16.258910499999992</v>
      </c>
      <c r="R15" s="44">
        <f t="shared" si="3"/>
        <v>13.936208999999991</v>
      </c>
      <c r="S15" s="44">
        <f t="shared" si="3"/>
        <v>11.61350749999999</v>
      </c>
      <c r="T15" s="44">
        <f t="shared" si="3"/>
        <v>9.2908059999999892</v>
      </c>
      <c r="U15" s="44">
        <f t="shared" si="3"/>
        <v>6.9681044999999893</v>
      </c>
      <c r="V15" s="44">
        <f t="shared" si="3"/>
        <v>4.6454029999999893</v>
      </c>
      <c r="W15" s="44">
        <f t="shared" si="3"/>
        <v>2.3227014999999893</v>
      </c>
      <c r="X15" s="44">
        <f t="shared" si="3"/>
        <v>-1.0658141036401503E-14</v>
      </c>
      <c r="Y15" s="44">
        <f t="shared" si="3"/>
        <v>-1.0658141036401503E-14</v>
      </c>
      <c r="Z15" s="44">
        <f t="shared" si="3"/>
        <v>-1.0658141036401503E-14</v>
      </c>
      <c r="AA15" s="44">
        <f t="shared" si="3"/>
        <v>-1.0658141036401503E-14</v>
      </c>
      <c r="AB15" s="44">
        <f t="shared" si="3"/>
        <v>-1.0658141036401503E-14</v>
      </c>
      <c r="AC15" s="44">
        <f t="shared" si="3"/>
        <v>-1.0658141036401503E-14</v>
      </c>
      <c r="AD15" s="44">
        <f t="shared" si="3"/>
        <v>-1.0658141036401503E-14</v>
      </c>
      <c r="AE15" s="44">
        <f t="shared" si="3"/>
        <v>-1.0658141036401503E-14</v>
      </c>
      <c r="AF15" s="44">
        <f t="shared" si="3"/>
        <v>-1.0658141036401503E-14</v>
      </c>
      <c r="AG15" s="44">
        <f t="shared" si="3"/>
        <v>-1.0658141036401503E-14</v>
      </c>
    </row>
    <row r="16" spans="1:33">
      <c r="B16" s="20"/>
      <c r="C16" s="21" t="s">
        <v>48</v>
      </c>
      <c r="D16" s="21"/>
      <c r="E16" s="44">
        <f>SUM(F16:AG16)</f>
        <v>30</v>
      </c>
      <c r="F16" s="44">
        <f>'Other inputs'!G6</f>
        <v>10</v>
      </c>
      <c r="G16" s="44">
        <f>'Other inputs'!H6</f>
        <v>10</v>
      </c>
      <c r="H16" s="44">
        <f>'Other inputs'!I6</f>
        <v>10</v>
      </c>
      <c r="I16" s="44">
        <f>'Other inputs'!J6</f>
        <v>0</v>
      </c>
      <c r="J16" s="44">
        <f>'Other inputs'!K6</f>
        <v>0</v>
      </c>
      <c r="K16" s="44">
        <f>'Other inputs'!L6</f>
        <v>0</v>
      </c>
      <c r="L16" s="44">
        <f>'Other inputs'!M6</f>
        <v>0</v>
      </c>
      <c r="M16" s="44">
        <f>'Other inputs'!N6</f>
        <v>0</v>
      </c>
      <c r="N16" s="44">
        <f>'Other inputs'!O6</f>
        <v>0</v>
      </c>
      <c r="O16" s="44">
        <f>'Other inputs'!P6</f>
        <v>0</v>
      </c>
      <c r="P16" s="44">
        <f>'Other inputs'!Q6</f>
        <v>0</v>
      </c>
      <c r="Q16" s="44">
        <f>'Other inputs'!R6</f>
        <v>0</v>
      </c>
      <c r="R16" s="44">
        <f>'Other inputs'!S6</f>
        <v>0</v>
      </c>
      <c r="S16" s="44">
        <f>'Other inputs'!T6</f>
        <v>0</v>
      </c>
      <c r="T16" s="44">
        <f>'Other inputs'!U6</f>
        <v>0</v>
      </c>
      <c r="U16" s="44">
        <f>'Other inputs'!V6</f>
        <v>0</v>
      </c>
      <c r="V16" s="44">
        <f>'Other inputs'!W6</f>
        <v>0</v>
      </c>
      <c r="W16" s="44">
        <f>'Other inputs'!X6</f>
        <v>0</v>
      </c>
      <c r="X16" s="44">
        <f>'Other inputs'!Y6</f>
        <v>0</v>
      </c>
      <c r="Y16" s="44">
        <f>'Other inputs'!Z6</f>
        <v>0</v>
      </c>
      <c r="Z16" s="44">
        <f>'Other inputs'!AA6</f>
        <v>0</v>
      </c>
      <c r="AA16" s="44">
        <f>'Other inputs'!AB6</f>
        <v>0</v>
      </c>
      <c r="AB16" s="44">
        <f>'Other inputs'!AC6</f>
        <v>0</v>
      </c>
      <c r="AC16" s="44">
        <f>'Other inputs'!AD6</f>
        <v>0</v>
      </c>
      <c r="AD16" s="44">
        <f>'Other inputs'!AE6</f>
        <v>0</v>
      </c>
      <c r="AE16" s="44">
        <f>'Other inputs'!AF6</f>
        <v>0</v>
      </c>
      <c r="AF16" s="44">
        <f>'Other inputs'!AG6</f>
        <v>0</v>
      </c>
      <c r="AG16" s="39">
        <f>'Other inputs'!AH6</f>
        <v>0</v>
      </c>
    </row>
    <row r="17" spans="2:33">
      <c r="B17" s="20"/>
      <c r="C17" s="21" t="s">
        <v>49</v>
      </c>
      <c r="D17" s="21"/>
      <c r="E17" s="44"/>
      <c r="F17" s="44">
        <f>IF(OR(F$2&lt;1,F$2&gt;'Other inputs'!$F$24),,SUM($E16,$E18,$E20)/'Other inputs'!$F$24)</f>
        <v>0</v>
      </c>
      <c r="G17" s="44">
        <f>IF(OR(G$2&lt;1,G$2&gt;'Other inputs'!$F$24),,SUM($E16,$E18,$E20)/'Other inputs'!$F$24)</f>
        <v>0</v>
      </c>
      <c r="H17" s="44">
        <f>IF(OR(H$2&lt;1,H$2&gt;'Other inputs'!$F$24),,SUM($E16,$E18,$E20)/'Other inputs'!$F$24)</f>
        <v>0</v>
      </c>
      <c r="I17" s="44">
        <f>IF(OR(I$2&lt;1,I$2&gt;'Other inputs'!$F$24),,SUM($E16,$E18,$E20)/'Other inputs'!$F$24)</f>
        <v>2.3227015</v>
      </c>
      <c r="J17" s="44">
        <f>IF(OR(J$2&lt;1,J$2&gt;'Other inputs'!$F$24),,SUM($E16,$E18,$E20)/'Other inputs'!$F$24)</f>
        <v>2.3227015</v>
      </c>
      <c r="K17" s="44">
        <f>IF(OR(K$2&lt;1,K$2&gt;'Other inputs'!$F$24),,SUM($E16,$E18,$E20)/'Other inputs'!$F$24)</f>
        <v>2.3227015</v>
      </c>
      <c r="L17" s="44">
        <f>IF(OR(L$2&lt;1,L$2&gt;'Other inputs'!$F$24),,SUM($E16,$E18,$E20)/'Other inputs'!$F$24)</f>
        <v>2.3227015</v>
      </c>
      <c r="M17" s="44">
        <f>IF(OR(M$2&lt;1,M$2&gt;'Other inputs'!$F$24),,SUM($E16,$E18,$E20)/'Other inputs'!$F$24)</f>
        <v>2.3227015</v>
      </c>
      <c r="N17" s="44">
        <f>IF(OR(N$2&lt;1,N$2&gt;'Other inputs'!$F$24),,SUM($E16,$E18,$E20)/'Other inputs'!$F$24)</f>
        <v>2.3227015</v>
      </c>
      <c r="O17" s="44">
        <f>IF(OR(O$2&lt;1,O$2&gt;'Other inputs'!$F$24),,SUM($E16,$E18,$E20)/'Other inputs'!$F$24)</f>
        <v>2.3227015</v>
      </c>
      <c r="P17" s="44">
        <f>IF(OR(P$2&lt;1,P$2&gt;'Other inputs'!$F$24),,SUM($E16,$E18,$E20)/'Other inputs'!$F$24)</f>
        <v>2.3227015</v>
      </c>
      <c r="Q17" s="44">
        <f>IF(OR(Q$2&lt;1,Q$2&gt;'Other inputs'!$F$24),,SUM($E16,$E18,$E20)/'Other inputs'!$F$24)</f>
        <v>2.3227015</v>
      </c>
      <c r="R17" s="44">
        <f>IF(OR(R$2&lt;1,R$2&gt;'Other inputs'!$F$24),,SUM($E16,$E18,$E20)/'Other inputs'!$F$24)</f>
        <v>2.3227015</v>
      </c>
      <c r="S17" s="44">
        <f>IF(OR(S$2&lt;1,S$2&gt;'Other inputs'!$F$24),,SUM($E16,$E18,$E20)/'Other inputs'!$F$24)</f>
        <v>2.3227015</v>
      </c>
      <c r="T17" s="44">
        <f>IF(OR(T$2&lt;1,T$2&gt;'Other inputs'!$F$24),,SUM($E16,$E18,$E20)/'Other inputs'!$F$24)</f>
        <v>2.3227015</v>
      </c>
      <c r="U17" s="44">
        <f>IF(OR(U$2&lt;1,U$2&gt;'Other inputs'!$F$24),,SUM($E16,$E18,$E20)/'Other inputs'!$F$24)</f>
        <v>2.3227015</v>
      </c>
      <c r="V17" s="44">
        <f>IF(OR(V$2&lt;1,V$2&gt;'Other inputs'!$F$24),,SUM($E16,$E18,$E20)/'Other inputs'!$F$24)</f>
        <v>2.3227015</v>
      </c>
      <c r="W17" s="44">
        <f>IF(OR(W$2&lt;1,W$2&gt;'Other inputs'!$F$24),,SUM($E16,$E18,$E20)/'Other inputs'!$F$24)</f>
        <v>2.3227015</v>
      </c>
      <c r="X17" s="44">
        <f>IF(OR(X$2&lt;1,X$2&gt;'Other inputs'!$F$24),,SUM($E16,$E18,$E20)/'Other inputs'!$F$24)</f>
        <v>0</v>
      </c>
      <c r="Y17" s="44">
        <f>IF(OR(Y$2&lt;1,Y$2&gt;'Other inputs'!$F$24),,SUM($E16,$E18,$E20)/'Other inputs'!$F$24)</f>
        <v>0</v>
      </c>
      <c r="Z17" s="44">
        <f>IF(OR(Z$2&lt;1,Z$2&gt;'Other inputs'!$F$24),,SUM($E16,$E18,$E20)/'Other inputs'!$F$24)</f>
        <v>0</v>
      </c>
      <c r="AA17" s="44">
        <f>IF(OR(AA$2&lt;1,AA$2&gt;'Other inputs'!$F$24),,SUM($E16,$E18,$E20)/'Other inputs'!$F$24)</f>
        <v>0</v>
      </c>
      <c r="AB17" s="44">
        <f>IF(OR(AB$2&lt;1,AB$2&gt;'Other inputs'!$F$24),,SUM($E16,$E18,$E20)/'Other inputs'!$F$24)</f>
        <v>0</v>
      </c>
      <c r="AC17" s="44">
        <f>IF(OR(AC$2&lt;1,AC$2&gt;'Other inputs'!$F$24),,SUM($E16,$E18,$E20)/'Other inputs'!$F$24)</f>
        <v>0</v>
      </c>
      <c r="AD17" s="44">
        <f>IF(OR(AD$2&lt;1,AD$2&gt;'Other inputs'!$F$24),,SUM($E16,$E18,$E20)/'Other inputs'!$F$24)</f>
        <v>0</v>
      </c>
      <c r="AE17" s="44">
        <f>IF(OR(AE$2&lt;1,AE$2&gt;'Other inputs'!$F$24),,SUM($E16,$E18,$E20)/'Other inputs'!$F$24)</f>
        <v>0</v>
      </c>
      <c r="AF17" s="44">
        <f>IF(OR(AF$2&lt;1,AF$2&gt;'Other inputs'!$F$24),,SUM($E16,$E18,$E20)/'Other inputs'!$F$24)</f>
        <v>0</v>
      </c>
      <c r="AG17" s="39">
        <f>IF(OR(AG$2&lt;1,AG$2&gt;'Other inputs'!$F$24),,SUM($E16,$E18,$E20)/'Other inputs'!$F$24)</f>
        <v>0</v>
      </c>
    </row>
    <row r="18" spans="2:33">
      <c r="B18" s="20"/>
      <c r="C18" s="21" t="s">
        <v>177</v>
      </c>
      <c r="D18" s="21"/>
      <c r="E18" s="44">
        <f>SUM(F18:H18)</f>
        <v>2.79108</v>
      </c>
      <c r="F18" s="44">
        <f>IF(F$2&lt;1,(F15+F16/2)*'CoC inputs'!$G$20,)</f>
        <v>0.3</v>
      </c>
      <c r="G18" s="44">
        <f>IF(G$2&lt;1,(G15+G16/2)*'CoC inputs'!$G$20,)</f>
        <v>0.91800000000000004</v>
      </c>
      <c r="H18" s="44">
        <f>IF(H$2&lt;1,(H15+H16/2)*'CoC inputs'!$G$20,)</f>
        <v>1.57308</v>
      </c>
      <c r="I18" s="44">
        <f>IF(I$2&lt;1,(I15+I16/2)*'CoC inputs'!$G$20,)</f>
        <v>0</v>
      </c>
      <c r="J18" s="44">
        <f>IF(J$2&lt;1,(J15+J16/2)*'CoC inputs'!$G$20,)</f>
        <v>0</v>
      </c>
      <c r="K18" s="44">
        <f>IF(K$2&lt;1,(K15+K16/2)*'CoC inputs'!$G$20,)</f>
        <v>0</v>
      </c>
      <c r="L18" s="44">
        <f>IF(L$2&lt;1,(L15+L16/2)*'CoC inputs'!$G$20,)</f>
        <v>0</v>
      </c>
      <c r="M18" s="44">
        <f>IF(M$2&lt;1,(M15+M16/2)*'CoC inputs'!$G$20,)</f>
        <v>0</v>
      </c>
      <c r="N18" s="44">
        <f>IF(N$2&lt;1,(N15+N16/2)*'CoC inputs'!$G$20,)</f>
        <v>0</v>
      </c>
      <c r="O18" s="44">
        <f>IF(O$2&lt;1,(O15+O16/2)*'CoC inputs'!$G$20,)</f>
        <v>0</v>
      </c>
      <c r="P18" s="44">
        <f>IF(P$2&lt;1,(P15+P16/2)*'CoC inputs'!$G$20,)</f>
        <v>0</v>
      </c>
      <c r="Q18" s="44">
        <f>IF(Q$2&lt;1,(Q15+Q16/2)*'CoC inputs'!$G$20,)</f>
        <v>0</v>
      </c>
      <c r="R18" s="44">
        <f>IF(R$2&lt;1,(R15+R16/2)*'CoC inputs'!$G$20,)</f>
        <v>0</v>
      </c>
      <c r="S18" s="44">
        <f>IF(S$2&lt;1,(S15+S16/2)*'CoC inputs'!$G$20,)</f>
        <v>0</v>
      </c>
      <c r="T18" s="44">
        <f>IF(T$2&lt;1,(T15+T16/2)*'CoC inputs'!$G$20,)</f>
        <v>0</v>
      </c>
      <c r="U18" s="44">
        <f>IF(U$2&lt;1,(U15+U16/2)*'CoC inputs'!$G$20,)</f>
        <v>0</v>
      </c>
      <c r="V18" s="44">
        <f>IF(V$2&lt;1,(V15+V16/2)*'CoC inputs'!$G$20,)</f>
        <v>0</v>
      </c>
      <c r="W18" s="44">
        <f>IF(W$2&lt;1,(W15+W16/2)*'CoC inputs'!$G$20,)</f>
        <v>0</v>
      </c>
      <c r="X18" s="44">
        <f>IF(X$2&lt;1,(X15+X16/2)*'CoC inputs'!$G$20,)</f>
        <v>0</v>
      </c>
      <c r="Y18" s="44">
        <f>IF(Y$2&lt;1,(Y15+Y16/2)*'CoC inputs'!$G$20,)</f>
        <v>0</v>
      </c>
      <c r="Z18" s="44">
        <f>IF(Z$2&lt;1,(Z15+Z16/2)*'CoC inputs'!$G$20,)</f>
        <v>0</v>
      </c>
      <c r="AA18" s="44">
        <f>IF(AA$2&lt;1,(AA15+AA16/2)*'CoC inputs'!$G$20,)</f>
        <v>0</v>
      </c>
      <c r="AB18" s="44">
        <f>IF(AB$2&lt;1,(AB15+AB16/2)*'CoC inputs'!$G$20,)</f>
        <v>0</v>
      </c>
      <c r="AC18" s="44">
        <f>IF(AC$2&lt;1,(AC15+AC16/2)*'CoC inputs'!$G$20,)</f>
        <v>0</v>
      </c>
      <c r="AD18" s="44">
        <f>IF(AD$2&lt;1,(AD15+AD16/2)*'CoC inputs'!$G$20,)</f>
        <v>0</v>
      </c>
      <c r="AE18" s="44">
        <f>IF(AE$2&lt;1,(AE15+AE16/2)*'CoC inputs'!$G$20,)</f>
        <v>0</v>
      </c>
      <c r="AF18" s="44">
        <f>IF(AF$2&lt;1,(AF15+AF16/2)*'CoC inputs'!$G$20,)</f>
        <v>0</v>
      </c>
      <c r="AG18" s="39">
        <f>IF(AG$2&lt;1,(AG15+AG16/2)*'CoC inputs'!$G$20,)</f>
        <v>0</v>
      </c>
    </row>
    <row r="19" spans="2:33">
      <c r="B19" s="20"/>
      <c r="C19" s="21" t="s">
        <v>37</v>
      </c>
      <c r="D19" s="21"/>
      <c r="E19" s="44"/>
      <c r="F19" s="44">
        <f>F15+F16-F17+F18</f>
        <v>10.3</v>
      </c>
      <c r="G19" s="44">
        <f t="shared" ref="G19:AG19" si="4">G15+G16-G17+G18</f>
        <v>21.218</v>
      </c>
      <c r="H19" s="44">
        <f t="shared" si="4"/>
        <v>32.791080000000001</v>
      </c>
      <c r="I19" s="44">
        <f t="shared" si="4"/>
        <v>32.517820999999998</v>
      </c>
      <c r="J19" s="44">
        <f t="shared" si="4"/>
        <v>30.195119499999997</v>
      </c>
      <c r="K19" s="44">
        <f t="shared" si="4"/>
        <v>27.872417999999996</v>
      </c>
      <c r="L19" s="44">
        <f t="shared" si="4"/>
        <v>25.549716499999995</v>
      </c>
      <c r="M19" s="44">
        <f t="shared" si="4"/>
        <v>23.227014999999994</v>
      </c>
      <c r="N19" s="44">
        <f t="shared" si="4"/>
        <v>20.904313499999994</v>
      </c>
      <c r="O19" s="44">
        <f t="shared" si="4"/>
        <v>18.581611999999993</v>
      </c>
      <c r="P19" s="44">
        <f t="shared" si="4"/>
        <v>16.258910499999992</v>
      </c>
      <c r="Q19" s="44">
        <f t="shared" si="4"/>
        <v>13.936208999999991</v>
      </c>
      <c r="R19" s="44">
        <f t="shared" si="4"/>
        <v>11.61350749999999</v>
      </c>
      <c r="S19" s="44">
        <f t="shared" si="4"/>
        <v>9.2908059999999892</v>
      </c>
      <c r="T19" s="44">
        <f t="shared" si="4"/>
        <v>6.9681044999999893</v>
      </c>
      <c r="U19" s="44">
        <f t="shared" si="4"/>
        <v>4.6454029999999893</v>
      </c>
      <c r="V19" s="44">
        <f t="shared" si="4"/>
        <v>2.3227014999999893</v>
      </c>
      <c r="W19" s="44">
        <f t="shared" si="4"/>
        <v>-1.0658141036401503E-14</v>
      </c>
      <c r="X19" s="44">
        <f t="shared" si="4"/>
        <v>-1.0658141036401503E-14</v>
      </c>
      <c r="Y19" s="44">
        <f t="shared" si="4"/>
        <v>-1.0658141036401503E-14</v>
      </c>
      <c r="Z19" s="44">
        <f t="shared" si="4"/>
        <v>-1.0658141036401503E-14</v>
      </c>
      <c r="AA19" s="44">
        <f t="shared" si="4"/>
        <v>-1.0658141036401503E-14</v>
      </c>
      <c r="AB19" s="44">
        <f t="shared" si="4"/>
        <v>-1.0658141036401503E-14</v>
      </c>
      <c r="AC19" s="44">
        <f t="shared" si="4"/>
        <v>-1.0658141036401503E-14</v>
      </c>
      <c r="AD19" s="44">
        <f t="shared" si="4"/>
        <v>-1.0658141036401503E-14</v>
      </c>
      <c r="AE19" s="44">
        <f t="shared" si="4"/>
        <v>-1.0658141036401503E-14</v>
      </c>
      <c r="AF19" s="44">
        <f t="shared" si="4"/>
        <v>-1.0658141036401503E-14</v>
      </c>
      <c r="AG19" s="39">
        <f t="shared" si="4"/>
        <v>-1.0658141036401503E-14</v>
      </c>
    </row>
    <row r="20" spans="2:33">
      <c r="B20" s="22"/>
      <c r="C20" s="16" t="s">
        <v>114</v>
      </c>
      <c r="D20" s="16"/>
      <c r="E20" s="45">
        <f>SUM(F20:H20)</f>
        <v>2.0494425000000001</v>
      </c>
      <c r="F20" s="45">
        <f>IF(G$2=1,F19*'Other inputs'!$F$48*'Other inputs'!$F$47+F19*'Other inputs'!$F$50*'Other inputs'!$F$49,)</f>
        <v>0</v>
      </c>
      <c r="G20" s="45">
        <f>IF(H$2=1,G19*'Other inputs'!$F$48*'Other inputs'!$F$47+G19*'Other inputs'!$F$50*'Other inputs'!$F$49,)</f>
        <v>0</v>
      </c>
      <c r="H20" s="45">
        <f>IF(I$2=1,H19*'Other inputs'!$F$48*'Other inputs'!$F$47+H19*'Other inputs'!$F$50*'Other inputs'!$F$49,)</f>
        <v>2.0494425000000001</v>
      </c>
      <c r="I20" s="45">
        <f>IF(J$2=1,I19*'Other inputs'!$F$48*'Other inputs'!$F$47+I19*'Other inputs'!$F$50*'Other inputs'!$F$49,)</f>
        <v>0</v>
      </c>
      <c r="J20" s="45">
        <f>IF(K$2=1,J19*'Other inputs'!$F$48*'Other inputs'!$F$47+J19*'Other inputs'!$F$50*'Other inputs'!$F$49,)</f>
        <v>0</v>
      </c>
      <c r="K20" s="45">
        <f>IF(L$2=1,K19*'Other inputs'!$F$48*'Other inputs'!$F$47+K19*'Other inputs'!$F$50*'Other inputs'!$F$49,)</f>
        <v>0</v>
      </c>
      <c r="L20" s="45">
        <f>IF(M$2=1,L19*'Other inputs'!$F$48*'Other inputs'!$F$47+L19*'Other inputs'!$F$50*'Other inputs'!$F$49,)</f>
        <v>0</v>
      </c>
      <c r="M20" s="45">
        <f>IF(N$2=1,M19*'Other inputs'!$F$48*'Other inputs'!$F$47+M19*'Other inputs'!$F$50*'Other inputs'!$F$49,)</f>
        <v>0</v>
      </c>
      <c r="N20" s="45">
        <f>IF(O$2=1,N19*'Other inputs'!$F$48*'Other inputs'!$F$47+N19*'Other inputs'!$F$50*'Other inputs'!$F$49,)</f>
        <v>0</v>
      </c>
      <c r="O20" s="45">
        <f>IF(P$2=1,O19*'Other inputs'!$F$48*'Other inputs'!$F$47+O19*'Other inputs'!$F$50*'Other inputs'!$F$49,)</f>
        <v>0</v>
      </c>
      <c r="P20" s="45">
        <f>IF(Q$2=1,P19*'Other inputs'!$F$48*'Other inputs'!$F$47+P19*'Other inputs'!$F$50*'Other inputs'!$F$49,)</f>
        <v>0</v>
      </c>
      <c r="Q20" s="45">
        <f>IF(R$2=1,Q19*'Other inputs'!$F$48*'Other inputs'!$F$47+Q19*'Other inputs'!$F$50*'Other inputs'!$F$49,)</f>
        <v>0</v>
      </c>
      <c r="R20" s="45">
        <f>IF(S$2=1,R19*'Other inputs'!$F$48*'Other inputs'!$F$47+R19*'Other inputs'!$F$50*'Other inputs'!$F$49,)</f>
        <v>0</v>
      </c>
      <c r="S20" s="45">
        <f>IF(T$2=1,S19*'Other inputs'!$F$48*'Other inputs'!$F$47+S19*'Other inputs'!$F$50*'Other inputs'!$F$49,)</f>
        <v>0</v>
      </c>
      <c r="T20" s="45">
        <f>IF(U$2=1,T19*'Other inputs'!$F$48*'Other inputs'!$F$47+T19*'Other inputs'!$F$50*'Other inputs'!$F$49,)</f>
        <v>0</v>
      </c>
      <c r="U20" s="45">
        <f>IF(V$2=1,U19*'Other inputs'!$F$48*'Other inputs'!$F$47+U19*'Other inputs'!$F$50*'Other inputs'!$F$49,)</f>
        <v>0</v>
      </c>
      <c r="V20" s="45">
        <f>IF(W$2=1,V19*'Other inputs'!$F$48*'Other inputs'!$F$47+V19*'Other inputs'!$F$50*'Other inputs'!$F$49,)</f>
        <v>0</v>
      </c>
      <c r="W20" s="45">
        <f>IF(X$2=1,W19*'Other inputs'!$F$48*'Other inputs'!$F$47+W19*'Other inputs'!$F$50*'Other inputs'!$F$49,)</f>
        <v>0</v>
      </c>
      <c r="X20" s="45">
        <f>IF(Y$2=1,X19*'Other inputs'!$F$48*'Other inputs'!$F$47+X19*'Other inputs'!$F$50*'Other inputs'!$F$49,)</f>
        <v>0</v>
      </c>
      <c r="Y20" s="45">
        <f>IF(Z$2=1,Y19*'Other inputs'!$F$48*'Other inputs'!$F$47+Y19*'Other inputs'!$F$50*'Other inputs'!$F$49,)</f>
        <v>0</v>
      </c>
      <c r="Z20" s="45">
        <f>IF(AA$2=1,Z19*'Other inputs'!$F$48*'Other inputs'!$F$47+Z19*'Other inputs'!$F$50*'Other inputs'!$F$49,)</f>
        <v>0</v>
      </c>
      <c r="AA20" s="45">
        <f>IF(AB$2=1,AA19*'Other inputs'!$F$48*'Other inputs'!$F$47+AA19*'Other inputs'!$F$50*'Other inputs'!$F$49,)</f>
        <v>0</v>
      </c>
      <c r="AB20" s="45">
        <f>IF(AC$2=1,AB19*'Other inputs'!$F$48*'Other inputs'!$F$47+AB19*'Other inputs'!$F$50*'Other inputs'!$F$49,)</f>
        <v>0</v>
      </c>
      <c r="AC20" s="45">
        <f>IF(AD$2=1,AC19*'Other inputs'!$F$48*'Other inputs'!$F$47+AC19*'Other inputs'!$F$50*'Other inputs'!$F$49,)</f>
        <v>0</v>
      </c>
      <c r="AD20" s="45">
        <f>IF(AE$2=1,AD19*'Other inputs'!$F$48*'Other inputs'!$F$47+AD19*'Other inputs'!$F$50*'Other inputs'!$F$49,)</f>
        <v>0</v>
      </c>
      <c r="AE20" s="45">
        <f>IF(AF$2=1,AE19*'Other inputs'!$F$48*'Other inputs'!$F$47+AE19*'Other inputs'!$F$50*'Other inputs'!$F$49,)</f>
        <v>0</v>
      </c>
      <c r="AF20" s="45">
        <f>IF(AG$2=1,AF19*'Other inputs'!$F$48*'Other inputs'!$F$47+AF19*'Other inputs'!$F$50*'Other inputs'!$F$49,)</f>
        <v>0</v>
      </c>
      <c r="AG20" s="46">
        <f>IF(AH$2=1,AG19*'Other inputs'!$F$48*'Other inputs'!$F$47+AG19*'Other inputs'!$F$50*'Other inputs'!$F$49,)</f>
        <v>0</v>
      </c>
    </row>
    <row r="21" spans="2:33">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row>
    <row r="22" spans="2:33">
      <c r="B22" s="18" t="str">
        <f>CONCATENATE("Year ",'Other inputs'!$F$24," replacement assets")</f>
        <v>Year 15 replacement assets</v>
      </c>
      <c r="C22" s="15"/>
      <c r="D22" s="15"/>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8"/>
    </row>
    <row r="23" spans="2:33">
      <c r="B23" s="20"/>
      <c r="C23" s="21" t="s">
        <v>35</v>
      </c>
      <c r="D23" s="21"/>
      <c r="E23" s="44"/>
      <c r="F23" s="44">
        <f t="shared" ref="F23:V23" si="5">E27</f>
        <v>0</v>
      </c>
      <c r="G23" s="44">
        <f t="shared" si="5"/>
        <v>0</v>
      </c>
      <c r="H23" s="44">
        <f t="shared" si="5"/>
        <v>0</v>
      </c>
      <c r="I23" s="44">
        <f t="shared" si="5"/>
        <v>0</v>
      </c>
      <c r="J23" s="44">
        <f t="shared" si="5"/>
        <v>0</v>
      </c>
      <c r="K23" s="44">
        <f t="shared" si="5"/>
        <v>0</v>
      </c>
      <c r="L23" s="44">
        <f t="shared" si="5"/>
        <v>0</v>
      </c>
      <c r="M23" s="44">
        <f t="shared" si="5"/>
        <v>0</v>
      </c>
      <c r="N23" s="44">
        <f t="shared" si="5"/>
        <v>0</v>
      </c>
      <c r="O23" s="44">
        <f t="shared" si="5"/>
        <v>0</v>
      </c>
      <c r="P23" s="44">
        <f t="shared" si="5"/>
        <v>0</v>
      </c>
      <c r="Q23" s="44">
        <f t="shared" si="5"/>
        <v>0</v>
      </c>
      <c r="R23" s="44">
        <f t="shared" si="5"/>
        <v>0</v>
      </c>
      <c r="S23" s="44">
        <f t="shared" si="5"/>
        <v>0</v>
      </c>
      <c r="T23" s="44">
        <f t="shared" si="5"/>
        <v>0</v>
      </c>
      <c r="U23" s="44">
        <f t="shared" si="5"/>
        <v>0</v>
      </c>
      <c r="V23" s="44">
        <f t="shared" si="5"/>
        <v>0</v>
      </c>
      <c r="W23" s="44">
        <f>V27</f>
        <v>0</v>
      </c>
      <c r="X23" s="44">
        <f>W27</f>
        <v>15.9</v>
      </c>
      <c r="Y23" s="44">
        <f>X27</f>
        <v>14.31</v>
      </c>
      <c r="Z23" s="44">
        <f t="shared" ref="Z23:AG23" si="6">Y27</f>
        <v>12.72</v>
      </c>
      <c r="AA23" s="44">
        <f t="shared" si="6"/>
        <v>11.13</v>
      </c>
      <c r="AB23" s="44">
        <f t="shared" si="6"/>
        <v>9.5400000000000009</v>
      </c>
      <c r="AC23" s="44">
        <f t="shared" si="6"/>
        <v>7.9500000000000011</v>
      </c>
      <c r="AD23" s="44">
        <f t="shared" si="6"/>
        <v>6.3600000000000012</v>
      </c>
      <c r="AE23" s="44">
        <f t="shared" si="6"/>
        <v>4.7700000000000014</v>
      </c>
      <c r="AF23" s="44">
        <f t="shared" si="6"/>
        <v>3.1800000000000015</v>
      </c>
      <c r="AG23" s="39">
        <f t="shared" si="6"/>
        <v>1.5900000000000014</v>
      </c>
    </row>
    <row r="24" spans="2:33">
      <c r="B24" s="20"/>
      <c r="C24" s="21" t="s">
        <v>158</v>
      </c>
      <c r="D24" s="21"/>
      <c r="E24" s="44">
        <f>SUM(F24:AG24)</f>
        <v>15</v>
      </c>
      <c r="F24" s="44">
        <f>'Other inputs'!G28</f>
        <v>0</v>
      </c>
      <c r="G24" s="44">
        <f>'Other inputs'!H28</f>
        <v>0</v>
      </c>
      <c r="H24" s="44">
        <f>'Other inputs'!I28</f>
        <v>0</v>
      </c>
      <c r="I24" s="44">
        <f>'Other inputs'!J28</f>
        <v>0</v>
      </c>
      <c r="J24" s="44">
        <f>'Other inputs'!K28</f>
        <v>0</v>
      </c>
      <c r="K24" s="44">
        <f>'Other inputs'!L28</f>
        <v>0</v>
      </c>
      <c r="L24" s="44">
        <f>'Other inputs'!M28</f>
        <v>0</v>
      </c>
      <c r="M24" s="44">
        <f>'Other inputs'!N28</f>
        <v>0</v>
      </c>
      <c r="N24" s="44">
        <f>'Other inputs'!O28</f>
        <v>0</v>
      </c>
      <c r="O24" s="44">
        <f>'Other inputs'!P28</f>
        <v>0</v>
      </c>
      <c r="P24" s="44">
        <f>'Other inputs'!Q28</f>
        <v>0</v>
      </c>
      <c r="Q24" s="44">
        <f>'Other inputs'!R28</f>
        <v>0</v>
      </c>
      <c r="R24" s="44">
        <f>'Other inputs'!S28</f>
        <v>0</v>
      </c>
      <c r="S24" s="44">
        <f>'Other inputs'!T28</f>
        <v>0</v>
      </c>
      <c r="T24" s="44">
        <f>'Other inputs'!U28</f>
        <v>0</v>
      </c>
      <c r="U24" s="44">
        <f>'Other inputs'!V28</f>
        <v>0</v>
      </c>
      <c r="V24" s="44">
        <f>'Other inputs'!W28</f>
        <v>0</v>
      </c>
      <c r="W24" s="44">
        <f>'Other inputs'!X28</f>
        <v>15</v>
      </c>
      <c r="X24" s="44">
        <f>'Other inputs'!Y28</f>
        <v>0</v>
      </c>
      <c r="Y24" s="44">
        <f>'Other inputs'!Z28</f>
        <v>0</v>
      </c>
      <c r="Z24" s="44">
        <f>'Other inputs'!AA28</f>
        <v>0</v>
      </c>
      <c r="AA24" s="44">
        <f>'Other inputs'!AB28</f>
        <v>0</v>
      </c>
      <c r="AB24" s="44">
        <f>'Other inputs'!AC28</f>
        <v>0</v>
      </c>
      <c r="AC24" s="44">
        <f>'Other inputs'!AD28</f>
        <v>0</v>
      </c>
      <c r="AD24" s="44">
        <f>'Other inputs'!AE28</f>
        <v>0</v>
      </c>
      <c r="AE24" s="44">
        <f>'Other inputs'!AF28</f>
        <v>0</v>
      </c>
      <c r="AF24" s="44">
        <f>'Other inputs'!AG28</f>
        <v>0</v>
      </c>
      <c r="AG24" s="39">
        <f>'Other inputs'!AH28</f>
        <v>0</v>
      </c>
    </row>
    <row r="25" spans="2:33">
      <c r="B25" s="20"/>
      <c r="C25" s="21" t="s">
        <v>49</v>
      </c>
      <c r="D25" s="21"/>
      <c r="E25" s="44"/>
      <c r="F25" s="44">
        <f>IF(F$2&gt;'Other inputs'!$F$24,(SUM($E$24,$E$26)/('Other inputs'!$F$23-'Other inputs'!$F$24)),)</f>
        <v>0</v>
      </c>
      <c r="G25" s="44">
        <f>IF(G$2&gt;'Other inputs'!$F$24,(SUM($E$24,$E$26)/('Other inputs'!$F$23-'Other inputs'!$F$24)),)</f>
        <v>0</v>
      </c>
      <c r="H25" s="44">
        <f>IF(H$2&gt;'Other inputs'!$F$24,(SUM($E$24,$E$26)/('Other inputs'!$F$23-'Other inputs'!$F$24)),)</f>
        <v>0</v>
      </c>
      <c r="I25" s="44">
        <f>IF(I$2&gt;'Other inputs'!$F$24,(SUM($E$24,$E$26)/('Other inputs'!$F$23-'Other inputs'!$F$24)),)</f>
        <v>0</v>
      </c>
      <c r="J25" s="44">
        <f>IF(J$2&gt;'Other inputs'!$F$24,(SUM($E$24,$E$26)/('Other inputs'!$F$23-'Other inputs'!$F$24)),)</f>
        <v>0</v>
      </c>
      <c r="K25" s="44">
        <f>IF(K$2&gt;'Other inputs'!$F$24,(SUM($E$24,$E$26)/('Other inputs'!$F$23-'Other inputs'!$F$24)),)</f>
        <v>0</v>
      </c>
      <c r="L25" s="44">
        <f>IF(L$2&gt;'Other inputs'!$F$24,(SUM($E$24,$E$26)/('Other inputs'!$F$23-'Other inputs'!$F$24)),)</f>
        <v>0</v>
      </c>
      <c r="M25" s="44">
        <f>IF(M$2&gt;'Other inputs'!$F$24,(SUM($E$24,$E$26)/('Other inputs'!$F$23-'Other inputs'!$F$24)),)</f>
        <v>0</v>
      </c>
      <c r="N25" s="44">
        <f>IF(N$2&gt;'Other inputs'!$F$24,(SUM($E$24,$E$26)/('Other inputs'!$F$23-'Other inputs'!$F$24)),)</f>
        <v>0</v>
      </c>
      <c r="O25" s="44">
        <f>IF(O$2&gt;'Other inputs'!$F$24,(SUM($E$24,$E$26)/('Other inputs'!$F$23-'Other inputs'!$F$24)),)</f>
        <v>0</v>
      </c>
      <c r="P25" s="44">
        <f>IF(P$2&gt;'Other inputs'!$F$24,(SUM($E$24,$E$26)/('Other inputs'!$F$23-'Other inputs'!$F$24)),)</f>
        <v>0</v>
      </c>
      <c r="Q25" s="44">
        <f>IF(Q$2&gt;'Other inputs'!$F$24,(SUM($E$24,$E$26)/('Other inputs'!$F$23-'Other inputs'!$F$24)),)</f>
        <v>0</v>
      </c>
      <c r="R25" s="44">
        <f>IF(R$2&gt;'Other inputs'!$F$24,(SUM($E$24,$E$26)/('Other inputs'!$F$23-'Other inputs'!$F$24)),)</f>
        <v>0</v>
      </c>
      <c r="S25" s="44">
        <f>IF(S$2&gt;'Other inputs'!$F$24,(SUM($E$24,$E$26)/('Other inputs'!$F$23-'Other inputs'!$F$24)),)</f>
        <v>0</v>
      </c>
      <c r="T25" s="44">
        <f>IF(T$2&gt;'Other inputs'!$F$24,(SUM($E$24,$E$26)/('Other inputs'!$F$23-'Other inputs'!$F$24)),)</f>
        <v>0</v>
      </c>
      <c r="U25" s="44">
        <f>IF(U$2&gt;'Other inputs'!$F$24,(SUM($E$24,$E$26)/('Other inputs'!$F$23-'Other inputs'!$F$24)),)</f>
        <v>0</v>
      </c>
      <c r="V25" s="44">
        <f>IF(V$2&gt;'Other inputs'!$F$24,(SUM($E$24,$E$26)/('Other inputs'!$F$23-'Other inputs'!$F$24)),)</f>
        <v>0</v>
      </c>
      <c r="W25" s="44">
        <f>IF(W$2&gt;'Other inputs'!$F$24,(SUM($E$24,$E$26)/('Other inputs'!$F$23-'Other inputs'!$F$24)),)</f>
        <v>0</v>
      </c>
      <c r="X25" s="44">
        <f>IF(X$2&gt;'Other inputs'!$F$24,(SUM($E$24,$E$26)/('Other inputs'!$F$23-'Other inputs'!$F$24)),)</f>
        <v>1.59</v>
      </c>
      <c r="Y25" s="44">
        <f>IF(Y$2&gt;'Other inputs'!$F$24,(SUM($E$24,$E$26)/('Other inputs'!$F$23-'Other inputs'!$F$24)),)</f>
        <v>1.59</v>
      </c>
      <c r="Z25" s="44">
        <f>IF(Z$2&gt;'Other inputs'!$F$24,(SUM($E$24,$E$26)/('Other inputs'!$F$23-'Other inputs'!$F$24)),)</f>
        <v>1.59</v>
      </c>
      <c r="AA25" s="44">
        <f>IF(AA$2&gt;'Other inputs'!$F$24,(SUM($E$24,$E$26)/('Other inputs'!$F$23-'Other inputs'!$F$24)),)</f>
        <v>1.59</v>
      </c>
      <c r="AB25" s="44">
        <f>IF(AB$2&gt;'Other inputs'!$F$24,(SUM($E$24,$E$26)/('Other inputs'!$F$23-'Other inputs'!$F$24)),)</f>
        <v>1.59</v>
      </c>
      <c r="AC25" s="44">
        <f>IF(AC$2&gt;'Other inputs'!$F$24,(SUM($E$24,$E$26)/('Other inputs'!$F$23-'Other inputs'!$F$24)),)</f>
        <v>1.59</v>
      </c>
      <c r="AD25" s="44">
        <f>IF(AD$2&gt;'Other inputs'!$F$24,(SUM($E$24,$E$26)/('Other inputs'!$F$23-'Other inputs'!$F$24)),)</f>
        <v>1.59</v>
      </c>
      <c r="AE25" s="44">
        <f>IF(AE$2&gt;'Other inputs'!$F$24,(SUM($E$24,$E$26)/('Other inputs'!$F$23-'Other inputs'!$F$24)),)</f>
        <v>1.59</v>
      </c>
      <c r="AF25" s="44">
        <f>IF(AF$2&gt;'Other inputs'!$F$24,(SUM($E$24,$E$26)/('Other inputs'!$F$23-'Other inputs'!$F$24)),)</f>
        <v>1.59</v>
      </c>
      <c r="AG25" s="39">
        <f>IF(AG$2&gt;'Other inputs'!$F$24,(SUM($E$24,$E$26)/('Other inputs'!$F$23-'Other inputs'!$F$24)),)</f>
        <v>1.59</v>
      </c>
    </row>
    <row r="26" spans="2:33">
      <c r="B26" s="20"/>
      <c r="C26" s="21" t="s">
        <v>177</v>
      </c>
      <c r="D26" s="21"/>
      <c r="E26" s="44">
        <f>SUM(F26:AG26)</f>
        <v>0.89999999999999991</v>
      </c>
      <c r="F26" s="44">
        <f>IF(F2='Other inputs'!$F$24,(F24)*'CoC inputs'!$G$20,)</f>
        <v>0</v>
      </c>
      <c r="G26" s="44">
        <f>IF(G2='Other inputs'!$F$24,(G24)*'CoC inputs'!$G$20,)</f>
        <v>0</v>
      </c>
      <c r="H26" s="44">
        <f>IF(H2='Other inputs'!$F$24,(H24)*'CoC inputs'!$G$20,)</f>
        <v>0</v>
      </c>
      <c r="I26" s="44">
        <f>IF(I2='Other inputs'!$F$24,(I24)*'CoC inputs'!$G$20,)</f>
        <v>0</v>
      </c>
      <c r="J26" s="44">
        <f>IF(J2='Other inputs'!$F$24,(J24)*'CoC inputs'!$G$20,)</f>
        <v>0</v>
      </c>
      <c r="K26" s="44">
        <f>IF(K2='Other inputs'!$F$24,(K24)*'CoC inputs'!$G$20,)</f>
        <v>0</v>
      </c>
      <c r="L26" s="44">
        <f>IF(L2='Other inputs'!$F$24,(L24)*'CoC inputs'!$G$20,)</f>
        <v>0</v>
      </c>
      <c r="M26" s="44">
        <f>IF(M2='Other inputs'!$F$24,(M24)*'CoC inputs'!$G$20,)</f>
        <v>0</v>
      </c>
      <c r="N26" s="44">
        <f>IF(N2='Other inputs'!$F$24,(N24)*'CoC inputs'!$G$20,)</f>
        <v>0</v>
      </c>
      <c r="O26" s="44">
        <f>IF(O2='Other inputs'!$F$24,(O24)*'CoC inputs'!$G$20,)</f>
        <v>0</v>
      </c>
      <c r="P26" s="44">
        <f>IF(P2='Other inputs'!$F$24,(P24)*'CoC inputs'!$G$20,)</f>
        <v>0</v>
      </c>
      <c r="Q26" s="44">
        <f>IF(Q2='Other inputs'!$F$24,(Q24)*'CoC inputs'!$G$20,)</f>
        <v>0</v>
      </c>
      <c r="R26" s="44">
        <f>IF(R2='Other inputs'!$F$24,(R24)*'CoC inputs'!$G$20,)</f>
        <v>0</v>
      </c>
      <c r="S26" s="44">
        <f>IF(S2='Other inputs'!$F$24,(S24)*'CoC inputs'!$G$20,)</f>
        <v>0</v>
      </c>
      <c r="T26" s="44">
        <f>IF(T2='Other inputs'!$F$24,(T24)*'CoC inputs'!$G$20,)</f>
        <v>0</v>
      </c>
      <c r="U26" s="44">
        <f>IF(U2='Other inputs'!$F$24,(U24)*'CoC inputs'!$G$20,)</f>
        <v>0</v>
      </c>
      <c r="V26" s="44">
        <f>IF(V2='Other inputs'!$F$24,(V24)*'CoC inputs'!$G$20,)</f>
        <v>0</v>
      </c>
      <c r="W26" s="44">
        <f>IF(W2='Other inputs'!$F$24,(W24)*'CoC inputs'!$G$20,)</f>
        <v>0.89999999999999991</v>
      </c>
      <c r="X26" s="44">
        <f>IF(X2='Other inputs'!$F$24,(X24)*'CoC inputs'!$G$20,)</f>
        <v>0</v>
      </c>
      <c r="Y26" s="44">
        <f>IF(Y2='Other inputs'!$F$24,(Y24)*'CoC inputs'!$G$20,)</f>
        <v>0</v>
      </c>
      <c r="Z26" s="44">
        <f>IF(Z2='Other inputs'!$F$24,(Z24)*'CoC inputs'!$G$20,)</f>
        <v>0</v>
      </c>
      <c r="AA26" s="44">
        <f>IF(AA2='Other inputs'!$F$24,(AA24)*'CoC inputs'!$G$20,)</f>
        <v>0</v>
      </c>
      <c r="AB26" s="44">
        <f>IF(AB2='Other inputs'!$F$24,(AB24)*'CoC inputs'!$G$20,)</f>
        <v>0</v>
      </c>
      <c r="AC26" s="44">
        <f>IF(AC2='Other inputs'!$F$24,(AC24)*'CoC inputs'!$G$20,)</f>
        <v>0</v>
      </c>
      <c r="AD26" s="44">
        <f>IF(AD2='Other inputs'!$F$24,(AD24)*'CoC inputs'!$G$20,)</f>
        <v>0</v>
      </c>
      <c r="AE26" s="44">
        <f>IF(AE2='Other inputs'!$F$24,(AE24)*'CoC inputs'!$G$20,)</f>
        <v>0</v>
      </c>
      <c r="AF26" s="44">
        <f>IF(AF2='Other inputs'!$F$24,(AF24)*'CoC inputs'!$G$20,)</f>
        <v>0</v>
      </c>
      <c r="AG26" s="39">
        <f>IF(AG2='Other inputs'!$F$24,(AG24)*'CoC inputs'!$G$20,)</f>
        <v>0</v>
      </c>
    </row>
    <row r="27" spans="2:33">
      <c r="B27" s="22"/>
      <c r="C27" s="16" t="s">
        <v>37</v>
      </c>
      <c r="D27" s="16"/>
      <c r="E27" s="45"/>
      <c r="F27" s="45">
        <f>F23+F24-F25+F26</f>
        <v>0</v>
      </c>
      <c r="G27" s="45">
        <f t="shared" ref="G27:AG27" si="7">G23+G24-G25+G26</f>
        <v>0</v>
      </c>
      <c r="H27" s="45">
        <f t="shared" si="7"/>
        <v>0</v>
      </c>
      <c r="I27" s="45">
        <f t="shared" si="7"/>
        <v>0</v>
      </c>
      <c r="J27" s="45">
        <f t="shared" si="7"/>
        <v>0</v>
      </c>
      <c r="K27" s="45">
        <f t="shared" si="7"/>
        <v>0</v>
      </c>
      <c r="L27" s="45">
        <f t="shared" si="7"/>
        <v>0</v>
      </c>
      <c r="M27" s="45">
        <f t="shared" si="7"/>
        <v>0</v>
      </c>
      <c r="N27" s="45">
        <f t="shared" si="7"/>
        <v>0</v>
      </c>
      <c r="O27" s="45">
        <f t="shared" si="7"/>
        <v>0</v>
      </c>
      <c r="P27" s="45">
        <f t="shared" si="7"/>
        <v>0</v>
      </c>
      <c r="Q27" s="45">
        <f t="shared" si="7"/>
        <v>0</v>
      </c>
      <c r="R27" s="45">
        <f t="shared" si="7"/>
        <v>0</v>
      </c>
      <c r="S27" s="45">
        <f t="shared" si="7"/>
        <v>0</v>
      </c>
      <c r="T27" s="45">
        <f t="shared" si="7"/>
        <v>0</v>
      </c>
      <c r="U27" s="45">
        <f t="shared" si="7"/>
        <v>0</v>
      </c>
      <c r="V27" s="45">
        <f t="shared" si="7"/>
        <v>0</v>
      </c>
      <c r="W27" s="45">
        <f>W23+W24-W25+W26</f>
        <v>15.9</v>
      </c>
      <c r="X27" s="45">
        <f>X23+X24-X25+X26</f>
        <v>14.31</v>
      </c>
      <c r="Y27" s="45">
        <f t="shared" si="7"/>
        <v>12.72</v>
      </c>
      <c r="Z27" s="45">
        <f t="shared" si="7"/>
        <v>11.13</v>
      </c>
      <c r="AA27" s="45">
        <f t="shared" si="7"/>
        <v>9.5400000000000009</v>
      </c>
      <c r="AB27" s="45">
        <f t="shared" si="7"/>
        <v>7.9500000000000011</v>
      </c>
      <c r="AC27" s="45">
        <f t="shared" si="7"/>
        <v>6.3600000000000012</v>
      </c>
      <c r="AD27" s="45">
        <f t="shared" si="7"/>
        <v>4.7700000000000014</v>
      </c>
      <c r="AE27" s="45">
        <f t="shared" si="7"/>
        <v>3.1800000000000015</v>
      </c>
      <c r="AF27" s="45">
        <f t="shared" si="7"/>
        <v>1.5900000000000014</v>
      </c>
      <c r="AG27" s="46">
        <f t="shared" si="7"/>
        <v>1.3322676295501878E-15</v>
      </c>
    </row>
    <row r="28" spans="2:33">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row>
    <row r="29" spans="2:33">
      <c r="B29" s="18" t="s">
        <v>60</v>
      </c>
      <c r="C29" s="15"/>
      <c r="D29" s="15"/>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8"/>
    </row>
    <row r="30" spans="2:33">
      <c r="B30" s="20"/>
      <c r="C30" s="21" t="s">
        <v>70</v>
      </c>
      <c r="D30" s="21"/>
      <c r="E30" s="44"/>
      <c r="F30" s="44">
        <f>IF(F$2&lt;1,,(AVERAGE(F7,F11)+AVERAGE(F15,F19)+AVERAGE(F23,F27))*'CoC inputs'!$G$7)</f>
        <v>0</v>
      </c>
      <c r="G30" s="44">
        <f>IF(G$2&lt;1,,(AVERAGE(G7,G11)+AVERAGE(G15,G19)+AVERAGE(G23,G27))*'CoC inputs'!$G$7)</f>
        <v>0</v>
      </c>
      <c r="H30" s="44">
        <f>IF(H$2&lt;1,,(AVERAGE(H7,H11)+AVERAGE(H15,H19)+AVERAGE(H23,H27))*'CoC inputs'!$G$7)</f>
        <v>0</v>
      </c>
      <c r="I30" s="44">
        <f>IF(I$2&lt;1,,(AVERAGE(I7,I11)+AVERAGE(I15,I19)+AVERAGE(I23,I27))*'CoC inputs'!$G$7)</f>
        <v>594.37303213749988</v>
      </c>
      <c r="J30" s="44">
        <f>IF(J$2&lt;1,,(AVERAGE(J7,J11)+AVERAGE(J15,J19)+AVERAGE(J23,J27))*'CoC inputs'!$G$7)</f>
        <v>569.6388876625</v>
      </c>
      <c r="K30" s="44">
        <f>IF(K$2&lt;1,,(AVERAGE(K7,K11)+AVERAGE(K15,K19)+AVERAGE(K23,K27))*'CoC inputs'!$G$7)</f>
        <v>544.90474318749989</v>
      </c>
      <c r="L30" s="44">
        <f>IF(L$2&lt;1,,(AVERAGE(L7,L11)+AVERAGE(L15,L19)+AVERAGE(L23,L27))*'CoC inputs'!$G$7)</f>
        <v>520.1705987124999</v>
      </c>
      <c r="M30" s="44">
        <f>IF(M$2&lt;1,,(AVERAGE(M7,M11)+AVERAGE(M15,M19)+AVERAGE(M23,M27))*'CoC inputs'!$G$7)</f>
        <v>495.43645423749996</v>
      </c>
      <c r="N30" s="44">
        <f>IF(N$2&lt;1,,(AVERAGE(N7,N11)+AVERAGE(N15,N19)+AVERAGE(N23,N27))*'CoC inputs'!$G$7)</f>
        <v>470.70230976249991</v>
      </c>
      <c r="O30" s="44">
        <f>IF(O$2&lt;1,,(AVERAGE(O7,O11)+AVERAGE(O15,O19)+AVERAGE(O23,O27))*'CoC inputs'!$G$7)</f>
        <v>445.96816528749991</v>
      </c>
      <c r="P30" s="44">
        <f>IF(P$2&lt;1,,(AVERAGE(P7,P11)+AVERAGE(P15,P19)+AVERAGE(P23,P27))*'CoC inputs'!$G$7)</f>
        <v>421.23402081249992</v>
      </c>
      <c r="Q30" s="44">
        <f>IF(Q$2&lt;1,,(AVERAGE(Q7,Q11)+AVERAGE(Q15,Q19)+AVERAGE(Q23,Q27))*'CoC inputs'!$G$7)</f>
        <v>396.49987633749993</v>
      </c>
      <c r="R30" s="44">
        <f>IF(R$2&lt;1,,(AVERAGE(R7,R11)+AVERAGE(R15,R19)+AVERAGE(R23,R27))*'CoC inputs'!$G$7)</f>
        <v>371.76573186249993</v>
      </c>
      <c r="S30" s="44">
        <f>IF(S$2&lt;1,,(AVERAGE(S7,S11)+AVERAGE(S15,S19)+AVERAGE(S23,S27))*'CoC inputs'!$G$7)</f>
        <v>347.03158738749994</v>
      </c>
      <c r="T30" s="44">
        <f>IF(T$2&lt;1,,(AVERAGE(T7,T11)+AVERAGE(T15,T19)+AVERAGE(T23,T27))*'CoC inputs'!$G$7)</f>
        <v>322.29744291249995</v>
      </c>
      <c r="U30" s="44">
        <f>IF(U$2&lt;1,,(AVERAGE(U7,U11)+AVERAGE(U15,U19)+AVERAGE(U23,U27))*'CoC inputs'!$G$7)</f>
        <v>297.56329843749995</v>
      </c>
      <c r="V30" s="44">
        <f>IF(V$2&lt;1,,(AVERAGE(V7,V11)+AVERAGE(V15,V19)+AVERAGE(V23,V27))*'CoC inputs'!$G$7)</f>
        <v>272.82915396249996</v>
      </c>
      <c r="W30" s="44">
        <f>IF(W$2&lt;1,,(AVERAGE(W7,W11)+AVERAGE(W15,W19)+AVERAGE(W23,W27))*'CoC inputs'!$G$7)</f>
        <v>252.07000948749996</v>
      </c>
      <c r="X30" s="44">
        <f>IF(X$2&lt;1,,(AVERAGE(X7,X11)+AVERAGE(X15,X19)+AVERAGE(X23,X27))*'CoC inputs'!$G$7)</f>
        <v>231.49404038749998</v>
      </c>
      <c r="Y30" s="44">
        <f>IF(Y$2&lt;1,,(AVERAGE(Y7,Y11)+AVERAGE(Y15,Y19)+AVERAGE(Y23,Y27))*'CoC inputs'!$G$7)</f>
        <v>207.12624666249997</v>
      </c>
      <c r="Z30" s="44">
        <f>IF(Z$2&lt;1,,(AVERAGE(Z7,Z11)+AVERAGE(Z15,Z19)+AVERAGE(Z23,Z27))*'CoC inputs'!$G$7)</f>
        <v>182.75845293749998</v>
      </c>
      <c r="AA30" s="44">
        <f>IF(AA$2&lt;1,,(AVERAGE(AA7,AA11)+AVERAGE(AA15,AA19)+AVERAGE(AA23,AA27))*'CoC inputs'!$G$7)</f>
        <v>158.39065921249997</v>
      </c>
      <c r="AB30" s="44">
        <f>IF(AB$2&lt;1,,(AVERAGE(AB7,AB11)+AVERAGE(AB15,AB19)+AVERAGE(AB23,AB27))*'CoC inputs'!$G$7)</f>
        <v>134.02286548749998</v>
      </c>
      <c r="AC30" s="44">
        <f>IF(AC$2&lt;1,,(AVERAGE(AC7,AC11)+AVERAGE(AC15,AC19)+AVERAGE(AC23,AC27))*'CoC inputs'!$G$7)</f>
        <v>109.65507176249999</v>
      </c>
      <c r="AD30" s="44">
        <f>IF(AD$2&lt;1,,(AVERAGE(AD7,AD11)+AVERAGE(AD15,AD19)+AVERAGE(AD23,AD27))*'CoC inputs'!$G$7)</f>
        <v>85.287278037499988</v>
      </c>
      <c r="AE30" s="44">
        <f>IF(AE$2&lt;1,,(AVERAGE(AE7,AE11)+AVERAGE(AE15,AE19)+AVERAGE(AE23,AE27))*'CoC inputs'!$G$7)</f>
        <v>60.919484312499989</v>
      </c>
      <c r="AF30" s="44">
        <f>IF(AF$2&lt;1,,(AVERAGE(AF7,AF11)+AVERAGE(AF15,AF19)+AVERAGE(AF23,AF27))*'CoC inputs'!$G$7)</f>
        <v>36.551690587499991</v>
      </c>
      <c r="AG30" s="39">
        <f>IF(AG$2&lt;1,,(AVERAGE(AG7,AG11)+AVERAGE(AG15,AG19)+AVERAGE(AG23,AG27))*'CoC inputs'!$G$7)</f>
        <v>12.183896862499994</v>
      </c>
    </row>
    <row r="31" spans="2:33">
      <c r="B31" s="20"/>
      <c r="C31" s="21" t="s">
        <v>71</v>
      </c>
      <c r="D31" s="21"/>
      <c r="E31" s="44"/>
      <c r="F31" s="44">
        <f>IF(F$2&lt;1,,F30*'CoC inputs'!$G$5)</f>
        <v>0</v>
      </c>
      <c r="G31" s="44">
        <f>IF(G$2&lt;1,,G30*'CoC inputs'!$G$5)</f>
        <v>0</v>
      </c>
      <c r="H31" s="44">
        <f>IF(H$2&lt;1,,H30*'CoC inputs'!$G$5)</f>
        <v>0</v>
      </c>
      <c r="I31" s="44">
        <f>IF(I$2&lt;1,,I30*'CoC inputs'!$G$5)</f>
        <v>11.887460642749998</v>
      </c>
      <c r="J31" s="44">
        <f>IF(J$2&lt;1,,J30*'CoC inputs'!$G$5)</f>
        <v>11.39277775325</v>
      </c>
      <c r="K31" s="44">
        <f>IF(K$2&lt;1,,K30*'CoC inputs'!$G$5)</f>
        <v>10.898094863749998</v>
      </c>
      <c r="L31" s="44">
        <f>IF(L$2&lt;1,,L30*'CoC inputs'!$G$5)</f>
        <v>10.403411974249998</v>
      </c>
      <c r="M31" s="44">
        <f>IF(M$2&lt;1,,M30*'CoC inputs'!$G$5)</f>
        <v>9.90872908475</v>
      </c>
      <c r="N31" s="44">
        <f>IF(N$2&lt;1,,N30*'CoC inputs'!$G$5)</f>
        <v>9.4140461952499983</v>
      </c>
      <c r="O31" s="44">
        <f>IF(O$2&lt;1,,O30*'CoC inputs'!$G$5)</f>
        <v>8.9193633057499984</v>
      </c>
      <c r="P31" s="44">
        <f>IF(P$2&lt;1,,P30*'CoC inputs'!$G$5)</f>
        <v>8.4246804162499984</v>
      </c>
      <c r="Q31" s="44">
        <f>IF(Q$2&lt;1,,Q30*'CoC inputs'!$G$5)</f>
        <v>7.9299975267499985</v>
      </c>
      <c r="R31" s="44">
        <f>IF(R$2&lt;1,,R30*'CoC inputs'!$G$5)</f>
        <v>7.4353146372499985</v>
      </c>
      <c r="S31" s="44">
        <f>IF(S$2&lt;1,,S30*'CoC inputs'!$G$5)</f>
        <v>6.9406317477499986</v>
      </c>
      <c r="T31" s="44">
        <f>IF(T$2&lt;1,,T30*'CoC inputs'!$G$5)</f>
        <v>6.4459488582499986</v>
      </c>
      <c r="U31" s="44">
        <f>IF(U$2&lt;1,,U30*'CoC inputs'!$G$5)</f>
        <v>5.9512659687499996</v>
      </c>
      <c r="V31" s="44">
        <f>IF(V$2&lt;1,,V30*'CoC inputs'!$G$5)</f>
        <v>5.4565830792499996</v>
      </c>
      <c r="W31" s="44">
        <f>IF(W$2&lt;1,,W30*'CoC inputs'!$G$5)</f>
        <v>5.0414001897499992</v>
      </c>
      <c r="X31" s="44">
        <f>IF(X$2&lt;1,,X30*'CoC inputs'!$G$5)</f>
        <v>4.6298808077499993</v>
      </c>
      <c r="Y31" s="44">
        <f>IF(Y$2&lt;1,,Y30*'CoC inputs'!$G$5)</f>
        <v>4.1425249332499998</v>
      </c>
      <c r="Z31" s="44">
        <f>IF(Z$2&lt;1,,Z30*'CoC inputs'!$G$5)</f>
        <v>3.6551690587499999</v>
      </c>
      <c r="AA31" s="44">
        <f>IF(AA$2&lt;1,,AA30*'CoC inputs'!$G$5)</f>
        <v>3.1678131842499995</v>
      </c>
      <c r="AB31" s="44">
        <f>IF(AB$2&lt;1,,AB30*'CoC inputs'!$G$5)</f>
        <v>2.68045730975</v>
      </c>
      <c r="AC31" s="44">
        <f>IF(AC$2&lt;1,,AC30*'CoC inputs'!$G$5)</f>
        <v>2.1931014352499996</v>
      </c>
      <c r="AD31" s="44">
        <f>IF(AD$2&lt;1,,AD30*'CoC inputs'!$G$5)</f>
        <v>1.7057455607499998</v>
      </c>
      <c r="AE31" s="44">
        <f>IF(AE$2&lt;1,,AE30*'CoC inputs'!$G$5)</f>
        <v>1.2183896862499999</v>
      </c>
      <c r="AF31" s="44">
        <f>IF(AF$2&lt;1,,AF30*'CoC inputs'!$G$5)</f>
        <v>0.73103381174999982</v>
      </c>
      <c r="AG31" s="39">
        <f>IF(AG$2&lt;1,,AG30*'CoC inputs'!$G$5)</f>
        <v>0.24367793724999989</v>
      </c>
    </row>
    <row r="32" spans="2:33">
      <c r="B32" s="20"/>
      <c r="C32" s="21" t="s">
        <v>61</v>
      </c>
      <c r="D32" s="21"/>
      <c r="E32" s="44"/>
      <c r="F32" s="44">
        <f>IF(F$2&lt;1,,(AVERAGE(F7,F11)+AVERAGE(F15,F19)+AVERAGE(F23,F27))*'CoC inputs'!$G$13)</f>
        <v>0</v>
      </c>
      <c r="G32" s="44">
        <f>IF(G$2&lt;1,,(AVERAGE(G7,G11)+AVERAGE(G15,G19)+AVERAGE(G23,G27))*'CoC inputs'!$G$13)</f>
        <v>0</v>
      </c>
      <c r="H32" s="44">
        <f>IF(H$2&lt;1,,(AVERAGE(H7,H11)+AVERAGE(H15,H19)+AVERAGE(H23,H27))*'CoC inputs'!$G$13)</f>
        <v>0</v>
      </c>
      <c r="I32" s="44">
        <f>IF(I$2&lt;1,,(AVERAGE(I7,I11)+AVERAGE(I15,I19)+AVERAGE(I23,I27))*'CoC inputs'!$G$13)</f>
        <v>1188.7460642749998</v>
      </c>
      <c r="J32" s="44">
        <f>IF(J$2&lt;1,,(AVERAGE(J7,J11)+AVERAGE(J15,J19)+AVERAGE(J23,J27))*'CoC inputs'!$G$13)</f>
        <v>1139.277775325</v>
      </c>
      <c r="K32" s="44">
        <f>IF(K$2&lt;1,,(AVERAGE(K7,K11)+AVERAGE(K15,K19)+AVERAGE(K23,K27))*'CoC inputs'!$G$13)</f>
        <v>1089.8094863749998</v>
      </c>
      <c r="L32" s="44">
        <f>IF(L$2&lt;1,,(AVERAGE(L7,L11)+AVERAGE(L15,L19)+AVERAGE(L23,L27))*'CoC inputs'!$G$13)</f>
        <v>1040.3411974249998</v>
      </c>
      <c r="M32" s="44">
        <f>IF(M$2&lt;1,,(AVERAGE(M7,M11)+AVERAGE(M15,M19)+AVERAGE(M23,M27))*'CoC inputs'!$G$13)</f>
        <v>990.87290847499992</v>
      </c>
      <c r="N32" s="44">
        <f>IF(N$2&lt;1,,(AVERAGE(N7,N11)+AVERAGE(N15,N19)+AVERAGE(N23,N27))*'CoC inputs'!$G$13)</f>
        <v>941.40461952499982</v>
      </c>
      <c r="O32" s="44">
        <f>IF(O$2&lt;1,,(AVERAGE(O7,O11)+AVERAGE(O15,O19)+AVERAGE(O23,O27))*'CoC inputs'!$G$13)</f>
        <v>891.93633057499983</v>
      </c>
      <c r="P32" s="44">
        <f>IF(P$2&lt;1,,(AVERAGE(P7,P11)+AVERAGE(P15,P19)+AVERAGE(P23,P27))*'CoC inputs'!$G$13)</f>
        <v>842.46804162499984</v>
      </c>
      <c r="Q32" s="44">
        <f>IF(Q$2&lt;1,,(AVERAGE(Q7,Q11)+AVERAGE(Q15,Q19)+AVERAGE(Q23,Q27))*'CoC inputs'!$G$13)</f>
        <v>792.99975267499985</v>
      </c>
      <c r="R32" s="44">
        <f>IF(R$2&lt;1,,(AVERAGE(R7,R11)+AVERAGE(R15,R19)+AVERAGE(R23,R27))*'CoC inputs'!$G$13)</f>
        <v>743.53146372499987</v>
      </c>
      <c r="S32" s="44">
        <f>IF(S$2&lt;1,,(AVERAGE(S7,S11)+AVERAGE(S15,S19)+AVERAGE(S23,S27))*'CoC inputs'!$G$13)</f>
        <v>694.06317477499988</v>
      </c>
      <c r="T32" s="44">
        <f>IF(T$2&lt;1,,(AVERAGE(T7,T11)+AVERAGE(T15,T19)+AVERAGE(T23,T27))*'CoC inputs'!$G$13)</f>
        <v>644.59488582499989</v>
      </c>
      <c r="U32" s="44">
        <f>IF(U$2&lt;1,,(AVERAGE(U7,U11)+AVERAGE(U15,U19)+AVERAGE(U23,U27))*'CoC inputs'!$G$13)</f>
        <v>595.1265968749999</v>
      </c>
      <c r="V32" s="44">
        <f>IF(V$2&lt;1,,(AVERAGE(V7,V11)+AVERAGE(V15,V19)+AVERAGE(V23,V27))*'CoC inputs'!$G$13)</f>
        <v>545.65830792499992</v>
      </c>
      <c r="W32" s="44">
        <f>IF(W$2&lt;1,,(AVERAGE(W7,W11)+AVERAGE(W15,W19)+AVERAGE(W23,W27))*'CoC inputs'!$G$13)</f>
        <v>504.14001897499992</v>
      </c>
      <c r="X32" s="44">
        <f>IF(X$2&lt;1,,(AVERAGE(X7,X11)+AVERAGE(X15,X19)+AVERAGE(X23,X27))*'CoC inputs'!$G$13)</f>
        <v>462.98808077499996</v>
      </c>
      <c r="Y32" s="44">
        <f>IF(Y$2&lt;1,,(AVERAGE(Y7,Y11)+AVERAGE(Y15,Y19)+AVERAGE(Y23,Y27))*'CoC inputs'!$G$13)</f>
        <v>414.25249332499993</v>
      </c>
      <c r="Z32" s="44">
        <f>IF(Z$2&lt;1,,(AVERAGE(Z7,Z11)+AVERAGE(Z15,Z19)+AVERAGE(Z23,Z27))*'CoC inputs'!$G$13)</f>
        <v>365.51690587499996</v>
      </c>
      <c r="AA32" s="44">
        <f>IF(AA$2&lt;1,,(AVERAGE(AA7,AA11)+AVERAGE(AA15,AA19)+AVERAGE(AA23,AA27))*'CoC inputs'!$G$13)</f>
        <v>316.78131842499994</v>
      </c>
      <c r="AB32" s="44">
        <f>IF(AB$2&lt;1,,(AVERAGE(AB7,AB11)+AVERAGE(AB15,AB19)+AVERAGE(AB23,AB27))*'CoC inputs'!$G$13)</f>
        <v>268.04573097499997</v>
      </c>
      <c r="AC32" s="44">
        <f>IF(AC$2&lt;1,,(AVERAGE(AC7,AC11)+AVERAGE(AC15,AC19)+AVERAGE(AC23,AC27))*'CoC inputs'!$G$13)</f>
        <v>219.31014352499997</v>
      </c>
      <c r="AD32" s="44">
        <f>IF(AD$2&lt;1,,(AVERAGE(AD7,AD11)+AVERAGE(AD15,AD19)+AVERAGE(AD23,AD27))*'CoC inputs'!$G$13)</f>
        <v>170.57455607499998</v>
      </c>
      <c r="AE32" s="44">
        <f>IF(AE$2&lt;1,,(AVERAGE(AE7,AE11)+AVERAGE(AE15,AE19)+AVERAGE(AE23,AE27))*'CoC inputs'!$G$13)</f>
        <v>121.83896862499998</v>
      </c>
      <c r="AF32" s="44">
        <f>IF(AF$2&lt;1,,(AVERAGE(AF7,AF11)+AVERAGE(AF15,AF19)+AVERAGE(AF23,AF27))*'CoC inputs'!$G$13)</f>
        <v>73.103381174999981</v>
      </c>
      <c r="AG32" s="39">
        <f>IF(AG$2&lt;1,,(AVERAGE(AG7,AG11)+AVERAGE(AG15,AG19)+AVERAGE(AG23,AG27))*'CoC inputs'!$G$13)</f>
        <v>24.367793724999988</v>
      </c>
    </row>
    <row r="33" spans="2:33">
      <c r="B33" s="20"/>
      <c r="C33" s="21" t="s">
        <v>62</v>
      </c>
      <c r="D33" s="21"/>
      <c r="E33" s="44"/>
      <c r="F33" s="44">
        <f>IF(F$2&lt;1,,F32*'CoC inputs'!$G$12)</f>
        <v>0</v>
      </c>
      <c r="G33" s="44">
        <f>IF(G$2&lt;1,,G32*'CoC inputs'!$G$12)</f>
        <v>0</v>
      </c>
      <c r="H33" s="44">
        <f>IF(H$2&lt;1,,H32*'CoC inputs'!$G$12)</f>
        <v>0</v>
      </c>
      <c r="I33" s="44">
        <f>IF(I$2&lt;1,,I32*'CoC inputs'!$G$12)</f>
        <v>23.774921285499996</v>
      </c>
      <c r="J33" s="44">
        <f>IF(J$2&lt;1,,J32*'CoC inputs'!$G$12)</f>
        <v>22.7855555065</v>
      </c>
      <c r="K33" s="44">
        <f>IF(K$2&lt;1,,K32*'CoC inputs'!$G$12)</f>
        <v>21.796189727499996</v>
      </c>
      <c r="L33" s="44">
        <f>IF(L$2&lt;1,,L32*'CoC inputs'!$G$12)</f>
        <v>20.806823948499996</v>
      </c>
      <c r="M33" s="44">
        <f>IF(M$2&lt;1,,M32*'CoC inputs'!$G$12)</f>
        <v>19.8174581695</v>
      </c>
      <c r="N33" s="44">
        <f>IF(N$2&lt;1,,N32*'CoC inputs'!$G$12)</f>
        <v>18.828092390499997</v>
      </c>
      <c r="O33" s="44">
        <f>IF(O$2&lt;1,,O32*'CoC inputs'!$G$12)</f>
        <v>17.838726611499997</v>
      </c>
      <c r="P33" s="44">
        <f>IF(P$2&lt;1,,P32*'CoC inputs'!$G$12)</f>
        <v>16.849360832499997</v>
      </c>
      <c r="Q33" s="44">
        <f>IF(Q$2&lt;1,,Q32*'CoC inputs'!$G$12)</f>
        <v>15.859995053499997</v>
      </c>
      <c r="R33" s="44">
        <f>IF(R$2&lt;1,,R32*'CoC inputs'!$G$12)</f>
        <v>14.870629274499997</v>
      </c>
      <c r="S33" s="44">
        <f>IF(S$2&lt;1,,S32*'CoC inputs'!$G$12)</f>
        <v>13.881263495499997</v>
      </c>
      <c r="T33" s="44">
        <f>IF(T$2&lt;1,,T32*'CoC inputs'!$G$12)</f>
        <v>12.891897716499997</v>
      </c>
      <c r="U33" s="44">
        <f>IF(U$2&lt;1,,U32*'CoC inputs'!$G$12)</f>
        <v>11.902531937499999</v>
      </c>
      <c r="V33" s="44">
        <f>IF(V$2&lt;1,,V32*'CoC inputs'!$G$12)</f>
        <v>10.913166158499999</v>
      </c>
      <c r="W33" s="44">
        <f>IF(W$2&lt;1,,W32*'CoC inputs'!$G$12)</f>
        <v>10.082800379499998</v>
      </c>
      <c r="X33" s="44">
        <f>IF(X$2&lt;1,,X32*'CoC inputs'!$G$12)</f>
        <v>9.2597616154999987</v>
      </c>
      <c r="Y33" s="44">
        <f>IF(Y$2&lt;1,,Y32*'CoC inputs'!$G$12)</f>
        <v>8.2850498664999996</v>
      </c>
      <c r="Z33" s="44">
        <f>IF(Z$2&lt;1,,Z32*'CoC inputs'!$G$12)</f>
        <v>7.3103381174999997</v>
      </c>
      <c r="AA33" s="44">
        <f>IF(AA$2&lt;1,,AA32*'CoC inputs'!$G$12)</f>
        <v>6.3356263684999989</v>
      </c>
      <c r="AB33" s="44">
        <f>IF(AB$2&lt;1,,AB32*'CoC inputs'!$G$12)</f>
        <v>5.3609146194999999</v>
      </c>
      <c r="AC33" s="44">
        <f>IF(AC$2&lt;1,,AC32*'CoC inputs'!$G$12)</f>
        <v>4.3862028704999991</v>
      </c>
      <c r="AD33" s="44">
        <f>IF(AD$2&lt;1,,AD32*'CoC inputs'!$G$12)</f>
        <v>3.4114911214999997</v>
      </c>
      <c r="AE33" s="44">
        <f>IF(AE$2&lt;1,,AE32*'CoC inputs'!$G$12)</f>
        <v>2.4367793724999998</v>
      </c>
      <c r="AF33" s="44">
        <f>IF(AF$2&lt;1,,AF32*'CoC inputs'!$G$12)</f>
        <v>1.4620676234999996</v>
      </c>
      <c r="AG33" s="39">
        <f>IF(AG$2&lt;1,,AG32*'CoC inputs'!$G$12)</f>
        <v>0.48735587449999979</v>
      </c>
    </row>
    <row r="34" spans="2:33">
      <c r="B34" s="20"/>
      <c r="C34" s="21" t="s">
        <v>63</v>
      </c>
      <c r="D34" s="21"/>
      <c r="E34" s="44"/>
      <c r="F34" s="44">
        <f>IF(F$2&lt;1,,(AVERAGE(F7,F11)+AVERAGE(F15,F19)+AVERAGE(F23,F27))*'CoC inputs'!$G$17)</f>
        <v>0</v>
      </c>
      <c r="G34" s="44">
        <f>IF(G$2&lt;1,,(AVERAGE(G7,G11)+AVERAGE(G15,G19)+AVERAGE(G23,G27))*'CoC inputs'!$G$17)</f>
        <v>0</v>
      </c>
      <c r="H34" s="44">
        <f>IF(H$2&lt;1,,(AVERAGE(H7,H11)+AVERAGE(H15,H19)+AVERAGE(H23,H27))*'CoC inputs'!$G$17)</f>
        <v>0</v>
      </c>
      <c r="I34" s="44">
        <f>IF(I$2&lt;1,,(AVERAGE(I7,I11)+AVERAGE(I15,I19)+AVERAGE(I23,I27))*'CoC inputs'!$G$17)</f>
        <v>1188.7460642749998</v>
      </c>
      <c r="J34" s="44">
        <f>IF(J$2&lt;1,,(AVERAGE(J7,J11)+AVERAGE(J15,J19)+AVERAGE(J23,J27))*'CoC inputs'!$G$17)</f>
        <v>1139.277775325</v>
      </c>
      <c r="K34" s="44">
        <f>IF(K$2&lt;1,,(AVERAGE(K7,K11)+AVERAGE(K15,K19)+AVERAGE(K23,K27))*'CoC inputs'!$G$17)</f>
        <v>1089.8094863749998</v>
      </c>
      <c r="L34" s="44">
        <f>IF(L$2&lt;1,,(AVERAGE(L7,L11)+AVERAGE(L15,L19)+AVERAGE(L23,L27))*'CoC inputs'!$G$17)</f>
        <v>1040.3411974249998</v>
      </c>
      <c r="M34" s="44">
        <f>IF(M$2&lt;1,,(AVERAGE(M7,M11)+AVERAGE(M15,M19)+AVERAGE(M23,M27))*'CoC inputs'!$G$17)</f>
        <v>990.87290847499992</v>
      </c>
      <c r="N34" s="44">
        <f>IF(N$2&lt;1,,(AVERAGE(N7,N11)+AVERAGE(N15,N19)+AVERAGE(N23,N27))*'CoC inputs'!$G$17)</f>
        <v>941.40461952499982</v>
      </c>
      <c r="O34" s="44">
        <f>IF(O$2&lt;1,,(AVERAGE(O7,O11)+AVERAGE(O15,O19)+AVERAGE(O23,O27))*'CoC inputs'!$G$17)</f>
        <v>891.93633057499983</v>
      </c>
      <c r="P34" s="44">
        <f>IF(P$2&lt;1,,(AVERAGE(P7,P11)+AVERAGE(P15,P19)+AVERAGE(P23,P27))*'CoC inputs'!$G$17)</f>
        <v>842.46804162499984</v>
      </c>
      <c r="Q34" s="44">
        <f>IF(Q$2&lt;1,,(AVERAGE(Q7,Q11)+AVERAGE(Q15,Q19)+AVERAGE(Q23,Q27))*'CoC inputs'!$G$17)</f>
        <v>792.99975267499985</v>
      </c>
      <c r="R34" s="44">
        <f>IF(R$2&lt;1,,(AVERAGE(R7,R11)+AVERAGE(R15,R19)+AVERAGE(R23,R27))*'CoC inputs'!$G$17)</f>
        <v>743.53146372499987</v>
      </c>
      <c r="S34" s="44">
        <f>IF(S$2&lt;1,,(AVERAGE(S7,S11)+AVERAGE(S15,S19)+AVERAGE(S23,S27))*'CoC inputs'!$G$17)</f>
        <v>694.06317477499988</v>
      </c>
      <c r="T34" s="44">
        <f>IF(T$2&lt;1,,(AVERAGE(T7,T11)+AVERAGE(T15,T19)+AVERAGE(T23,T27))*'CoC inputs'!$G$17)</f>
        <v>644.59488582499989</v>
      </c>
      <c r="U34" s="44">
        <f>IF(U$2&lt;1,,(AVERAGE(U7,U11)+AVERAGE(U15,U19)+AVERAGE(U23,U27))*'CoC inputs'!$G$17)</f>
        <v>595.1265968749999</v>
      </c>
      <c r="V34" s="44">
        <f>IF(V$2&lt;1,,(AVERAGE(V7,V11)+AVERAGE(V15,V19)+AVERAGE(V23,V27))*'CoC inputs'!$G$17)</f>
        <v>545.65830792499992</v>
      </c>
      <c r="W34" s="44">
        <f>IF(W$2&lt;1,,(AVERAGE(W7,W11)+AVERAGE(W15,W19)+AVERAGE(W23,W27))*'CoC inputs'!$G$17)</f>
        <v>504.14001897499992</v>
      </c>
      <c r="X34" s="44">
        <f>IF(X$2&lt;1,,(AVERAGE(X7,X11)+AVERAGE(X15,X19)+AVERAGE(X23,X27))*'CoC inputs'!$G$17)</f>
        <v>462.98808077499996</v>
      </c>
      <c r="Y34" s="44">
        <f>IF(Y$2&lt;1,,(AVERAGE(Y7,Y11)+AVERAGE(Y15,Y19)+AVERAGE(Y23,Y27))*'CoC inputs'!$G$17)</f>
        <v>414.25249332499993</v>
      </c>
      <c r="Z34" s="44">
        <f>IF(Z$2&lt;1,,(AVERAGE(Z7,Z11)+AVERAGE(Z15,Z19)+AVERAGE(Z23,Z27))*'CoC inputs'!$G$17)</f>
        <v>365.51690587499996</v>
      </c>
      <c r="AA34" s="44">
        <f>IF(AA$2&lt;1,,(AVERAGE(AA7,AA11)+AVERAGE(AA15,AA19)+AVERAGE(AA23,AA27))*'CoC inputs'!$G$17)</f>
        <v>316.78131842499994</v>
      </c>
      <c r="AB34" s="44">
        <f>IF(AB$2&lt;1,,(AVERAGE(AB7,AB11)+AVERAGE(AB15,AB19)+AVERAGE(AB23,AB27))*'CoC inputs'!$G$17)</f>
        <v>268.04573097499997</v>
      </c>
      <c r="AC34" s="44">
        <f>IF(AC$2&lt;1,,(AVERAGE(AC7,AC11)+AVERAGE(AC15,AC19)+AVERAGE(AC23,AC27))*'CoC inputs'!$G$17)</f>
        <v>219.31014352499997</v>
      </c>
      <c r="AD34" s="44">
        <f>IF(AD$2&lt;1,,(AVERAGE(AD7,AD11)+AVERAGE(AD15,AD19)+AVERAGE(AD23,AD27))*'CoC inputs'!$G$17)</f>
        <v>170.57455607499998</v>
      </c>
      <c r="AE34" s="44">
        <f>IF(AE$2&lt;1,,(AVERAGE(AE7,AE11)+AVERAGE(AE15,AE19)+AVERAGE(AE23,AE27))*'CoC inputs'!$G$17)</f>
        <v>121.83896862499998</v>
      </c>
      <c r="AF34" s="44">
        <f>IF(AF$2&lt;1,,(AVERAGE(AF7,AF11)+AVERAGE(AF15,AF19)+AVERAGE(AF23,AF27))*'CoC inputs'!$G$17)</f>
        <v>73.103381174999981</v>
      </c>
      <c r="AG34" s="39">
        <f>IF(AG$2&lt;1,,(AVERAGE(AG7,AG11)+AVERAGE(AG15,AG19)+AVERAGE(AG23,AG27))*'CoC inputs'!$G$17)</f>
        <v>24.367793724999988</v>
      </c>
    </row>
    <row r="35" spans="2:33">
      <c r="B35" s="22"/>
      <c r="C35" s="16" t="s">
        <v>64</v>
      </c>
      <c r="D35" s="16"/>
      <c r="E35" s="45"/>
      <c r="F35" s="45">
        <f>IF(F$2&lt;1,,F34*'CoC inputs'!$G$16)</f>
        <v>0</v>
      </c>
      <c r="G35" s="45">
        <f>IF(G$2&lt;1,,G34*'CoC inputs'!$G$16)</f>
        <v>0</v>
      </c>
      <c r="H35" s="45">
        <f>IF(H$2&lt;1,,H34*'CoC inputs'!$G$16)</f>
        <v>0</v>
      </c>
      <c r="I35" s="45">
        <f>IF(I$2&lt;1,,I34*'CoC inputs'!$G$16)</f>
        <v>83.212224499249984</v>
      </c>
      <c r="J35" s="45">
        <f>IF(J$2&lt;1,,J34*'CoC inputs'!$G$16)</f>
        <v>79.749444272750011</v>
      </c>
      <c r="K35" s="45">
        <f>IF(K$2&lt;1,,K34*'CoC inputs'!$G$16)</f>
        <v>76.286664046249996</v>
      </c>
      <c r="L35" s="45">
        <f>IF(L$2&lt;1,,L34*'CoC inputs'!$G$16)</f>
        <v>72.823883819749994</v>
      </c>
      <c r="M35" s="45">
        <f>IF(M$2&lt;1,,M34*'CoC inputs'!$G$16)</f>
        <v>69.361103593250007</v>
      </c>
      <c r="N35" s="45">
        <f>IF(N$2&lt;1,,N34*'CoC inputs'!$G$16)</f>
        <v>65.898323366749992</v>
      </c>
      <c r="O35" s="45">
        <f>IF(O$2&lt;1,,O34*'CoC inputs'!$G$16)</f>
        <v>62.435543140249997</v>
      </c>
      <c r="P35" s="45">
        <f>IF(P$2&lt;1,,P34*'CoC inputs'!$G$16)</f>
        <v>58.972762913749996</v>
      </c>
      <c r="Q35" s="45">
        <f>IF(Q$2&lt;1,,Q34*'CoC inputs'!$G$16)</f>
        <v>55.509982687249995</v>
      </c>
      <c r="R35" s="45">
        <f>IF(R$2&lt;1,,R34*'CoC inputs'!$G$16)</f>
        <v>52.047202460749993</v>
      </c>
      <c r="S35" s="45">
        <f>IF(S$2&lt;1,,S34*'CoC inputs'!$G$16)</f>
        <v>48.584422234249999</v>
      </c>
      <c r="T35" s="45">
        <f>IF(T$2&lt;1,,T34*'CoC inputs'!$G$16)</f>
        <v>45.121642007749998</v>
      </c>
      <c r="U35" s="45">
        <f>IF(U$2&lt;1,,U34*'CoC inputs'!$G$16)</f>
        <v>41.658861781249996</v>
      </c>
      <c r="V35" s="45">
        <f>IF(V$2&lt;1,,V34*'CoC inputs'!$G$16)</f>
        <v>38.196081554749995</v>
      </c>
      <c r="W35" s="45">
        <f>IF(W$2&lt;1,,W34*'CoC inputs'!$G$16)</f>
        <v>35.28980132825</v>
      </c>
      <c r="X35" s="45">
        <f>IF(X$2&lt;1,,X34*'CoC inputs'!$G$16)</f>
        <v>32.409165654250003</v>
      </c>
      <c r="Y35" s="45">
        <f>IF(Y$2&lt;1,,Y34*'CoC inputs'!$G$16)</f>
        <v>28.997674532749997</v>
      </c>
      <c r="Z35" s="45">
        <f>IF(Z$2&lt;1,,Z34*'CoC inputs'!$G$16)</f>
        <v>25.586183411250001</v>
      </c>
      <c r="AA35" s="45">
        <f>IF(AA$2&lt;1,,AA34*'CoC inputs'!$G$16)</f>
        <v>22.174692289749999</v>
      </c>
      <c r="AB35" s="45">
        <f>IF(AB$2&lt;1,,AB34*'CoC inputs'!$G$16)</f>
        <v>18.763201168249999</v>
      </c>
      <c r="AC35" s="45">
        <f>IF(AC$2&lt;1,,AC34*'CoC inputs'!$G$16)</f>
        <v>15.35171004675</v>
      </c>
      <c r="AD35" s="45">
        <f>IF(AD$2&lt;1,,AD34*'CoC inputs'!$G$16)</f>
        <v>11.940218925249999</v>
      </c>
      <c r="AE35" s="45">
        <f>IF(AE$2&lt;1,,AE34*'CoC inputs'!$G$16)</f>
        <v>8.5287278037499998</v>
      </c>
      <c r="AF35" s="45">
        <f>IF(AF$2&lt;1,,AF34*'CoC inputs'!$G$16)</f>
        <v>5.1172366822499988</v>
      </c>
      <c r="AG35" s="46">
        <f>IF(AG$2&lt;1,,AG34*'CoC inputs'!$G$16)</f>
        <v>1.7057455607499994</v>
      </c>
    </row>
    <row r="36" spans="2:33">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row>
    <row r="37" spans="2:33">
      <c r="B37" s="18" t="s">
        <v>50</v>
      </c>
      <c r="C37" s="15"/>
      <c r="D37" s="15"/>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8"/>
    </row>
    <row r="38" spans="2:33">
      <c r="B38" s="20"/>
      <c r="C38" s="21" t="s">
        <v>96</v>
      </c>
      <c r="D38" s="21"/>
      <c r="E38" s="44"/>
      <c r="F38" s="44">
        <f>'Other inputs'!G29</f>
        <v>0</v>
      </c>
      <c r="G38" s="44">
        <f>'Other inputs'!H29</f>
        <v>0</v>
      </c>
      <c r="H38" s="44">
        <f>'Other inputs'!I29</f>
        <v>0</v>
      </c>
      <c r="I38" s="44">
        <f>'Other inputs'!J29</f>
        <v>0</v>
      </c>
      <c r="J38" s="44">
        <f>'Other inputs'!K29</f>
        <v>0</v>
      </c>
      <c r="K38" s="44">
        <f>'Other inputs'!L29</f>
        <v>0</v>
      </c>
      <c r="L38" s="44">
        <f>'Other inputs'!M29</f>
        <v>0</v>
      </c>
      <c r="M38" s="44">
        <f>'Other inputs'!N29</f>
        <v>0</v>
      </c>
      <c r="N38" s="44">
        <f>'Other inputs'!O29</f>
        <v>0</v>
      </c>
      <c r="O38" s="44">
        <f>'Other inputs'!P29</f>
        <v>0</v>
      </c>
      <c r="P38" s="44">
        <f>'Other inputs'!Q29</f>
        <v>0</v>
      </c>
      <c r="Q38" s="44">
        <f>'Other inputs'!R29</f>
        <v>0</v>
      </c>
      <c r="R38" s="44">
        <f>'Other inputs'!S29</f>
        <v>0</v>
      </c>
      <c r="S38" s="44">
        <f>'Other inputs'!T29</f>
        <v>0</v>
      </c>
      <c r="T38" s="44">
        <f>'Other inputs'!U29</f>
        <v>0</v>
      </c>
      <c r="U38" s="44">
        <f>'Other inputs'!V29</f>
        <v>0</v>
      </c>
      <c r="V38" s="44">
        <f>'Other inputs'!W29</f>
        <v>0</v>
      </c>
      <c r="W38" s="44">
        <f>'Other inputs'!X29</f>
        <v>0</v>
      </c>
      <c r="X38" s="44">
        <f>'Other inputs'!Y29</f>
        <v>0</v>
      </c>
      <c r="Y38" s="44">
        <f>'Other inputs'!Z29</f>
        <v>0</v>
      </c>
      <c r="Z38" s="44">
        <f>'Other inputs'!AA29</f>
        <v>0</v>
      </c>
      <c r="AA38" s="44">
        <f>'Other inputs'!AB29</f>
        <v>0</v>
      </c>
      <c r="AB38" s="44">
        <f>'Other inputs'!AC29</f>
        <v>0</v>
      </c>
      <c r="AC38" s="44">
        <f>'Other inputs'!AD29</f>
        <v>0</v>
      </c>
      <c r="AD38" s="44">
        <f>'Other inputs'!AE29</f>
        <v>0</v>
      </c>
      <c r="AE38" s="44">
        <f>'Other inputs'!AF29</f>
        <v>0</v>
      </c>
      <c r="AF38" s="44">
        <f>'Other inputs'!AG29</f>
        <v>0</v>
      </c>
      <c r="AG38" s="39">
        <f>'Other inputs'!AH29</f>
        <v>50</v>
      </c>
    </row>
    <row r="39" spans="2:33">
      <c r="B39" s="20"/>
      <c r="C39" s="21" t="s">
        <v>165</v>
      </c>
      <c r="D39" s="21"/>
      <c r="E39" s="44"/>
      <c r="F39" s="44">
        <f>'Other inputs'!G30</f>
        <v>0</v>
      </c>
      <c r="G39" s="44">
        <f>'Other inputs'!H30</f>
        <v>0</v>
      </c>
      <c r="H39" s="44">
        <f>'Other inputs'!I30</f>
        <v>0</v>
      </c>
      <c r="I39" s="44">
        <f>'Other inputs'!J30</f>
        <v>20</v>
      </c>
      <c r="J39" s="44">
        <f>'Other inputs'!K30</f>
        <v>20</v>
      </c>
      <c r="K39" s="44">
        <f>'Other inputs'!L30</f>
        <v>20</v>
      </c>
      <c r="L39" s="44">
        <f>'Other inputs'!M30</f>
        <v>20</v>
      </c>
      <c r="M39" s="44">
        <f>'Other inputs'!N30</f>
        <v>20</v>
      </c>
      <c r="N39" s="44">
        <f>'Other inputs'!O30</f>
        <v>20</v>
      </c>
      <c r="O39" s="44">
        <f>'Other inputs'!P30</f>
        <v>20</v>
      </c>
      <c r="P39" s="44">
        <f>'Other inputs'!Q30</f>
        <v>20</v>
      </c>
      <c r="Q39" s="44">
        <f>'Other inputs'!R30</f>
        <v>20</v>
      </c>
      <c r="R39" s="44">
        <f>'Other inputs'!S30</f>
        <v>20</v>
      </c>
      <c r="S39" s="44">
        <f>'Other inputs'!T30</f>
        <v>20</v>
      </c>
      <c r="T39" s="44">
        <f>'Other inputs'!U30</f>
        <v>20</v>
      </c>
      <c r="U39" s="44">
        <f>'Other inputs'!V30</f>
        <v>20</v>
      </c>
      <c r="V39" s="44">
        <f>'Other inputs'!W30</f>
        <v>20</v>
      </c>
      <c r="W39" s="44">
        <f>'Other inputs'!X30</f>
        <v>20</v>
      </c>
      <c r="X39" s="44">
        <f>'Other inputs'!Y30</f>
        <v>20</v>
      </c>
      <c r="Y39" s="44">
        <f>'Other inputs'!Z30</f>
        <v>20</v>
      </c>
      <c r="Z39" s="44">
        <f>'Other inputs'!AA30</f>
        <v>20</v>
      </c>
      <c r="AA39" s="44">
        <f>'Other inputs'!AB30</f>
        <v>20</v>
      </c>
      <c r="AB39" s="44">
        <f>'Other inputs'!AC30</f>
        <v>20</v>
      </c>
      <c r="AC39" s="44">
        <f>'Other inputs'!AD30</f>
        <v>20</v>
      </c>
      <c r="AD39" s="44">
        <f>'Other inputs'!AE30</f>
        <v>20</v>
      </c>
      <c r="AE39" s="44">
        <f>'Other inputs'!AF30</f>
        <v>20</v>
      </c>
      <c r="AF39" s="44">
        <f>'Other inputs'!AG30</f>
        <v>20</v>
      </c>
      <c r="AG39" s="39">
        <f>'Other inputs'!AH30</f>
        <v>20</v>
      </c>
    </row>
    <row r="40" spans="2:33">
      <c r="B40" s="20"/>
      <c r="C40" s="21" t="s">
        <v>47</v>
      </c>
      <c r="D40" s="21"/>
      <c r="E40" s="44"/>
      <c r="F40" s="44">
        <f>'Other inputs'!G31</f>
        <v>0</v>
      </c>
      <c r="G40" s="44">
        <f>'Other inputs'!H31</f>
        <v>0</v>
      </c>
      <c r="H40" s="44">
        <f>'Other inputs'!I31</f>
        <v>0</v>
      </c>
      <c r="I40" s="44">
        <f>'Other inputs'!J31</f>
        <v>0</v>
      </c>
      <c r="J40" s="44">
        <f>'Other inputs'!K31</f>
        <v>0</v>
      </c>
      <c r="K40" s="44">
        <f>'Other inputs'!L31</f>
        <v>0</v>
      </c>
      <c r="L40" s="44">
        <f>'Other inputs'!M31</f>
        <v>0</v>
      </c>
      <c r="M40" s="44">
        <f>'Other inputs'!N31</f>
        <v>0</v>
      </c>
      <c r="N40" s="44">
        <f>'Other inputs'!O31</f>
        <v>0</v>
      </c>
      <c r="O40" s="44">
        <f>'Other inputs'!P31</f>
        <v>0</v>
      </c>
      <c r="P40" s="44">
        <f>'Other inputs'!Q31</f>
        <v>0</v>
      </c>
      <c r="Q40" s="44">
        <f>'Other inputs'!R31</f>
        <v>0</v>
      </c>
      <c r="R40" s="44">
        <f>'Other inputs'!S31</f>
        <v>0</v>
      </c>
      <c r="S40" s="44">
        <f>'Other inputs'!T31</f>
        <v>0</v>
      </c>
      <c r="T40" s="44">
        <f>'Other inputs'!U31</f>
        <v>0</v>
      </c>
      <c r="U40" s="44">
        <f>'Other inputs'!V31</f>
        <v>0</v>
      </c>
      <c r="V40" s="44">
        <f>'Other inputs'!W31</f>
        <v>0</v>
      </c>
      <c r="W40" s="44">
        <f>'Other inputs'!X31</f>
        <v>0</v>
      </c>
      <c r="X40" s="44">
        <f>'Other inputs'!Y31</f>
        <v>0</v>
      </c>
      <c r="Y40" s="44">
        <f>'Other inputs'!Z31</f>
        <v>0</v>
      </c>
      <c r="Z40" s="44">
        <f>'Other inputs'!AA31</f>
        <v>0</v>
      </c>
      <c r="AA40" s="44">
        <f>'Other inputs'!AB31</f>
        <v>0</v>
      </c>
      <c r="AB40" s="44">
        <f>'Other inputs'!AC31</f>
        <v>0</v>
      </c>
      <c r="AC40" s="44">
        <f>'Other inputs'!AD31</f>
        <v>0</v>
      </c>
      <c r="AD40" s="44">
        <f>'Other inputs'!AE31</f>
        <v>0</v>
      </c>
      <c r="AE40" s="44">
        <f>'Other inputs'!AF31</f>
        <v>0</v>
      </c>
      <c r="AF40" s="44">
        <f>'Other inputs'!AG31</f>
        <v>0</v>
      </c>
      <c r="AG40" s="39">
        <f>'Other inputs'!AH31</f>
        <v>0</v>
      </c>
    </row>
    <row r="41" spans="2:33">
      <c r="B41" s="22"/>
      <c r="C41" s="140" t="s">
        <v>185</v>
      </c>
      <c r="D41" s="16"/>
      <c r="E41" s="45"/>
      <c r="F41" s="45">
        <f>'Other inputs'!G32</f>
        <v>0</v>
      </c>
      <c r="G41" s="45">
        <f>'Other inputs'!H32</f>
        <v>0</v>
      </c>
      <c r="H41" s="45">
        <f>'Other inputs'!I32</f>
        <v>0</v>
      </c>
      <c r="I41" s="45">
        <f>'Other inputs'!J32</f>
        <v>0</v>
      </c>
      <c r="J41" s="45">
        <f>'Other inputs'!K32</f>
        <v>0</v>
      </c>
      <c r="K41" s="45">
        <f>'Other inputs'!L32</f>
        <v>0</v>
      </c>
      <c r="L41" s="45">
        <f>'Other inputs'!M32</f>
        <v>0</v>
      </c>
      <c r="M41" s="45">
        <f>'Other inputs'!N32</f>
        <v>0</v>
      </c>
      <c r="N41" s="45">
        <f>'Other inputs'!O32</f>
        <v>0</v>
      </c>
      <c r="O41" s="45">
        <f>'Other inputs'!P32</f>
        <v>0</v>
      </c>
      <c r="P41" s="45">
        <f>'Other inputs'!Q32</f>
        <v>0</v>
      </c>
      <c r="Q41" s="45">
        <f>'Other inputs'!R32</f>
        <v>0</v>
      </c>
      <c r="R41" s="45">
        <f>'Other inputs'!S32</f>
        <v>0</v>
      </c>
      <c r="S41" s="45">
        <f>'Other inputs'!T32</f>
        <v>0</v>
      </c>
      <c r="T41" s="45">
        <f>'Other inputs'!U32</f>
        <v>0</v>
      </c>
      <c r="U41" s="45">
        <f>'Other inputs'!V32</f>
        <v>0</v>
      </c>
      <c r="V41" s="45">
        <f>'Other inputs'!W32</f>
        <v>0</v>
      </c>
      <c r="W41" s="45">
        <f>'Other inputs'!X32</f>
        <v>0</v>
      </c>
      <c r="X41" s="45">
        <f>'Other inputs'!Y32</f>
        <v>0</v>
      </c>
      <c r="Y41" s="45">
        <f>'Other inputs'!Z32</f>
        <v>0</v>
      </c>
      <c r="Z41" s="45">
        <f>'Other inputs'!AA32</f>
        <v>0</v>
      </c>
      <c r="AA41" s="45">
        <f>'Other inputs'!AB32</f>
        <v>0</v>
      </c>
      <c r="AB41" s="45">
        <f>'Other inputs'!AC32</f>
        <v>0</v>
      </c>
      <c r="AC41" s="45">
        <f>'Other inputs'!AD32</f>
        <v>0</v>
      </c>
      <c r="AD41" s="45">
        <f>'Other inputs'!AE32</f>
        <v>0</v>
      </c>
      <c r="AE41" s="45">
        <f>'Other inputs'!AF32</f>
        <v>0</v>
      </c>
      <c r="AF41" s="45">
        <f>'Other inputs'!AG32</f>
        <v>0</v>
      </c>
      <c r="AG41" s="46">
        <f>'Other inputs'!AH32</f>
        <v>0</v>
      </c>
    </row>
    <row r="42" spans="2:33">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row>
    <row r="43" spans="2:33">
      <c r="B43" s="18" t="s">
        <v>51</v>
      </c>
      <c r="C43" s="15"/>
      <c r="D43" s="15"/>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8"/>
    </row>
    <row r="44" spans="2:33">
      <c r="B44" s="20"/>
      <c r="C44" s="21" t="s">
        <v>198</v>
      </c>
      <c r="D44" s="21"/>
      <c r="E44" s="44"/>
      <c r="F44" s="44">
        <f>SUM(F38,F39,F40,F41)</f>
        <v>0</v>
      </c>
      <c r="G44" s="44">
        <f>SUM(G38,G39,G40,G41)</f>
        <v>0</v>
      </c>
      <c r="H44" s="44">
        <f>SUM(H38,H39,H40,H41)</f>
        <v>0</v>
      </c>
      <c r="I44" s="44">
        <f>SUM(I38,I39,I40,I41)</f>
        <v>20</v>
      </c>
      <c r="J44" s="44">
        <f t="shared" ref="J44:AG44" si="8">SUM(J38,J39,J40,J41)</f>
        <v>20</v>
      </c>
      <c r="K44" s="44">
        <f t="shared" si="8"/>
        <v>20</v>
      </c>
      <c r="L44" s="44">
        <f t="shared" si="8"/>
        <v>20</v>
      </c>
      <c r="M44" s="44">
        <f t="shared" si="8"/>
        <v>20</v>
      </c>
      <c r="N44" s="44">
        <f t="shared" si="8"/>
        <v>20</v>
      </c>
      <c r="O44" s="44">
        <f t="shared" si="8"/>
        <v>20</v>
      </c>
      <c r="P44" s="44">
        <f t="shared" si="8"/>
        <v>20</v>
      </c>
      <c r="Q44" s="44">
        <f t="shared" si="8"/>
        <v>20</v>
      </c>
      <c r="R44" s="44">
        <f t="shared" si="8"/>
        <v>20</v>
      </c>
      <c r="S44" s="44">
        <f t="shared" si="8"/>
        <v>20</v>
      </c>
      <c r="T44" s="44">
        <f t="shared" si="8"/>
        <v>20</v>
      </c>
      <c r="U44" s="44">
        <f t="shared" si="8"/>
        <v>20</v>
      </c>
      <c r="V44" s="44">
        <f t="shared" si="8"/>
        <v>20</v>
      </c>
      <c r="W44" s="44">
        <f t="shared" si="8"/>
        <v>20</v>
      </c>
      <c r="X44" s="44">
        <f t="shared" si="8"/>
        <v>20</v>
      </c>
      <c r="Y44" s="44">
        <f t="shared" si="8"/>
        <v>20</v>
      </c>
      <c r="Z44" s="44">
        <f t="shared" si="8"/>
        <v>20</v>
      </c>
      <c r="AA44" s="44">
        <f t="shared" si="8"/>
        <v>20</v>
      </c>
      <c r="AB44" s="44">
        <f t="shared" si="8"/>
        <v>20</v>
      </c>
      <c r="AC44" s="44">
        <f t="shared" si="8"/>
        <v>20</v>
      </c>
      <c r="AD44" s="44">
        <f t="shared" si="8"/>
        <v>20</v>
      </c>
      <c r="AE44" s="44">
        <f t="shared" si="8"/>
        <v>20</v>
      </c>
      <c r="AF44" s="44">
        <f t="shared" si="8"/>
        <v>20</v>
      </c>
      <c r="AG44" s="39">
        <f t="shared" si="8"/>
        <v>70</v>
      </c>
    </row>
    <row r="45" spans="2:33">
      <c r="B45" s="20"/>
      <c r="C45" s="55" t="s">
        <v>218</v>
      </c>
      <c r="D45" s="21"/>
      <c r="E45" s="44"/>
      <c r="F45" s="44">
        <f>IF(F$2&lt;1,,'CoC inputs'!$G32)</f>
        <v>0</v>
      </c>
      <c r="G45" s="44">
        <f>IF(G$2&lt;1,,'CoC inputs'!$G32)</f>
        <v>0</v>
      </c>
      <c r="H45" s="44">
        <f>IF(H$2&lt;1,,'CoC inputs'!$G32)</f>
        <v>0</v>
      </c>
      <c r="I45" s="44">
        <f>IF(I$2&lt;1,,'CoC inputs'!$G32)</f>
        <v>0</v>
      </c>
      <c r="J45" s="44">
        <f>IF(J$2&lt;1,,'CoC inputs'!$G32)</f>
        <v>0</v>
      </c>
      <c r="K45" s="44">
        <f>IF(K$2&lt;1,,'CoC inputs'!$G32)</f>
        <v>0</v>
      </c>
      <c r="L45" s="44">
        <f>IF(L$2&lt;1,,'CoC inputs'!$G32)</f>
        <v>0</v>
      </c>
      <c r="M45" s="44">
        <f>IF(M$2&lt;1,,'CoC inputs'!$G32)</f>
        <v>0</v>
      </c>
      <c r="N45" s="44">
        <f>IF(N$2&lt;1,,'CoC inputs'!$G32)</f>
        <v>0</v>
      </c>
      <c r="O45" s="44">
        <f>IF(O$2&lt;1,,'CoC inputs'!$G32)</f>
        <v>0</v>
      </c>
      <c r="P45" s="44">
        <f>IF(P$2&lt;1,,'CoC inputs'!$G32)</f>
        <v>0</v>
      </c>
      <c r="Q45" s="44">
        <f>IF(Q$2&lt;1,,'CoC inputs'!$G32)</f>
        <v>0</v>
      </c>
      <c r="R45" s="44">
        <f>IF(R$2&lt;1,,'CoC inputs'!$G32)</f>
        <v>0</v>
      </c>
      <c r="S45" s="44">
        <f>IF(S$2&lt;1,,'CoC inputs'!$G32)</f>
        <v>0</v>
      </c>
      <c r="T45" s="44">
        <f>IF(T$2&lt;1,,'CoC inputs'!$G32)</f>
        <v>0</v>
      </c>
      <c r="U45" s="44">
        <f>IF(U$2&lt;1,,'CoC inputs'!$G32)</f>
        <v>0</v>
      </c>
      <c r="V45" s="44">
        <f>IF(V$2&lt;1,,'CoC inputs'!$G32)</f>
        <v>0</v>
      </c>
      <c r="W45" s="44">
        <f>IF(W$2&lt;1,,'CoC inputs'!$G32)</f>
        <v>0</v>
      </c>
      <c r="X45" s="44">
        <f>IF(X$2&lt;1,,'CoC inputs'!$G32)</f>
        <v>0</v>
      </c>
      <c r="Y45" s="44">
        <f>IF(Y$2&lt;1,,'CoC inputs'!$G32)</f>
        <v>0</v>
      </c>
      <c r="Z45" s="44">
        <f>IF(Z$2&lt;1,,'CoC inputs'!$G32)</f>
        <v>0</v>
      </c>
      <c r="AA45" s="44">
        <f>IF(AA$2&lt;1,,'CoC inputs'!$G32)</f>
        <v>0</v>
      </c>
      <c r="AB45" s="44">
        <f>IF(AB$2&lt;1,,'CoC inputs'!$G32)</f>
        <v>0</v>
      </c>
      <c r="AC45" s="44">
        <f>IF(AC$2&lt;1,,'CoC inputs'!$G32)</f>
        <v>0</v>
      </c>
      <c r="AD45" s="44">
        <f>IF(AD$2&lt;1,,'CoC inputs'!$G32)</f>
        <v>0</v>
      </c>
      <c r="AE45" s="44">
        <f>IF(AE$2&lt;1,,'CoC inputs'!$G32)</f>
        <v>0</v>
      </c>
      <c r="AF45" s="44">
        <f>IF(AF$2&lt;1,,'CoC inputs'!$G32)</f>
        <v>0</v>
      </c>
      <c r="AG45" s="39">
        <f>IF(AG$2&lt;1,,'CoC inputs'!$G32)</f>
        <v>0</v>
      </c>
    </row>
    <row r="46" spans="2:33">
      <c r="B46" s="20"/>
      <c r="C46" s="55" t="s">
        <v>219</v>
      </c>
      <c r="D46" s="21"/>
      <c r="E46" s="44"/>
      <c r="F46" s="44">
        <f>IF(F$2&lt;1,,'CoC inputs'!$G33)</f>
        <v>0</v>
      </c>
      <c r="G46" s="44">
        <f>IF(G$2&lt;1,,'CoC inputs'!$G33)</f>
        <v>0</v>
      </c>
      <c r="H46" s="44">
        <f>IF(H$2&lt;1,,'CoC inputs'!$G33)</f>
        <v>0</v>
      </c>
      <c r="I46" s="44">
        <f>IF(I$2&lt;1,,'CoC inputs'!$G33)</f>
        <v>5</v>
      </c>
      <c r="J46" s="44">
        <f>IF(J$2&lt;1,,'CoC inputs'!$G33)</f>
        <v>5</v>
      </c>
      <c r="K46" s="44">
        <f>IF(K$2&lt;1,,'CoC inputs'!$G33)</f>
        <v>5</v>
      </c>
      <c r="L46" s="44">
        <f>IF(L$2&lt;1,,'CoC inputs'!$G33)</f>
        <v>5</v>
      </c>
      <c r="M46" s="44">
        <f>IF(M$2&lt;1,,'CoC inputs'!$G33)</f>
        <v>5</v>
      </c>
      <c r="N46" s="44">
        <f>IF(N$2&lt;1,,'CoC inputs'!$G33)</f>
        <v>5</v>
      </c>
      <c r="O46" s="44">
        <f>IF(O$2&lt;1,,'CoC inputs'!$G33)</f>
        <v>5</v>
      </c>
      <c r="P46" s="44">
        <f>IF(P$2&lt;1,,'CoC inputs'!$G33)</f>
        <v>5</v>
      </c>
      <c r="Q46" s="44">
        <f>IF(Q$2&lt;1,,'CoC inputs'!$G33)</f>
        <v>5</v>
      </c>
      <c r="R46" s="44">
        <f>IF(R$2&lt;1,,'CoC inputs'!$G33)</f>
        <v>5</v>
      </c>
      <c r="S46" s="44">
        <f>IF(S$2&lt;1,,'CoC inputs'!$G33)</f>
        <v>5</v>
      </c>
      <c r="T46" s="44">
        <f>IF(T$2&lt;1,,'CoC inputs'!$G33)</f>
        <v>5</v>
      </c>
      <c r="U46" s="44">
        <f>IF(U$2&lt;1,,'CoC inputs'!$G33)</f>
        <v>5</v>
      </c>
      <c r="V46" s="44">
        <f>IF(V$2&lt;1,,'CoC inputs'!$G33)</f>
        <v>5</v>
      </c>
      <c r="W46" s="44">
        <f>IF(W$2&lt;1,,'CoC inputs'!$G33)</f>
        <v>5</v>
      </c>
      <c r="X46" s="44">
        <f>IF(X$2&lt;1,,'CoC inputs'!$G33)</f>
        <v>5</v>
      </c>
      <c r="Y46" s="44">
        <f>IF(Y$2&lt;1,,'CoC inputs'!$G33)</f>
        <v>5</v>
      </c>
      <c r="Z46" s="44">
        <f>IF(Z$2&lt;1,,'CoC inputs'!$G33)</f>
        <v>5</v>
      </c>
      <c r="AA46" s="44">
        <f>IF(AA$2&lt;1,,'CoC inputs'!$G33)</f>
        <v>5</v>
      </c>
      <c r="AB46" s="44">
        <f>IF(AB$2&lt;1,,'CoC inputs'!$G33)</f>
        <v>5</v>
      </c>
      <c r="AC46" s="44">
        <f>IF(AC$2&lt;1,,'CoC inputs'!$G33)</f>
        <v>5</v>
      </c>
      <c r="AD46" s="44">
        <f>IF(AD$2&lt;1,,'CoC inputs'!$G33)</f>
        <v>5</v>
      </c>
      <c r="AE46" s="44">
        <f>IF(AE$2&lt;1,,'CoC inputs'!$G33)</f>
        <v>5</v>
      </c>
      <c r="AF46" s="44">
        <f>IF(AF$2&lt;1,,'CoC inputs'!$G33)</f>
        <v>5</v>
      </c>
      <c r="AG46" s="39">
        <f>IF(AG$2&lt;1,,'CoC inputs'!$G33)</f>
        <v>5</v>
      </c>
    </row>
    <row r="47" spans="2:33">
      <c r="B47" s="20"/>
      <c r="C47" s="55" t="s">
        <v>220</v>
      </c>
      <c r="D47" s="21"/>
      <c r="E47" s="44"/>
      <c r="F47" s="44">
        <f>IF(F$2&lt;1,,'CoC inputs'!$G34)</f>
        <v>0</v>
      </c>
      <c r="G47" s="44">
        <f>IF(G$2&lt;1,,'CoC inputs'!$G34)</f>
        <v>0</v>
      </c>
      <c r="H47" s="44">
        <f>IF(H$2&lt;1,,'CoC inputs'!$G34)</f>
        <v>0</v>
      </c>
      <c r="I47" s="44">
        <f>IF(I$2&lt;1,,'CoC inputs'!$G34)</f>
        <v>15</v>
      </c>
      <c r="J47" s="44">
        <f>IF(J$2&lt;1,,'CoC inputs'!$G34)</f>
        <v>15</v>
      </c>
      <c r="K47" s="44">
        <f>IF(K$2&lt;1,,'CoC inputs'!$G34)</f>
        <v>15</v>
      </c>
      <c r="L47" s="44">
        <f>IF(L$2&lt;1,,'CoC inputs'!$G34)</f>
        <v>15</v>
      </c>
      <c r="M47" s="44">
        <f>IF(M$2&lt;1,,'CoC inputs'!$G34)</f>
        <v>15</v>
      </c>
      <c r="N47" s="44">
        <f>IF(N$2&lt;1,,'CoC inputs'!$G34)</f>
        <v>15</v>
      </c>
      <c r="O47" s="44">
        <f>IF(O$2&lt;1,,'CoC inputs'!$G34)</f>
        <v>15</v>
      </c>
      <c r="P47" s="44">
        <f>IF(P$2&lt;1,,'CoC inputs'!$G34)</f>
        <v>15</v>
      </c>
      <c r="Q47" s="44">
        <f>IF(Q$2&lt;1,,'CoC inputs'!$G34)</f>
        <v>15</v>
      </c>
      <c r="R47" s="44">
        <f>IF(R$2&lt;1,,'CoC inputs'!$G34)</f>
        <v>15</v>
      </c>
      <c r="S47" s="44">
        <f>IF(S$2&lt;1,,'CoC inputs'!$G34)</f>
        <v>15</v>
      </c>
      <c r="T47" s="44">
        <f>IF(T$2&lt;1,,'CoC inputs'!$G34)</f>
        <v>15</v>
      </c>
      <c r="U47" s="44">
        <f>IF(U$2&lt;1,,'CoC inputs'!$G34)</f>
        <v>15</v>
      </c>
      <c r="V47" s="44">
        <f>IF(V$2&lt;1,,'CoC inputs'!$G34)</f>
        <v>15</v>
      </c>
      <c r="W47" s="44">
        <f>IF(W$2&lt;1,,'CoC inputs'!$G34)</f>
        <v>15</v>
      </c>
      <c r="X47" s="44">
        <f>IF(X$2&lt;1,,'CoC inputs'!$G34)</f>
        <v>15</v>
      </c>
      <c r="Y47" s="44">
        <f>IF(Y$2&lt;1,,'CoC inputs'!$G34)</f>
        <v>15</v>
      </c>
      <c r="Z47" s="44">
        <f>IF(Z$2&lt;1,,'CoC inputs'!$G34)</f>
        <v>15</v>
      </c>
      <c r="AA47" s="44">
        <f>IF(AA$2&lt;1,,'CoC inputs'!$G34)</f>
        <v>15</v>
      </c>
      <c r="AB47" s="44">
        <f>IF(AB$2&lt;1,,'CoC inputs'!$G34)</f>
        <v>15</v>
      </c>
      <c r="AC47" s="44">
        <f>IF(AC$2&lt;1,,'CoC inputs'!$G34)</f>
        <v>15</v>
      </c>
      <c r="AD47" s="44">
        <f>IF(AD$2&lt;1,,'CoC inputs'!$G34)</f>
        <v>15</v>
      </c>
      <c r="AE47" s="44">
        <f>IF(AE$2&lt;1,,'CoC inputs'!$G34)</f>
        <v>15</v>
      </c>
      <c r="AF47" s="44">
        <f>IF(AF$2&lt;1,,'CoC inputs'!$G34)</f>
        <v>15</v>
      </c>
      <c r="AG47" s="39">
        <f>IF(AG$2&lt;1,,'CoC inputs'!$G34)</f>
        <v>15</v>
      </c>
    </row>
    <row r="48" spans="2:33">
      <c r="B48" s="20"/>
      <c r="C48" s="21" t="s">
        <v>69</v>
      </c>
      <c r="D48" s="21"/>
      <c r="E48" s="196" t="s">
        <v>197</v>
      </c>
      <c r="F48" s="197"/>
      <c r="G48" s="197"/>
      <c r="H48" s="197"/>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39"/>
    </row>
    <row r="49" spans="1:33">
      <c r="B49" s="20"/>
      <c r="C49" s="21" t="s">
        <v>52</v>
      </c>
      <c r="D49" s="21"/>
      <c r="E49" s="44"/>
      <c r="F49" s="44">
        <f>F9+F17+F25+F44+F33</f>
        <v>0</v>
      </c>
      <c r="G49" s="44">
        <f>G9+G17+G25+G44+G33</f>
        <v>0</v>
      </c>
      <c r="H49" s="44">
        <f>H9+H17+H25+H44+H33</f>
        <v>0</v>
      </c>
      <c r="I49" s="44">
        <f>I9+I17+I25+I44+I33</f>
        <v>93.243210235499987</v>
      </c>
      <c r="J49" s="44">
        <f t="shared" ref="J49:AG49" si="9">J9+J17+J25+J44+J33</f>
        <v>92.253844456499991</v>
      </c>
      <c r="K49" s="44">
        <f t="shared" si="9"/>
        <v>91.26447867749998</v>
      </c>
      <c r="L49" s="44">
        <f t="shared" si="9"/>
        <v>90.275112898499984</v>
      </c>
      <c r="M49" s="44">
        <f t="shared" si="9"/>
        <v>89.285747119499987</v>
      </c>
      <c r="N49" s="44">
        <f t="shared" si="9"/>
        <v>88.296381340499977</v>
      </c>
      <c r="O49" s="44">
        <f t="shared" si="9"/>
        <v>87.307015561499981</v>
      </c>
      <c r="P49" s="44">
        <f t="shared" si="9"/>
        <v>86.317649782499984</v>
      </c>
      <c r="Q49" s="44">
        <f t="shared" si="9"/>
        <v>85.328284003499988</v>
      </c>
      <c r="R49" s="44">
        <f t="shared" si="9"/>
        <v>84.338918224499992</v>
      </c>
      <c r="S49" s="44">
        <f t="shared" si="9"/>
        <v>83.349552445499981</v>
      </c>
      <c r="T49" s="44">
        <f t="shared" si="9"/>
        <v>82.360186666499985</v>
      </c>
      <c r="U49" s="44">
        <f t="shared" si="9"/>
        <v>81.370820887499988</v>
      </c>
      <c r="V49" s="44">
        <f t="shared" si="9"/>
        <v>80.381455108499992</v>
      </c>
      <c r="W49" s="44">
        <f t="shared" si="9"/>
        <v>79.551089329499987</v>
      </c>
      <c r="X49" s="44">
        <f t="shared" si="9"/>
        <v>77.995349065499994</v>
      </c>
      <c r="Y49" s="44">
        <f t="shared" si="9"/>
        <v>77.0206373165</v>
      </c>
      <c r="Z49" s="44">
        <f t="shared" si="9"/>
        <v>76.045925567499992</v>
      </c>
      <c r="AA49" s="44">
        <f t="shared" si="9"/>
        <v>75.071213818499999</v>
      </c>
      <c r="AB49" s="44">
        <f t="shared" si="9"/>
        <v>74.096502069499991</v>
      </c>
      <c r="AC49" s="44">
        <f t="shared" si="9"/>
        <v>73.121790320499997</v>
      </c>
      <c r="AD49" s="44">
        <f t="shared" si="9"/>
        <v>72.147078571500003</v>
      </c>
      <c r="AE49" s="44">
        <f t="shared" si="9"/>
        <v>71.172366822499995</v>
      </c>
      <c r="AF49" s="44">
        <f t="shared" si="9"/>
        <v>70.197655073500002</v>
      </c>
      <c r="AG49" s="39">
        <f t="shared" si="9"/>
        <v>119.22294332449999</v>
      </c>
    </row>
    <row r="50" spans="1:33">
      <c r="B50" s="22"/>
      <c r="C50" s="16" t="s">
        <v>53</v>
      </c>
      <c r="D50" s="16"/>
      <c r="E50" s="45"/>
      <c r="F50" s="45">
        <f>IF(F2&lt;1,,F9+F17+F25+F44+F35+(F9+F17+F25+F44+F35)*('Other inputs'!G42-'Other inputs'!$F$37)*'Other inputs'!$F$39)</f>
        <v>0</v>
      </c>
      <c r="G50" s="45">
        <f>IF(G2&lt;1,,G9+G17+G25+G44+G35+(G9+G17+G25+G44+G35)*('Other inputs'!H42-'Other inputs'!$F$37)*'Other inputs'!$F$39)</f>
        <v>0</v>
      </c>
      <c r="H50" s="45">
        <f>IF(H2&lt;1,,H9+H17+H25+H44+H35+(H9+H17+H25+H44+H35)*('Other inputs'!I42-'Other inputs'!$F$37)*'Other inputs'!$F$39)</f>
        <v>0</v>
      </c>
      <c r="I50" s="45">
        <f>IF(I2&lt;1,,I9+I17+I25+I44+I35+(I9+I17+I25+I44+I35)*('Other inputs'!J42-'Other inputs'!$F$37)*'Other inputs'!$F$39)</f>
        <v>152.68051344924999</v>
      </c>
      <c r="J50" s="45">
        <f>IF(J2&lt;1,,J9+J17+J25+J44+J35+(J9+J17+J25+J44+J35)*('Other inputs'!K42-'Other inputs'!$F$37)*'Other inputs'!$F$39)</f>
        <v>149.21773322274998</v>
      </c>
      <c r="K50" s="45">
        <f>IF(K2&lt;1,,K9+K17+K25+K44+K35+(K9+K17+K25+K44+K35)*('Other inputs'!L42-'Other inputs'!$F$37)*'Other inputs'!$F$39)</f>
        <v>145.75495299624998</v>
      </c>
      <c r="L50" s="45">
        <f>IF(L2&lt;1,,L9+L17+L25+L44+L35+(L9+L17+L25+L44+L35)*('Other inputs'!M42-'Other inputs'!$F$37)*'Other inputs'!$F$39)</f>
        <v>142.29217276974998</v>
      </c>
      <c r="M50" s="45">
        <f>IF(M2&lt;1,,M9+M17+M25+M44+M35+(M9+M17+M25+M44+M35)*('Other inputs'!N42-'Other inputs'!$F$37)*'Other inputs'!$F$39)</f>
        <v>138.82939254324998</v>
      </c>
      <c r="N50" s="45">
        <f>IF(N2&lt;1,,N9+N17+N25+N44+N35+(N9+N17+N25+N44+N35)*('Other inputs'!O42-'Other inputs'!$F$37)*'Other inputs'!$F$39)</f>
        <v>135.36661231674998</v>
      </c>
      <c r="O50" s="45">
        <f>IF(O2&lt;1,,O9+O17+O25+O44+O35+(O9+O17+O25+O44+O35)*('Other inputs'!P42-'Other inputs'!$F$37)*'Other inputs'!$F$39)</f>
        <v>131.90383209024998</v>
      </c>
      <c r="P50" s="45">
        <f>IF(P2&lt;1,,P9+P17+P25+P44+P35+(P9+P17+P25+P44+P35)*('Other inputs'!Q42-'Other inputs'!$F$37)*'Other inputs'!$F$39)</f>
        <v>128.44105186374998</v>
      </c>
      <c r="Q50" s="45">
        <f>IF(Q2&lt;1,,Q9+Q17+Q25+Q44+Q35+(Q9+Q17+Q25+Q44+Q35)*('Other inputs'!R42-'Other inputs'!$F$37)*'Other inputs'!$F$39)</f>
        <v>124.97827163724997</v>
      </c>
      <c r="R50" s="45">
        <f>IF(R2&lt;1,,R9+R17+R25+R44+R35+(R9+R17+R25+R44+R35)*('Other inputs'!S42-'Other inputs'!$F$37)*'Other inputs'!$F$39)</f>
        <v>121.51549141074997</v>
      </c>
      <c r="S50" s="45">
        <f>IF(S2&lt;1,,S9+S17+S25+S44+S35+(S9+S17+S25+S44+S35)*('Other inputs'!T42-'Other inputs'!$F$37)*'Other inputs'!$F$39)</f>
        <v>118.05271118424999</v>
      </c>
      <c r="T50" s="45">
        <f>IF(T2&lt;1,,T9+T17+T25+T44+T35+(T9+T17+T25+T44+T35)*('Other inputs'!U42-'Other inputs'!$F$37)*'Other inputs'!$F$39)</f>
        <v>114.58993095774998</v>
      </c>
      <c r="U50" s="45">
        <f>IF(U2&lt;1,,U9+U17+U25+U44+U35+(U9+U17+U25+U44+U35)*('Other inputs'!V42-'Other inputs'!$F$37)*'Other inputs'!$F$39)</f>
        <v>111.12715073124998</v>
      </c>
      <c r="V50" s="45">
        <f>IF(V2&lt;1,,V9+V17+V25+V44+V35+(V9+V17+V25+V44+V35)*('Other inputs'!W42-'Other inputs'!$F$37)*'Other inputs'!$F$39)</f>
        <v>107.66437050474998</v>
      </c>
      <c r="W50" s="45">
        <f>IF(W2&lt;1,,W9+W17+W25+W44+W35+(W9+W17+W25+W44+W35)*('Other inputs'!X42-'Other inputs'!$F$37)*'Other inputs'!$F$39)</f>
        <v>104.75809027824999</v>
      </c>
      <c r="X50" s="45">
        <f>IF(X2&lt;1,,X9+X17+X25+X44+X35+(X9+X17+X25+X44+X35)*('Other inputs'!Y42-'Other inputs'!$F$37)*'Other inputs'!$F$39)</f>
        <v>101.14475310425</v>
      </c>
      <c r="Y50" s="45">
        <f>IF(Y2&lt;1,,Y9+Y17+Y25+Y44+Y35+(Y9+Y17+Y25+Y44+Y35)*('Other inputs'!Z42-'Other inputs'!$F$37)*'Other inputs'!$F$39)</f>
        <v>97.733261982749994</v>
      </c>
      <c r="Z50" s="45">
        <f>IF(Z2&lt;1,,Z9+Z17+Z25+Z44+Z35+(Z9+Z17+Z25+Z44+Z35)*('Other inputs'!AA42-'Other inputs'!$F$37)*'Other inputs'!$F$39)</f>
        <v>94.321770861250002</v>
      </c>
      <c r="AA50" s="45">
        <f>IF(AA2&lt;1,,AA9+AA17+AA25+AA44+AA35+(AA9+AA17+AA25+AA44+AA35)*('Other inputs'!AB42-'Other inputs'!$F$37)*'Other inputs'!$F$39)</f>
        <v>90.910279739749996</v>
      </c>
      <c r="AB50" s="45">
        <f>IF(AB2&lt;1,,AB9+AB17+AB25+AB44+AB35+(AB9+AB17+AB25+AB44+AB35)*('Other inputs'!AC42-'Other inputs'!$F$37)*'Other inputs'!$F$39)</f>
        <v>87.498788618249989</v>
      </c>
      <c r="AC50" s="45">
        <f>IF(AC2&lt;1,,AC9+AC17+AC25+AC44+AC35+(AC9+AC17+AC25+AC44+AC35)*('Other inputs'!AD42-'Other inputs'!$F$37)*'Other inputs'!$F$39)</f>
        <v>84.087297496749997</v>
      </c>
      <c r="AD50" s="45">
        <f>IF(AD2&lt;1,,AD9+AD17+AD25+AD44+AD35+(AD9+AD17+AD25+AD44+AD35)*('Other inputs'!AE42-'Other inputs'!$F$37)*'Other inputs'!$F$39)</f>
        <v>80.675806375249991</v>
      </c>
      <c r="AE50" s="45">
        <f>IF(AE2&lt;1,,AE9+AE17+AE25+AE44+AE35+(AE9+AE17+AE25+AE44+AE35)*('Other inputs'!AF42-'Other inputs'!$F$37)*'Other inputs'!$F$39)</f>
        <v>77.264315253749999</v>
      </c>
      <c r="AF50" s="45">
        <f>IF(AF2&lt;1,,AF9+AF17+AF25+AF44+AF35+(AF9+AF17+AF25+AF44+AF35)*('Other inputs'!AG42-'Other inputs'!$F$37)*'Other inputs'!$F$39)</f>
        <v>73.852824132249992</v>
      </c>
      <c r="AG50" s="46">
        <f>IF(AG2&lt;1,,AG9+AG17+AG25+AG44+AG35+(AG9+AG17+AG25+AG44+AG35)*('Other inputs'!AH42-'Other inputs'!$F$37)*'Other inputs'!$F$39)</f>
        <v>120.44133301075</v>
      </c>
    </row>
    <row r="51" spans="1:33">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row>
    <row r="52" spans="1:33">
      <c r="A52" s="1" t="s">
        <v>117</v>
      </c>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row>
    <row r="53" spans="1:33">
      <c r="B53" s="18" t="s">
        <v>68</v>
      </c>
      <c r="C53" s="15"/>
      <c r="D53" s="15"/>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8"/>
    </row>
    <row r="54" spans="1:33">
      <c r="B54" s="20"/>
      <c r="C54" s="21" t="s">
        <v>221</v>
      </c>
      <c r="D54" s="21"/>
      <c r="E54" s="196" t="s">
        <v>197</v>
      </c>
      <c r="F54" s="197"/>
      <c r="G54" s="197"/>
      <c r="H54" s="197"/>
      <c r="I54" s="44">
        <f>I48+I45</f>
        <v>0</v>
      </c>
      <c r="J54" s="44">
        <f t="shared" ref="J54:AG54" si="10">J48+J45</f>
        <v>0</v>
      </c>
      <c r="K54" s="44">
        <f t="shared" si="10"/>
        <v>0</v>
      </c>
      <c r="L54" s="44">
        <f t="shared" si="10"/>
        <v>0</v>
      </c>
      <c r="M54" s="44">
        <f t="shared" si="10"/>
        <v>0</v>
      </c>
      <c r="N54" s="44">
        <f t="shared" si="10"/>
        <v>0</v>
      </c>
      <c r="O54" s="44">
        <f t="shared" si="10"/>
        <v>0</v>
      </c>
      <c r="P54" s="44">
        <f t="shared" si="10"/>
        <v>0</v>
      </c>
      <c r="Q54" s="44">
        <f t="shared" si="10"/>
        <v>0</v>
      </c>
      <c r="R54" s="44">
        <f t="shared" si="10"/>
        <v>0</v>
      </c>
      <c r="S54" s="44">
        <f t="shared" si="10"/>
        <v>0</v>
      </c>
      <c r="T54" s="44">
        <f t="shared" si="10"/>
        <v>0</v>
      </c>
      <c r="U54" s="44">
        <f t="shared" si="10"/>
        <v>0</v>
      </c>
      <c r="V54" s="44">
        <f t="shared" si="10"/>
        <v>0</v>
      </c>
      <c r="W54" s="44">
        <f t="shared" si="10"/>
        <v>0</v>
      </c>
      <c r="X54" s="44">
        <f t="shared" si="10"/>
        <v>0</v>
      </c>
      <c r="Y54" s="44">
        <f t="shared" si="10"/>
        <v>0</v>
      </c>
      <c r="Z54" s="44">
        <f t="shared" si="10"/>
        <v>0</v>
      </c>
      <c r="AA54" s="44">
        <f t="shared" si="10"/>
        <v>0</v>
      </c>
      <c r="AB54" s="44">
        <f t="shared" si="10"/>
        <v>0</v>
      </c>
      <c r="AC54" s="44">
        <f t="shared" si="10"/>
        <v>0</v>
      </c>
      <c r="AD54" s="44">
        <f t="shared" si="10"/>
        <v>0</v>
      </c>
      <c r="AE54" s="44">
        <f t="shared" si="10"/>
        <v>0</v>
      </c>
      <c r="AF54" s="44">
        <f t="shared" si="10"/>
        <v>0</v>
      </c>
      <c r="AG54" s="39">
        <f t="shared" si="10"/>
        <v>0</v>
      </c>
    </row>
    <row r="55" spans="1:33">
      <c r="B55" s="20"/>
      <c r="C55" s="21" t="s">
        <v>74</v>
      </c>
      <c r="D55" s="21"/>
      <c r="E55" s="44">
        <f>NPV('CoC inputs'!$G$21,'C&amp;F calcs'!I54:AG54)</f>
        <v>0</v>
      </c>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39"/>
    </row>
    <row r="56" spans="1:33">
      <c r="B56" s="20"/>
      <c r="C56" s="21" t="s">
        <v>66</v>
      </c>
      <c r="D56" s="21"/>
      <c r="E56" s="44">
        <f>-PMT('CoC inputs'!$G$21,25,E55)</f>
        <v>0</v>
      </c>
      <c r="F56" s="44">
        <f>$E56</f>
        <v>0</v>
      </c>
      <c r="G56" s="44">
        <f>$E56</f>
        <v>0</v>
      </c>
      <c r="H56" s="44">
        <f>$E56</f>
        <v>0</v>
      </c>
      <c r="I56" s="44">
        <f t="shared" ref="I56:AG56" si="11">$E56</f>
        <v>0</v>
      </c>
      <c r="J56" s="44">
        <f t="shared" si="11"/>
        <v>0</v>
      </c>
      <c r="K56" s="44">
        <f t="shared" si="11"/>
        <v>0</v>
      </c>
      <c r="L56" s="44">
        <f t="shared" si="11"/>
        <v>0</v>
      </c>
      <c r="M56" s="44">
        <f t="shared" si="11"/>
        <v>0</v>
      </c>
      <c r="N56" s="44">
        <f t="shared" si="11"/>
        <v>0</v>
      </c>
      <c r="O56" s="44">
        <f t="shared" si="11"/>
        <v>0</v>
      </c>
      <c r="P56" s="44">
        <f t="shared" si="11"/>
        <v>0</v>
      </c>
      <c r="Q56" s="44">
        <f t="shared" si="11"/>
        <v>0</v>
      </c>
      <c r="R56" s="44">
        <f t="shared" si="11"/>
        <v>0</v>
      </c>
      <c r="S56" s="44">
        <f t="shared" si="11"/>
        <v>0</v>
      </c>
      <c r="T56" s="44">
        <f t="shared" si="11"/>
        <v>0</v>
      </c>
      <c r="U56" s="44">
        <f t="shared" si="11"/>
        <v>0</v>
      </c>
      <c r="V56" s="44">
        <f t="shared" si="11"/>
        <v>0</v>
      </c>
      <c r="W56" s="44">
        <f t="shared" si="11"/>
        <v>0</v>
      </c>
      <c r="X56" s="44">
        <f t="shared" si="11"/>
        <v>0</v>
      </c>
      <c r="Y56" s="44">
        <f t="shared" si="11"/>
        <v>0</v>
      </c>
      <c r="Z56" s="44">
        <f t="shared" si="11"/>
        <v>0</v>
      </c>
      <c r="AA56" s="44">
        <f t="shared" si="11"/>
        <v>0</v>
      </c>
      <c r="AB56" s="44">
        <f t="shared" si="11"/>
        <v>0</v>
      </c>
      <c r="AC56" s="44">
        <f t="shared" si="11"/>
        <v>0</v>
      </c>
      <c r="AD56" s="44">
        <f t="shared" si="11"/>
        <v>0</v>
      </c>
      <c r="AE56" s="44">
        <f t="shared" si="11"/>
        <v>0</v>
      </c>
      <c r="AF56" s="44">
        <f t="shared" si="11"/>
        <v>0</v>
      </c>
      <c r="AG56" s="39">
        <f t="shared" si="11"/>
        <v>0</v>
      </c>
    </row>
    <row r="57" spans="1:33">
      <c r="B57" s="22"/>
      <c r="C57" s="16" t="s">
        <v>224</v>
      </c>
      <c r="D57" s="16"/>
      <c r="E57" s="45">
        <f>NPV('CoC inputs'!$G$21,'C&amp;F calcs'!I57:AG57)</f>
        <v>0</v>
      </c>
      <c r="F57" s="45">
        <f>F56*'Other inputs'!G$69</f>
        <v>0</v>
      </c>
      <c r="G57" s="45">
        <f>G56*'Other inputs'!H$69</f>
        <v>0</v>
      </c>
      <c r="H57" s="45">
        <f>H56*'Other inputs'!I$69</f>
        <v>0</v>
      </c>
      <c r="I57" s="45">
        <f>I56*'Other inputs'!J$69</f>
        <v>0</v>
      </c>
      <c r="J57" s="45">
        <f>J56*'Other inputs'!K$69</f>
        <v>0</v>
      </c>
      <c r="K57" s="45">
        <f>K56*'Other inputs'!L$69</f>
        <v>0</v>
      </c>
      <c r="L57" s="45">
        <f>L56*'Other inputs'!M$69</f>
        <v>0</v>
      </c>
      <c r="M57" s="45">
        <f>M56*'Other inputs'!N$69</f>
        <v>0</v>
      </c>
      <c r="N57" s="45">
        <f>N56*'Other inputs'!O$69</f>
        <v>0</v>
      </c>
      <c r="O57" s="45">
        <f>O56*'Other inputs'!P$69</f>
        <v>0</v>
      </c>
      <c r="P57" s="45">
        <f>P56*'Other inputs'!Q$69</f>
        <v>0</v>
      </c>
      <c r="Q57" s="45">
        <f>Q56*'Other inputs'!R$69</f>
        <v>0</v>
      </c>
      <c r="R57" s="45">
        <f>R56*'Other inputs'!S$69</f>
        <v>0</v>
      </c>
      <c r="S57" s="45">
        <f>S56*'Other inputs'!T$69</f>
        <v>0</v>
      </c>
      <c r="T57" s="45">
        <f>T56*'Other inputs'!U$69</f>
        <v>0</v>
      </c>
      <c r="U57" s="45">
        <f>U56*'Other inputs'!V$69</f>
        <v>0</v>
      </c>
      <c r="V57" s="45">
        <f>V56*'Other inputs'!W$69</f>
        <v>0</v>
      </c>
      <c r="W57" s="45">
        <f>W56*'Other inputs'!X$69</f>
        <v>0</v>
      </c>
      <c r="X57" s="45">
        <f>X56*'Other inputs'!Y$69</f>
        <v>0</v>
      </c>
      <c r="Y57" s="45">
        <f>Y56*'Other inputs'!Z$69</f>
        <v>0</v>
      </c>
      <c r="Z57" s="45">
        <f>Z56*'Other inputs'!AA$69</f>
        <v>0</v>
      </c>
      <c r="AA57" s="45">
        <f>AA56*'Other inputs'!AB$69</f>
        <v>0</v>
      </c>
      <c r="AB57" s="45">
        <f>AB56*'Other inputs'!AC$69</f>
        <v>0</v>
      </c>
      <c r="AC57" s="45">
        <f>AC56*'Other inputs'!AD$69</f>
        <v>0</v>
      </c>
      <c r="AD57" s="45">
        <f>AD56*'Other inputs'!AE$69</f>
        <v>0</v>
      </c>
      <c r="AE57" s="45">
        <f>AE56*'Other inputs'!AF$69</f>
        <v>0</v>
      </c>
      <c r="AF57" s="45">
        <f>AF56*'Other inputs'!AG$69</f>
        <v>0</v>
      </c>
      <c r="AG57" s="46">
        <f>AG56*'Other inputs'!AH$69</f>
        <v>0</v>
      </c>
    </row>
    <row r="58" spans="1:33">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row>
    <row r="59" spans="1:33">
      <c r="B59" s="18" t="s">
        <v>0</v>
      </c>
      <c r="C59" s="15"/>
      <c r="D59" s="15"/>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8"/>
    </row>
    <row r="60" spans="1:33">
      <c r="B60" s="20"/>
      <c r="C60" s="21" t="s">
        <v>221</v>
      </c>
      <c r="D60" s="21"/>
      <c r="E60" s="44"/>
      <c r="F60" s="44">
        <f>F49+F46</f>
        <v>0</v>
      </c>
      <c r="G60" s="44">
        <f>G49+G46</f>
        <v>0</v>
      </c>
      <c r="H60" s="44">
        <f>H49+H46</f>
        <v>0</v>
      </c>
      <c r="I60" s="44">
        <f>I49+I46</f>
        <v>98.243210235499987</v>
      </c>
      <c r="J60" s="44">
        <f t="shared" ref="J60:AG60" si="12">J49+J46</f>
        <v>97.253844456499991</v>
      </c>
      <c r="K60" s="44">
        <f t="shared" si="12"/>
        <v>96.26447867749998</v>
      </c>
      <c r="L60" s="44">
        <f t="shared" si="12"/>
        <v>95.275112898499984</v>
      </c>
      <c r="M60" s="44">
        <f t="shared" si="12"/>
        <v>94.285747119499987</v>
      </c>
      <c r="N60" s="44">
        <f t="shared" si="12"/>
        <v>93.296381340499977</v>
      </c>
      <c r="O60" s="44">
        <f t="shared" si="12"/>
        <v>92.307015561499981</v>
      </c>
      <c r="P60" s="44">
        <f t="shared" si="12"/>
        <v>91.317649782499984</v>
      </c>
      <c r="Q60" s="44">
        <f t="shared" si="12"/>
        <v>90.328284003499988</v>
      </c>
      <c r="R60" s="44">
        <f t="shared" si="12"/>
        <v>89.338918224499992</v>
      </c>
      <c r="S60" s="44">
        <f t="shared" si="12"/>
        <v>88.349552445499981</v>
      </c>
      <c r="T60" s="44">
        <f t="shared" si="12"/>
        <v>87.360186666499985</v>
      </c>
      <c r="U60" s="44">
        <f t="shared" si="12"/>
        <v>86.370820887499988</v>
      </c>
      <c r="V60" s="44">
        <f t="shared" si="12"/>
        <v>85.381455108499992</v>
      </c>
      <c r="W60" s="44">
        <f t="shared" si="12"/>
        <v>84.551089329499987</v>
      </c>
      <c r="X60" s="44">
        <f t="shared" si="12"/>
        <v>82.995349065499994</v>
      </c>
      <c r="Y60" s="44">
        <f t="shared" si="12"/>
        <v>82.0206373165</v>
      </c>
      <c r="Z60" s="44">
        <f t="shared" si="12"/>
        <v>81.045925567499992</v>
      </c>
      <c r="AA60" s="44">
        <f t="shared" si="12"/>
        <v>80.071213818499999</v>
      </c>
      <c r="AB60" s="44">
        <f t="shared" si="12"/>
        <v>79.096502069499991</v>
      </c>
      <c r="AC60" s="44">
        <f t="shared" si="12"/>
        <v>78.121790320499997</v>
      </c>
      <c r="AD60" s="44">
        <f t="shared" si="12"/>
        <v>77.147078571500003</v>
      </c>
      <c r="AE60" s="44">
        <f t="shared" si="12"/>
        <v>76.172366822499995</v>
      </c>
      <c r="AF60" s="44">
        <f t="shared" si="12"/>
        <v>75.197655073500002</v>
      </c>
      <c r="AG60" s="39">
        <f t="shared" si="12"/>
        <v>124.22294332449999</v>
      </c>
    </row>
    <row r="61" spans="1:33">
      <c r="B61" s="20"/>
      <c r="C61" s="21" t="s">
        <v>74</v>
      </c>
      <c r="D61" s="21"/>
      <c r="E61" s="44">
        <f>NPV('CoC inputs'!$G$21,'C&amp;F calcs'!I60:AG60)</f>
        <v>1328.9448349589004</v>
      </c>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39"/>
    </row>
    <row r="62" spans="1:33">
      <c r="B62" s="20"/>
      <c r="C62" s="21" t="s">
        <v>66</v>
      </c>
      <c r="D62" s="21"/>
      <c r="E62" s="44">
        <f>-PMT('CoC inputs'!$G$21,25,E61)</f>
        <v>89.622747986671641</v>
      </c>
      <c r="F62" s="44">
        <f>IF(F$2&lt;1,,$E62)</f>
        <v>0</v>
      </c>
      <c r="G62" s="44">
        <f t="shared" ref="G62:AG62" si="13">IF(G$2&lt;1,,$E62)</f>
        <v>0</v>
      </c>
      <c r="H62" s="44">
        <f t="shared" si="13"/>
        <v>0</v>
      </c>
      <c r="I62" s="44">
        <f t="shared" si="13"/>
        <v>89.622747986671641</v>
      </c>
      <c r="J62" s="44">
        <f t="shared" si="13"/>
        <v>89.622747986671641</v>
      </c>
      <c r="K62" s="44">
        <f t="shared" si="13"/>
        <v>89.622747986671641</v>
      </c>
      <c r="L62" s="44">
        <f t="shared" si="13"/>
        <v>89.622747986671641</v>
      </c>
      <c r="M62" s="44">
        <f t="shared" si="13"/>
        <v>89.622747986671641</v>
      </c>
      <c r="N62" s="44">
        <f t="shared" si="13"/>
        <v>89.622747986671641</v>
      </c>
      <c r="O62" s="44">
        <f t="shared" si="13"/>
        <v>89.622747986671641</v>
      </c>
      <c r="P62" s="44">
        <f t="shared" si="13"/>
        <v>89.622747986671641</v>
      </c>
      <c r="Q62" s="44">
        <f t="shared" si="13"/>
        <v>89.622747986671641</v>
      </c>
      <c r="R62" s="44">
        <f t="shared" si="13"/>
        <v>89.622747986671641</v>
      </c>
      <c r="S62" s="44">
        <f t="shared" si="13"/>
        <v>89.622747986671641</v>
      </c>
      <c r="T62" s="44">
        <f t="shared" si="13"/>
        <v>89.622747986671641</v>
      </c>
      <c r="U62" s="44">
        <f t="shared" si="13"/>
        <v>89.622747986671641</v>
      </c>
      <c r="V62" s="44">
        <f t="shared" si="13"/>
        <v>89.622747986671641</v>
      </c>
      <c r="W62" s="44">
        <f t="shared" si="13"/>
        <v>89.622747986671641</v>
      </c>
      <c r="X62" s="44">
        <f t="shared" si="13"/>
        <v>89.622747986671641</v>
      </c>
      <c r="Y62" s="44">
        <f t="shared" si="13"/>
        <v>89.622747986671641</v>
      </c>
      <c r="Z62" s="44">
        <f t="shared" si="13"/>
        <v>89.622747986671641</v>
      </c>
      <c r="AA62" s="44">
        <f t="shared" si="13"/>
        <v>89.622747986671641</v>
      </c>
      <c r="AB62" s="44">
        <f t="shared" si="13"/>
        <v>89.622747986671641</v>
      </c>
      <c r="AC62" s="44">
        <f t="shared" si="13"/>
        <v>89.622747986671641</v>
      </c>
      <c r="AD62" s="44">
        <f t="shared" si="13"/>
        <v>89.622747986671641</v>
      </c>
      <c r="AE62" s="44">
        <f t="shared" si="13"/>
        <v>89.622747986671641</v>
      </c>
      <c r="AF62" s="44">
        <f t="shared" si="13"/>
        <v>89.622747986671641</v>
      </c>
      <c r="AG62" s="39">
        <f t="shared" si="13"/>
        <v>89.622747986671641</v>
      </c>
    </row>
    <row r="63" spans="1:33">
      <c r="B63" s="22"/>
      <c r="C63" s="16" t="s">
        <v>223</v>
      </c>
      <c r="D63" s="16"/>
      <c r="E63" s="45">
        <f>NPV('CoC inputs'!$G$21,'C&amp;F calcs'!I63:AG63)</f>
        <v>2040.8372038286216</v>
      </c>
      <c r="F63" s="45">
        <f>F62*'Other inputs'!G$69</f>
        <v>0</v>
      </c>
      <c r="G63" s="45">
        <f>G62*'Other inputs'!H$69</f>
        <v>0</v>
      </c>
      <c r="H63" s="45">
        <f>H62*'Other inputs'!I$69</f>
        <v>0</v>
      </c>
      <c r="I63" s="45">
        <f>I62*'Other inputs'!J$69</f>
        <v>106.53328373635303</v>
      </c>
      <c r="J63" s="45">
        <f>J62*'Other inputs'!K$69</f>
        <v>109.19661582976185</v>
      </c>
      <c r="K63" s="45">
        <f>K62*'Other inputs'!L$69</f>
        <v>111.92653122550588</v>
      </c>
      <c r="L63" s="45">
        <f>L62*'Other inputs'!M$69</f>
        <v>114.72469450614351</v>
      </c>
      <c r="M63" s="45">
        <f>M62*'Other inputs'!N$69</f>
        <v>117.5928118687971</v>
      </c>
      <c r="N63" s="45">
        <f>N62*'Other inputs'!O$69</f>
        <v>120.53263216551701</v>
      </c>
      <c r="O63" s="45">
        <f>O62*'Other inputs'!P$69</f>
        <v>123.54594796965493</v>
      </c>
      <c r="P63" s="45">
        <f>P62*'Other inputs'!Q$69</f>
        <v>126.63459666889629</v>
      </c>
      <c r="Q63" s="45">
        <f>Q62*'Other inputs'!R$69</f>
        <v>129.80046158561868</v>
      </c>
      <c r="R63" s="45">
        <f>R62*'Other inputs'!S$69</f>
        <v>133.04547312525915</v>
      </c>
      <c r="S63" s="45">
        <f>S62*'Other inputs'!T$69</f>
        <v>136.37160995339059</v>
      </c>
      <c r="T63" s="45">
        <f>T62*'Other inputs'!U$69</f>
        <v>139.78090020222535</v>
      </c>
      <c r="U63" s="45">
        <f>U62*'Other inputs'!V$69</f>
        <v>143.27542270728097</v>
      </c>
      <c r="V63" s="45">
        <f>V62*'Other inputs'!W$69</f>
        <v>146.85730827496297</v>
      </c>
      <c r="W63" s="45">
        <f>W62*'Other inputs'!X$69</f>
        <v>150.52874098183705</v>
      </c>
      <c r="X63" s="45">
        <f>X62*'Other inputs'!Y$69</f>
        <v>154.29195950638294</v>
      </c>
      <c r="Y63" s="45">
        <f>Y62*'Other inputs'!Z$69</f>
        <v>158.1492584940425</v>
      </c>
      <c r="Z63" s="45">
        <f>Z62*'Other inputs'!AA$69</f>
        <v>162.10298995639357</v>
      </c>
      <c r="AA63" s="45">
        <f>AA62*'Other inputs'!AB$69</f>
        <v>166.15556470530339</v>
      </c>
      <c r="AB63" s="45">
        <f>AB62*'Other inputs'!AC$69</f>
        <v>170.30945382293595</v>
      </c>
      <c r="AC63" s="45">
        <f>AC62*'Other inputs'!AD$69</f>
        <v>174.56719016850934</v>
      </c>
      <c r="AD63" s="45">
        <f>AD62*'Other inputs'!AE$69</f>
        <v>178.93136992272207</v>
      </c>
      <c r="AE63" s="45">
        <f>AE62*'Other inputs'!AF$69</f>
        <v>183.40465417079008</v>
      </c>
      <c r="AF63" s="45">
        <f>AF62*'Other inputs'!AG$69</f>
        <v>187.98977052505984</v>
      </c>
      <c r="AG63" s="46">
        <f>AG62*'Other inputs'!AH$69</f>
        <v>192.6895147881863</v>
      </c>
    </row>
    <row r="64" spans="1:33">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row>
    <row r="65" spans="2:33">
      <c r="B65" s="18" t="s">
        <v>1</v>
      </c>
      <c r="C65" s="15"/>
      <c r="D65" s="15"/>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8"/>
    </row>
    <row r="66" spans="2:33">
      <c r="B66" s="20"/>
      <c r="C66" s="21" t="s">
        <v>221</v>
      </c>
      <c r="D66" s="21"/>
      <c r="E66" s="44"/>
      <c r="F66" s="44">
        <f>F50+F47</f>
        <v>0</v>
      </c>
      <c r="G66" s="44">
        <f>G50+G47</f>
        <v>0</v>
      </c>
      <c r="H66" s="44">
        <f>H50+H47</f>
        <v>0</v>
      </c>
      <c r="I66" s="44">
        <f>I50+I47</f>
        <v>167.68051344924999</v>
      </c>
      <c r="J66" s="44">
        <f t="shared" ref="J66:AG66" si="14">J50+J47</f>
        <v>164.21773322274998</v>
      </c>
      <c r="K66" s="44">
        <f t="shared" si="14"/>
        <v>160.75495299624998</v>
      </c>
      <c r="L66" s="44">
        <f t="shared" si="14"/>
        <v>157.29217276974998</v>
      </c>
      <c r="M66" s="44">
        <f t="shared" si="14"/>
        <v>153.82939254324998</v>
      </c>
      <c r="N66" s="44">
        <f t="shared" si="14"/>
        <v>150.36661231674998</v>
      </c>
      <c r="O66" s="44">
        <f t="shared" si="14"/>
        <v>146.90383209024998</v>
      </c>
      <c r="P66" s="44">
        <f t="shared" si="14"/>
        <v>143.44105186374998</v>
      </c>
      <c r="Q66" s="44">
        <f t="shared" si="14"/>
        <v>139.97827163724997</v>
      </c>
      <c r="R66" s="44">
        <f t="shared" si="14"/>
        <v>136.51549141074997</v>
      </c>
      <c r="S66" s="44">
        <f t="shared" si="14"/>
        <v>133.05271118424997</v>
      </c>
      <c r="T66" s="44">
        <f t="shared" si="14"/>
        <v>129.58993095774997</v>
      </c>
      <c r="U66" s="44">
        <f t="shared" si="14"/>
        <v>126.12715073124998</v>
      </c>
      <c r="V66" s="44">
        <f t="shared" si="14"/>
        <v>122.66437050474998</v>
      </c>
      <c r="W66" s="44">
        <f t="shared" si="14"/>
        <v>119.75809027824999</v>
      </c>
      <c r="X66" s="44">
        <f t="shared" si="14"/>
        <v>116.14475310425</v>
      </c>
      <c r="Y66" s="44">
        <f t="shared" si="14"/>
        <v>112.73326198274999</v>
      </c>
      <c r="Z66" s="44">
        <f t="shared" si="14"/>
        <v>109.32177086125</v>
      </c>
      <c r="AA66" s="44">
        <f t="shared" si="14"/>
        <v>105.91027973975</v>
      </c>
      <c r="AB66" s="44">
        <f t="shared" si="14"/>
        <v>102.49878861824999</v>
      </c>
      <c r="AC66" s="44">
        <f t="shared" si="14"/>
        <v>99.087297496749997</v>
      </c>
      <c r="AD66" s="44">
        <f t="shared" si="14"/>
        <v>95.675806375249991</v>
      </c>
      <c r="AE66" s="44">
        <f t="shared" si="14"/>
        <v>92.264315253749999</v>
      </c>
      <c r="AF66" s="44">
        <f t="shared" si="14"/>
        <v>88.852824132249992</v>
      </c>
      <c r="AG66" s="39">
        <f t="shared" si="14"/>
        <v>135.44133301074999</v>
      </c>
    </row>
    <row r="67" spans="2:33">
      <c r="B67" s="20"/>
      <c r="C67" s="21" t="s">
        <v>74</v>
      </c>
      <c r="D67" s="21"/>
      <c r="E67" s="44">
        <f>NPV('CoC inputs'!$G$21,'C&amp;F calcs'!I66:AG66)</f>
        <v>2004.9087374986264</v>
      </c>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39"/>
    </row>
    <row r="68" spans="2:33">
      <c r="B68" s="20"/>
      <c r="C68" s="21" t="s">
        <v>66</v>
      </c>
      <c r="D68" s="21"/>
      <c r="E68" s="44">
        <f>-PMT('CoC inputs'!$G$21,25,E67)</f>
        <v>135.20909656319364</v>
      </c>
      <c r="F68" s="44">
        <f>IF(F$2&lt;1,,$E68)</f>
        <v>0</v>
      </c>
      <c r="G68" s="44">
        <f t="shared" ref="G68:AG68" si="15">IF(G$2&lt;1,,$E68)</f>
        <v>0</v>
      </c>
      <c r="H68" s="44">
        <f t="shared" si="15"/>
        <v>0</v>
      </c>
      <c r="I68" s="44">
        <f t="shared" si="15"/>
        <v>135.20909656319364</v>
      </c>
      <c r="J68" s="44">
        <f t="shared" si="15"/>
        <v>135.20909656319364</v>
      </c>
      <c r="K68" s="44">
        <f t="shared" si="15"/>
        <v>135.20909656319364</v>
      </c>
      <c r="L68" s="44">
        <f t="shared" si="15"/>
        <v>135.20909656319364</v>
      </c>
      <c r="M68" s="44">
        <f t="shared" si="15"/>
        <v>135.20909656319364</v>
      </c>
      <c r="N68" s="44">
        <f t="shared" si="15"/>
        <v>135.20909656319364</v>
      </c>
      <c r="O68" s="44">
        <f t="shared" si="15"/>
        <v>135.20909656319364</v>
      </c>
      <c r="P68" s="44">
        <f t="shared" si="15"/>
        <v>135.20909656319364</v>
      </c>
      <c r="Q68" s="44">
        <f t="shared" si="15"/>
        <v>135.20909656319364</v>
      </c>
      <c r="R68" s="44">
        <f t="shared" si="15"/>
        <v>135.20909656319364</v>
      </c>
      <c r="S68" s="44">
        <f t="shared" si="15"/>
        <v>135.20909656319364</v>
      </c>
      <c r="T68" s="44">
        <f t="shared" si="15"/>
        <v>135.20909656319364</v>
      </c>
      <c r="U68" s="44">
        <f t="shared" si="15"/>
        <v>135.20909656319364</v>
      </c>
      <c r="V68" s="44">
        <f t="shared" si="15"/>
        <v>135.20909656319364</v>
      </c>
      <c r="W68" s="44">
        <f t="shared" si="15"/>
        <v>135.20909656319364</v>
      </c>
      <c r="X68" s="44">
        <f t="shared" si="15"/>
        <v>135.20909656319364</v>
      </c>
      <c r="Y68" s="44">
        <f t="shared" si="15"/>
        <v>135.20909656319364</v>
      </c>
      <c r="Z68" s="44">
        <f t="shared" si="15"/>
        <v>135.20909656319364</v>
      </c>
      <c r="AA68" s="44">
        <f t="shared" si="15"/>
        <v>135.20909656319364</v>
      </c>
      <c r="AB68" s="44">
        <f t="shared" si="15"/>
        <v>135.20909656319364</v>
      </c>
      <c r="AC68" s="44">
        <f t="shared" si="15"/>
        <v>135.20909656319364</v>
      </c>
      <c r="AD68" s="44">
        <f t="shared" si="15"/>
        <v>135.20909656319364</v>
      </c>
      <c r="AE68" s="44">
        <f t="shared" si="15"/>
        <v>135.20909656319364</v>
      </c>
      <c r="AF68" s="44">
        <f t="shared" si="15"/>
        <v>135.20909656319364</v>
      </c>
      <c r="AG68" s="39">
        <f t="shared" si="15"/>
        <v>135.20909656319364</v>
      </c>
    </row>
    <row r="69" spans="2:33">
      <c r="B69" s="22"/>
      <c r="C69" s="16" t="s">
        <v>222</v>
      </c>
      <c r="D69" s="16"/>
      <c r="E69" s="45">
        <f>NPV('CoC inputs'!$G$21,'C&amp;F calcs'!I69:AG69)</f>
        <v>3078.9030771881589</v>
      </c>
      <c r="F69" s="45">
        <f>F68*'Other inputs'!G$69</f>
        <v>0</v>
      </c>
      <c r="G69" s="45">
        <f>G68*'Other inputs'!H$69</f>
        <v>0</v>
      </c>
      <c r="H69" s="45">
        <f>H68*'Other inputs'!I$69</f>
        <v>0</v>
      </c>
      <c r="I69" s="45">
        <f>I68*'Other inputs'!J$69</f>
        <v>160.72112685101791</v>
      </c>
      <c r="J69" s="45">
        <f>J68*'Other inputs'!K$69</f>
        <v>164.73915502229335</v>
      </c>
      <c r="K69" s="45">
        <f>K68*'Other inputs'!L$69</f>
        <v>168.85763389785066</v>
      </c>
      <c r="L69" s="45">
        <f>L68*'Other inputs'!M$69</f>
        <v>173.07907474529691</v>
      </c>
      <c r="M69" s="45">
        <f>M68*'Other inputs'!N$69</f>
        <v>177.40605161392932</v>
      </c>
      <c r="N69" s="45">
        <f>N68*'Other inputs'!O$69</f>
        <v>181.84120290427754</v>
      </c>
      <c r="O69" s="45">
        <f>O68*'Other inputs'!P$69</f>
        <v>186.38723297688446</v>
      </c>
      <c r="P69" s="45">
        <f>P68*'Other inputs'!Q$69</f>
        <v>191.04691380130657</v>
      </c>
      <c r="Q69" s="45">
        <f>Q68*'Other inputs'!R$69</f>
        <v>195.82308664633919</v>
      </c>
      <c r="R69" s="45">
        <f>R68*'Other inputs'!S$69</f>
        <v>200.71866381249768</v>
      </c>
      <c r="S69" s="45">
        <f>S68*'Other inputs'!T$69</f>
        <v>205.73663040781008</v>
      </c>
      <c r="T69" s="45">
        <f>T68*'Other inputs'!U$69</f>
        <v>210.88004616800532</v>
      </c>
      <c r="U69" s="45">
        <f>U68*'Other inputs'!V$69</f>
        <v>216.15204732220542</v>
      </c>
      <c r="V69" s="45">
        <f>V68*'Other inputs'!W$69</f>
        <v>221.55584850526054</v>
      </c>
      <c r="W69" s="45">
        <f>W68*'Other inputs'!X$69</f>
        <v>227.09474471789204</v>
      </c>
      <c r="X69" s="45">
        <f>X68*'Other inputs'!Y$69</f>
        <v>232.77211333583929</v>
      </c>
      <c r="Y69" s="45">
        <f>Y68*'Other inputs'!Z$69</f>
        <v>238.59141616923526</v>
      </c>
      <c r="Z69" s="45">
        <f>Z68*'Other inputs'!AA$69</f>
        <v>244.55620157346613</v>
      </c>
      <c r="AA69" s="45">
        <f>AA68*'Other inputs'!AB$69</f>
        <v>250.67010661280275</v>
      </c>
      <c r="AB69" s="45">
        <f>AB68*'Other inputs'!AC$69</f>
        <v>256.93685927812282</v>
      </c>
      <c r="AC69" s="45">
        <f>AC68*'Other inputs'!AD$69</f>
        <v>263.36028076007585</v>
      </c>
      <c r="AD69" s="45">
        <f>AD68*'Other inputs'!AE$69</f>
        <v>269.94428777907774</v>
      </c>
      <c r="AE69" s="45">
        <f>AE68*'Other inputs'!AF$69</f>
        <v>276.69289497355464</v>
      </c>
      <c r="AF69" s="45">
        <f>AF68*'Other inputs'!AG$69</f>
        <v>283.61021734789347</v>
      </c>
      <c r="AG69" s="46">
        <f>AG68*'Other inputs'!AH$69</f>
        <v>290.7004727815908</v>
      </c>
    </row>
    <row r="70" spans="2:33">
      <c r="E70" s="6"/>
    </row>
  </sheetData>
  <mergeCells count="2">
    <mergeCell ref="E48:H48"/>
    <mergeCell ref="E54:H54"/>
  </mergeCells>
  <conditionalFormatting sqref="I3:AG3">
    <cfRule type="cellIs" dxfId="0" priority="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AI50"/>
  <sheetViews>
    <sheetView showGridLines="0" workbookViewId="0">
      <pane xSplit="4" ySplit="5" topLeftCell="E32" activePane="bottomRight" state="frozen"/>
      <selection pane="topRight"/>
      <selection pane="bottomLeft"/>
      <selection pane="bottomRight" activeCell="H34" sqref="H34"/>
    </sheetView>
  </sheetViews>
  <sheetFormatPr defaultRowHeight="15"/>
  <cols>
    <col min="1" max="1" width="2.7109375" style="1" customWidth="1"/>
    <col min="2" max="2" width="2.7109375" style="2" customWidth="1"/>
    <col min="3" max="3" width="35.42578125" bestFit="1" customWidth="1"/>
    <col min="4" max="4" width="9.140625" style="2"/>
    <col min="8" max="8" width="12.28515625" customWidth="1"/>
  </cols>
  <sheetData>
    <row r="1" spans="1:35">
      <c r="A1" t="s">
        <v>97</v>
      </c>
      <c r="D1"/>
      <c r="E1" t="s">
        <v>5</v>
      </c>
      <c r="F1" t="s">
        <v>6</v>
      </c>
      <c r="G1" t="s">
        <v>7</v>
      </c>
      <c r="H1" t="s">
        <v>8</v>
      </c>
      <c r="I1" t="s">
        <v>10</v>
      </c>
      <c r="J1" t="s">
        <v>11</v>
      </c>
      <c r="K1" t="s">
        <v>12</v>
      </c>
      <c r="L1" t="s">
        <v>13</v>
      </c>
      <c r="M1" t="s">
        <v>14</v>
      </c>
      <c r="N1" t="s">
        <v>15</v>
      </c>
      <c r="O1" t="s">
        <v>16</v>
      </c>
      <c r="P1" t="s">
        <v>17</v>
      </c>
      <c r="Q1" t="s">
        <v>18</v>
      </c>
      <c r="R1" t="s">
        <v>19</v>
      </c>
      <c r="S1" t="s">
        <v>20</v>
      </c>
      <c r="T1" t="s">
        <v>21</v>
      </c>
      <c r="U1" t="s">
        <v>22</v>
      </c>
      <c r="V1" t="s">
        <v>23</v>
      </c>
      <c r="W1" t="s">
        <v>24</v>
      </c>
      <c r="X1" t="s">
        <v>25</v>
      </c>
      <c r="Y1" t="s">
        <v>26</v>
      </c>
      <c r="Z1" t="s">
        <v>27</v>
      </c>
      <c r="AA1" t="s">
        <v>28</v>
      </c>
      <c r="AB1" t="s">
        <v>29</v>
      </c>
      <c r="AC1" t="s">
        <v>30</v>
      </c>
      <c r="AD1" t="s">
        <v>31</v>
      </c>
      <c r="AE1" t="s">
        <v>32</v>
      </c>
      <c r="AF1" t="s">
        <v>33</v>
      </c>
      <c r="AG1" t="s">
        <v>34</v>
      </c>
      <c r="AH1" t="s">
        <v>98</v>
      </c>
      <c r="AI1" t="s">
        <v>99</v>
      </c>
    </row>
    <row r="2" spans="1:35">
      <c r="D2" s="54" t="s">
        <v>128</v>
      </c>
      <c r="I2">
        <v>1</v>
      </c>
      <c r="J2">
        <v>2</v>
      </c>
      <c r="K2">
        <v>3</v>
      </c>
      <c r="L2">
        <v>4</v>
      </c>
      <c r="M2">
        <v>5</v>
      </c>
      <c r="N2">
        <v>6</v>
      </c>
      <c r="O2">
        <v>7</v>
      </c>
      <c r="P2">
        <v>8</v>
      </c>
      <c r="Q2">
        <v>9</v>
      </c>
      <c r="R2">
        <v>10</v>
      </c>
      <c r="S2">
        <v>11</v>
      </c>
      <c r="T2">
        <v>12</v>
      </c>
      <c r="U2">
        <v>13</v>
      </c>
      <c r="V2">
        <v>14</v>
      </c>
      <c r="W2">
        <v>15</v>
      </c>
      <c r="X2">
        <v>16</v>
      </c>
      <c r="Y2">
        <v>17</v>
      </c>
      <c r="Z2">
        <v>18</v>
      </c>
      <c r="AA2">
        <v>19</v>
      </c>
      <c r="AB2">
        <v>20</v>
      </c>
      <c r="AC2">
        <v>21</v>
      </c>
      <c r="AD2">
        <v>22</v>
      </c>
      <c r="AE2">
        <v>23</v>
      </c>
      <c r="AF2">
        <v>24</v>
      </c>
      <c r="AG2">
        <v>25</v>
      </c>
      <c r="AH2">
        <v>26</v>
      </c>
      <c r="AI2">
        <v>27</v>
      </c>
    </row>
    <row r="3" spans="1:35">
      <c r="D3" s="54" t="s">
        <v>129</v>
      </c>
      <c r="I3">
        <f>IF(MOD(I2,5)=0,1,0)</f>
        <v>0</v>
      </c>
      <c r="J3">
        <f t="shared" ref="J3:AG3" si="0">IF(MOD(J2,5)=0,1,0)</f>
        <v>0</v>
      </c>
      <c r="K3">
        <f t="shared" si="0"/>
        <v>0</v>
      </c>
      <c r="L3">
        <f t="shared" si="0"/>
        <v>0</v>
      </c>
      <c r="M3">
        <f t="shared" si="0"/>
        <v>1</v>
      </c>
      <c r="N3">
        <f t="shared" si="0"/>
        <v>0</v>
      </c>
      <c r="O3">
        <f t="shared" si="0"/>
        <v>0</v>
      </c>
      <c r="P3">
        <f t="shared" si="0"/>
        <v>0</v>
      </c>
      <c r="Q3">
        <f t="shared" si="0"/>
        <v>0</v>
      </c>
      <c r="R3">
        <f t="shared" si="0"/>
        <v>1</v>
      </c>
      <c r="S3">
        <f t="shared" si="0"/>
        <v>0</v>
      </c>
      <c r="T3">
        <f t="shared" si="0"/>
        <v>0</v>
      </c>
      <c r="U3">
        <f t="shared" si="0"/>
        <v>0</v>
      </c>
      <c r="V3">
        <f t="shared" si="0"/>
        <v>0</v>
      </c>
      <c r="W3">
        <f t="shared" si="0"/>
        <v>1</v>
      </c>
      <c r="X3">
        <f t="shared" si="0"/>
        <v>0</v>
      </c>
      <c r="Y3">
        <f t="shared" si="0"/>
        <v>0</v>
      </c>
      <c r="Z3">
        <f t="shared" si="0"/>
        <v>0</v>
      </c>
      <c r="AA3">
        <f t="shared" si="0"/>
        <v>0</v>
      </c>
      <c r="AB3">
        <f t="shared" si="0"/>
        <v>1</v>
      </c>
      <c r="AC3">
        <f t="shared" si="0"/>
        <v>0</v>
      </c>
      <c r="AD3">
        <f t="shared" si="0"/>
        <v>0</v>
      </c>
      <c r="AE3">
        <f t="shared" si="0"/>
        <v>0</v>
      </c>
      <c r="AF3">
        <f t="shared" si="0"/>
        <v>0</v>
      </c>
      <c r="AG3">
        <f t="shared" si="0"/>
        <v>1</v>
      </c>
      <c r="AH3">
        <f>IF(MOD(AH2,5)=0,1,0)</f>
        <v>0</v>
      </c>
      <c r="AI3">
        <f>IF(MOD(AI2,5)=0,1,0)</f>
        <v>0</v>
      </c>
    </row>
    <row r="4" spans="1:35">
      <c r="D4" s="54" t="s">
        <v>130</v>
      </c>
      <c r="I4">
        <v>1</v>
      </c>
      <c r="J4">
        <f>IF(I3=1,1,I4+1)</f>
        <v>2</v>
      </c>
      <c r="K4">
        <f t="shared" ref="K4:AI4" si="1">IF(J3=1,1,J4+1)</f>
        <v>3</v>
      </c>
      <c r="L4">
        <f t="shared" si="1"/>
        <v>4</v>
      </c>
      <c r="M4">
        <f t="shared" si="1"/>
        <v>5</v>
      </c>
      <c r="N4">
        <f t="shared" si="1"/>
        <v>1</v>
      </c>
      <c r="O4">
        <f t="shared" si="1"/>
        <v>2</v>
      </c>
      <c r="P4">
        <f t="shared" si="1"/>
        <v>3</v>
      </c>
      <c r="Q4">
        <f t="shared" si="1"/>
        <v>4</v>
      </c>
      <c r="R4">
        <f t="shared" si="1"/>
        <v>5</v>
      </c>
      <c r="S4">
        <f t="shared" si="1"/>
        <v>1</v>
      </c>
      <c r="T4">
        <f t="shared" si="1"/>
        <v>2</v>
      </c>
      <c r="U4">
        <f t="shared" si="1"/>
        <v>3</v>
      </c>
      <c r="V4">
        <f t="shared" si="1"/>
        <v>4</v>
      </c>
      <c r="W4">
        <f t="shared" si="1"/>
        <v>5</v>
      </c>
      <c r="X4">
        <f t="shared" si="1"/>
        <v>1</v>
      </c>
      <c r="Y4">
        <f t="shared" si="1"/>
        <v>2</v>
      </c>
      <c r="Z4">
        <f t="shared" si="1"/>
        <v>3</v>
      </c>
      <c r="AA4">
        <f t="shared" si="1"/>
        <v>4</v>
      </c>
      <c r="AB4">
        <f t="shared" si="1"/>
        <v>5</v>
      </c>
      <c r="AC4">
        <f t="shared" si="1"/>
        <v>1</v>
      </c>
      <c r="AD4">
        <f t="shared" si="1"/>
        <v>2</v>
      </c>
      <c r="AE4">
        <f t="shared" si="1"/>
        <v>3</v>
      </c>
      <c r="AF4">
        <f t="shared" si="1"/>
        <v>4</v>
      </c>
      <c r="AG4">
        <f t="shared" si="1"/>
        <v>5</v>
      </c>
      <c r="AH4">
        <f>IF(AG3=1,1,AG4+1)</f>
        <v>1</v>
      </c>
      <c r="AI4">
        <f t="shared" si="1"/>
        <v>2</v>
      </c>
    </row>
    <row r="5" spans="1:35">
      <c r="F5">
        <v>2015</v>
      </c>
      <c r="G5">
        <v>2016</v>
      </c>
      <c r="H5">
        <v>2017</v>
      </c>
      <c r="I5">
        <v>2018</v>
      </c>
      <c r="J5">
        <v>2019</v>
      </c>
      <c r="K5">
        <v>2020</v>
      </c>
      <c r="L5">
        <v>2021</v>
      </c>
      <c r="M5">
        <v>2022</v>
      </c>
      <c r="N5">
        <v>2023</v>
      </c>
      <c r="O5">
        <v>2024</v>
      </c>
      <c r="P5">
        <v>2025</v>
      </c>
      <c r="Q5">
        <v>2026</v>
      </c>
      <c r="R5">
        <v>2027</v>
      </c>
      <c r="S5">
        <v>2028</v>
      </c>
      <c r="T5">
        <v>2029</v>
      </c>
      <c r="U5">
        <v>2030</v>
      </c>
      <c r="V5">
        <v>2031</v>
      </c>
      <c r="W5">
        <v>2032</v>
      </c>
      <c r="X5">
        <v>2033</v>
      </c>
      <c r="Y5">
        <v>2034</v>
      </c>
      <c r="Z5">
        <v>2035</v>
      </c>
      <c r="AA5">
        <v>2036</v>
      </c>
      <c r="AB5">
        <v>2037</v>
      </c>
      <c r="AC5">
        <v>2038</v>
      </c>
      <c r="AD5">
        <v>2039</v>
      </c>
      <c r="AE5">
        <v>2040</v>
      </c>
      <c r="AF5">
        <v>2041</v>
      </c>
      <c r="AG5">
        <v>2042</v>
      </c>
      <c r="AH5">
        <v>2043</v>
      </c>
      <c r="AI5">
        <v>2044</v>
      </c>
    </row>
    <row r="6" spans="1:35">
      <c r="A6" s="1" t="s">
        <v>86</v>
      </c>
    </row>
    <row r="7" spans="1:35">
      <c r="B7" s="18" t="s">
        <v>87</v>
      </c>
      <c r="C7" s="15"/>
      <c r="D7" s="24"/>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9"/>
    </row>
    <row r="8" spans="1:35">
      <c r="B8" s="20"/>
      <c r="C8" s="21" t="s">
        <v>68</v>
      </c>
      <c r="D8" s="25"/>
      <c r="E8" s="144" t="s">
        <v>197</v>
      </c>
      <c r="F8" s="144"/>
      <c r="G8" s="144"/>
      <c r="H8" s="144"/>
      <c r="I8" s="37"/>
      <c r="J8" s="37"/>
      <c r="K8" s="37"/>
      <c r="L8" s="37"/>
      <c r="M8" s="37"/>
      <c r="N8" s="37"/>
      <c r="O8" s="37"/>
      <c r="P8" s="37"/>
      <c r="Q8" s="37"/>
      <c r="R8" s="37"/>
      <c r="S8" s="37"/>
      <c r="T8" s="37"/>
      <c r="U8" s="37"/>
      <c r="V8" s="37"/>
      <c r="W8" s="37"/>
      <c r="X8" s="37"/>
      <c r="Y8" s="37"/>
      <c r="Z8" s="37"/>
      <c r="AA8" s="37"/>
      <c r="AB8" s="37"/>
      <c r="AC8" s="37"/>
      <c r="AD8" s="37"/>
      <c r="AE8" s="37"/>
      <c r="AF8" s="37"/>
      <c r="AG8" s="36"/>
      <c r="AH8" s="4"/>
      <c r="AI8" s="4"/>
    </row>
    <row r="9" spans="1:35">
      <c r="B9" s="20"/>
      <c r="C9" s="21" t="s">
        <v>0</v>
      </c>
      <c r="D9" s="25"/>
      <c r="E9" s="21"/>
      <c r="F9" s="21"/>
      <c r="G9" s="21"/>
      <c r="H9" s="21"/>
      <c r="I9" s="37">
        <f>'C&amp;F calcs'!I63</f>
        <v>106.53328373635303</v>
      </c>
      <c r="J9" s="37">
        <f>'C&amp;F calcs'!J63</f>
        <v>109.19661582976185</v>
      </c>
      <c r="K9" s="37">
        <f>'C&amp;F calcs'!K63</f>
        <v>111.92653122550588</v>
      </c>
      <c r="L9" s="37">
        <f>'C&amp;F calcs'!L63</f>
        <v>114.72469450614351</v>
      </c>
      <c r="M9" s="37">
        <f>'C&amp;F calcs'!M63</f>
        <v>117.5928118687971</v>
      </c>
      <c r="N9" s="37">
        <f>'C&amp;F calcs'!N63</f>
        <v>120.53263216551701</v>
      </c>
      <c r="O9" s="37">
        <f>'C&amp;F calcs'!O63</f>
        <v>123.54594796965493</v>
      </c>
      <c r="P9" s="37">
        <f>'C&amp;F calcs'!P63</f>
        <v>126.63459666889629</v>
      </c>
      <c r="Q9" s="37">
        <f>'C&amp;F calcs'!Q63</f>
        <v>129.80046158561868</v>
      </c>
      <c r="R9" s="37">
        <f>'C&amp;F calcs'!R63</f>
        <v>133.04547312525915</v>
      </c>
      <c r="S9" s="37">
        <f>'C&amp;F calcs'!S63</f>
        <v>136.37160995339059</v>
      </c>
      <c r="T9" s="37">
        <f>'C&amp;F calcs'!T63</f>
        <v>139.78090020222535</v>
      </c>
      <c r="U9" s="37">
        <f>'C&amp;F calcs'!U63</f>
        <v>143.27542270728097</v>
      </c>
      <c r="V9" s="37">
        <f>'C&amp;F calcs'!V63</f>
        <v>146.85730827496297</v>
      </c>
      <c r="W9" s="37">
        <f>'C&amp;F calcs'!W63</f>
        <v>150.52874098183705</v>
      </c>
      <c r="X9" s="37">
        <f>'C&amp;F calcs'!X63</f>
        <v>154.29195950638294</v>
      </c>
      <c r="Y9" s="37">
        <f>'C&amp;F calcs'!Y63</f>
        <v>158.1492584940425</v>
      </c>
      <c r="Z9" s="37">
        <f>'C&amp;F calcs'!Z63</f>
        <v>162.10298995639357</v>
      </c>
      <c r="AA9" s="37">
        <f>'C&amp;F calcs'!AA63</f>
        <v>166.15556470530339</v>
      </c>
      <c r="AB9" s="37">
        <f>'C&amp;F calcs'!AB63</f>
        <v>170.30945382293595</v>
      </c>
      <c r="AC9" s="37">
        <f>'C&amp;F calcs'!AC63</f>
        <v>174.56719016850934</v>
      </c>
      <c r="AD9" s="37">
        <f>'C&amp;F calcs'!AD63</f>
        <v>178.93136992272207</v>
      </c>
      <c r="AE9" s="37">
        <f>'C&amp;F calcs'!AE63</f>
        <v>183.40465417079008</v>
      </c>
      <c r="AF9" s="37">
        <f>'C&amp;F calcs'!AF63</f>
        <v>187.98977052505984</v>
      </c>
      <c r="AG9" s="36">
        <f>'C&amp;F calcs'!AG63</f>
        <v>192.6895147881863</v>
      </c>
      <c r="AH9" s="4"/>
      <c r="AI9" s="4"/>
    </row>
    <row r="10" spans="1:35">
      <c r="B10" s="22"/>
      <c r="C10" s="16" t="s">
        <v>1</v>
      </c>
      <c r="D10" s="29"/>
      <c r="E10" s="16"/>
      <c r="F10" s="16"/>
      <c r="G10" s="16"/>
      <c r="H10" s="16"/>
      <c r="I10" s="40">
        <f>'C&amp;F calcs'!I69+'C&amp;F calcs'!I69*('Other inputs'!J42-'Other inputs'!$F$37)*'Other inputs'!$F$39</f>
        <v>160.72112685101791</v>
      </c>
      <c r="J10" s="40">
        <f>'C&amp;F calcs'!J69+'C&amp;F calcs'!J69*('Other inputs'!K42-'Other inputs'!$F$37)*'Other inputs'!$F$39</f>
        <v>164.73915502229335</v>
      </c>
      <c r="K10" s="40">
        <f>'C&amp;F calcs'!K69+'C&amp;F calcs'!K69*('Other inputs'!L42-'Other inputs'!$F$37)*'Other inputs'!$F$39</f>
        <v>168.85763389785066</v>
      </c>
      <c r="L10" s="40">
        <f>'C&amp;F calcs'!L69+'C&amp;F calcs'!L69*('Other inputs'!M42-'Other inputs'!$F$37)*'Other inputs'!$F$39</f>
        <v>173.07907474529691</v>
      </c>
      <c r="M10" s="40">
        <f>'C&amp;F calcs'!M69+'C&amp;F calcs'!M69*('Other inputs'!N42-'Other inputs'!$F$37)*'Other inputs'!$F$39</f>
        <v>177.40605161392932</v>
      </c>
      <c r="N10" s="40">
        <f>'C&amp;F calcs'!N69+'C&amp;F calcs'!N69*('Other inputs'!O42-'Other inputs'!$F$37)*'Other inputs'!$F$39</f>
        <v>181.84120290427754</v>
      </c>
      <c r="O10" s="40">
        <f>'C&amp;F calcs'!O69+'C&amp;F calcs'!O69*('Other inputs'!P42-'Other inputs'!$F$37)*'Other inputs'!$F$39</f>
        <v>186.38723297688446</v>
      </c>
      <c r="P10" s="40">
        <f>'C&amp;F calcs'!P69+'C&amp;F calcs'!P69*('Other inputs'!Q42-'Other inputs'!$F$37)*'Other inputs'!$F$39</f>
        <v>191.04691380130657</v>
      </c>
      <c r="Q10" s="40">
        <f>'C&amp;F calcs'!Q69+'C&amp;F calcs'!Q69*('Other inputs'!R42-'Other inputs'!$F$37)*'Other inputs'!$F$39</f>
        <v>195.82308664633919</v>
      </c>
      <c r="R10" s="40">
        <f>'C&amp;F calcs'!R69+'C&amp;F calcs'!R69*('Other inputs'!S42-'Other inputs'!$F$37)*'Other inputs'!$F$39</f>
        <v>200.71866381249768</v>
      </c>
      <c r="S10" s="40">
        <f>'C&amp;F calcs'!S69+'C&amp;F calcs'!S69*('Other inputs'!T42-'Other inputs'!$F$37)*'Other inputs'!$F$39</f>
        <v>205.73663040781008</v>
      </c>
      <c r="T10" s="40">
        <f>'C&amp;F calcs'!T69+'C&amp;F calcs'!T69*('Other inputs'!U42-'Other inputs'!$F$37)*'Other inputs'!$F$39</f>
        <v>210.88004616800532</v>
      </c>
      <c r="U10" s="40">
        <f>'C&amp;F calcs'!U69+'C&amp;F calcs'!U69*('Other inputs'!V42-'Other inputs'!$F$37)*'Other inputs'!$F$39</f>
        <v>216.15204732220542</v>
      </c>
      <c r="V10" s="40">
        <f>'C&amp;F calcs'!V69+'C&amp;F calcs'!V69*('Other inputs'!W42-'Other inputs'!$F$37)*'Other inputs'!$F$39</f>
        <v>221.55584850526054</v>
      </c>
      <c r="W10" s="40">
        <f>'C&amp;F calcs'!W69+'C&amp;F calcs'!W69*('Other inputs'!X42-'Other inputs'!$F$37)*'Other inputs'!$F$39</f>
        <v>227.09474471789204</v>
      </c>
      <c r="X10" s="40">
        <f>'C&amp;F calcs'!X69+'C&amp;F calcs'!X69*('Other inputs'!Y42-'Other inputs'!$F$37)*'Other inputs'!$F$39</f>
        <v>232.77211333583929</v>
      </c>
      <c r="Y10" s="40">
        <f>'C&amp;F calcs'!Y69+'C&amp;F calcs'!Y69*('Other inputs'!Z42-'Other inputs'!$F$37)*'Other inputs'!$F$39</f>
        <v>238.59141616923526</v>
      </c>
      <c r="Z10" s="40">
        <f>'C&amp;F calcs'!Z69+'C&amp;F calcs'!Z69*('Other inputs'!AA42-'Other inputs'!$F$37)*'Other inputs'!$F$39</f>
        <v>244.55620157346613</v>
      </c>
      <c r="AA10" s="40">
        <f>'C&amp;F calcs'!AA69+'C&amp;F calcs'!AA69*('Other inputs'!AB42-'Other inputs'!$F$37)*'Other inputs'!$F$39</f>
        <v>250.67010661280275</v>
      </c>
      <c r="AB10" s="40">
        <f>'C&amp;F calcs'!AB69+'C&amp;F calcs'!AB69*('Other inputs'!AC42-'Other inputs'!$F$37)*'Other inputs'!$F$39</f>
        <v>256.93685927812282</v>
      </c>
      <c r="AC10" s="40">
        <f>'C&amp;F calcs'!AC69+'C&amp;F calcs'!AC69*('Other inputs'!AD42-'Other inputs'!$F$37)*'Other inputs'!$F$39</f>
        <v>263.36028076007585</v>
      </c>
      <c r="AD10" s="40">
        <f>'C&amp;F calcs'!AD69+'C&amp;F calcs'!AD69*('Other inputs'!AE42-'Other inputs'!$F$37)*'Other inputs'!$F$39</f>
        <v>269.94428777907774</v>
      </c>
      <c r="AE10" s="40">
        <f>'C&amp;F calcs'!AE69+'C&amp;F calcs'!AE69*('Other inputs'!AF42-'Other inputs'!$F$37)*'Other inputs'!$F$39</f>
        <v>276.69289497355464</v>
      </c>
      <c r="AF10" s="40">
        <f>'C&amp;F calcs'!AF69+'C&amp;F calcs'!AF69*('Other inputs'!AG42-'Other inputs'!$F$37)*'Other inputs'!$F$39</f>
        <v>283.61021734789347</v>
      </c>
      <c r="AG10" s="41">
        <f>'C&amp;F calcs'!AG69+'C&amp;F calcs'!AG69*('Other inputs'!AH42-'Other inputs'!$F$37)*'Other inputs'!$F$39</f>
        <v>290.7004727815908</v>
      </c>
      <c r="AH10" s="4"/>
      <c r="AI10" s="4"/>
    </row>
    <row r="11" spans="1:35">
      <c r="I11" s="4"/>
      <c r="J11" s="4"/>
      <c r="K11" s="4"/>
      <c r="L11" s="4"/>
      <c r="M11" s="4"/>
    </row>
    <row r="12" spans="1:35">
      <c r="B12" s="18" t="s">
        <v>105</v>
      </c>
      <c r="C12" s="15"/>
      <c r="D12" s="24"/>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9"/>
    </row>
    <row r="13" spans="1:35" s="8" customFormat="1">
      <c r="A13" s="7"/>
      <c r="B13" s="49"/>
      <c r="C13" s="21" t="s">
        <v>68</v>
      </c>
      <c r="D13" s="50"/>
      <c r="E13" s="23"/>
      <c r="F13" s="23"/>
      <c r="G13" s="23"/>
      <c r="H13" s="23"/>
      <c r="I13" s="37">
        <f ca="1">SUM(OFFSET(I8,,,,-I$4))</f>
        <v>0</v>
      </c>
      <c r="J13" s="37">
        <f t="shared" ref="J13:AG15" ca="1" si="2">SUM(OFFSET(J8,,,,-J$4))</f>
        <v>0</v>
      </c>
      <c r="K13" s="37">
        <f t="shared" ca="1" si="2"/>
        <v>0</v>
      </c>
      <c r="L13" s="37">
        <f t="shared" ca="1" si="2"/>
        <v>0</v>
      </c>
      <c r="M13" s="37">
        <f t="shared" ca="1" si="2"/>
        <v>0</v>
      </c>
      <c r="N13" s="37">
        <f t="shared" ca="1" si="2"/>
        <v>0</v>
      </c>
      <c r="O13" s="37">
        <f t="shared" ca="1" si="2"/>
        <v>0</v>
      </c>
      <c r="P13" s="37">
        <f t="shared" ca="1" si="2"/>
        <v>0</v>
      </c>
      <c r="Q13" s="37">
        <f t="shared" ca="1" si="2"/>
        <v>0</v>
      </c>
      <c r="R13" s="37">
        <f t="shared" ca="1" si="2"/>
        <v>0</v>
      </c>
      <c r="S13" s="37">
        <f t="shared" ca="1" si="2"/>
        <v>0</v>
      </c>
      <c r="T13" s="37">
        <f t="shared" ca="1" si="2"/>
        <v>0</v>
      </c>
      <c r="U13" s="37">
        <f t="shared" ca="1" si="2"/>
        <v>0</v>
      </c>
      <c r="V13" s="37">
        <f t="shared" ca="1" si="2"/>
        <v>0</v>
      </c>
      <c r="W13" s="37">
        <f t="shared" ca="1" si="2"/>
        <v>0</v>
      </c>
      <c r="X13" s="37">
        <f t="shared" ca="1" si="2"/>
        <v>0</v>
      </c>
      <c r="Y13" s="37">
        <f t="shared" ca="1" si="2"/>
        <v>0</v>
      </c>
      <c r="Z13" s="37">
        <f t="shared" ca="1" si="2"/>
        <v>0</v>
      </c>
      <c r="AA13" s="37">
        <f t="shared" ca="1" si="2"/>
        <v>0</v>
      </c>
      <c r="AB13" s="37">
        <f t="shared" ca="1" si="2"/>
        <v>0</v>
      </c>
      <c r="AC13" s="37">
        <f t="shared" ca="1" si="2"/>
        <v>0</v>
      </c>
      <c r="AD13" s="37">
        <f t="shared" ca="1" si="2"/>
        <v>0</v>
      </c>
      <c r="AE13" s="37">
        <f t="shared" ca="1" si="2"/>
        <v>0</v>
      </c>
      <c r="AF13" s="37">
        <f t="shared" ca="1" si="2"/>
        <v>0</v>
      </c>
      <c r="AG13" s="36">
        <f t="shared" ca="1" si="2"/>
        <v>0</v>
      </c>
    </row>
    <row r="14" spans="1:35">
      <c r="B14" s="20"/>
      <c r="C14" s="21" t="s">
        <v>0</v>
      </c>
      <c r="D14" s="25"/>
      <c r="E14" s="21"/>
      <c r="F14" s="21"/>
      <c r="G14" s="21"/>
      <c r="H14" s="21"/>
      <c r="I14" s="37">
        <f t="shared" ref="I14:X15" ca="1" si="3">SUM(OFFSET(I9,,,,-I$4))</f>
        <v>106.53328373635303</v>
      </c>
      <c r="J14" s="37">
        <f t="shared" ca="1" si="3"/>
        <v>215.72989956611488</v>
      </c>
      <c r="K14" s="37">
        <f t="shared" ca="1" si="3"/>
        <v>327.65643079162078</v>
      </c>
      <c r="L14" s="37">
        <f t="shared" ca="1" si="3"/>
        <v>442.3811252977643</v>
      </c>
      <c r="M14" s="37">
        <f t="shared" ca="1" si="3"/>
        <v>559.97393716656143</v>
      </c>
      <c r="N14" s="37">
        <f t="shared" ca="1" si="3"/>
        <v>120.53263216551701</v>
      </c>
      <c r="O14" s="37">
        <f t="shared" ca="1" si="3"/>
        <v>244.07858013517193</v>
      </c>
      <c r="P14" s="37">
        <f t="shared" ca="1" si="3"/>
        <v>370.71317680406821</v>
      </c>
      <c r="Q14" s="37">
        <f t="shared" ca="1" si="3"/>
        <v>500.51363838968689</v>
      </c>
      <c r="R14" s="37">
        <f t="shared" ca="1" si="3"/>
        <v>633.55911151494604</v>
      </c>
      <c r="S14" s="37">
        <f t="shared" ca="1" si="3"/>
        <v>136.37160995339059</v>
      </c>
      <c r="T14" s="37">
        <f t="shared" ca="1" si="3"/>
        <v>276.15251015561591</v>
      </c>
      <c r="U14" s="37">
        <f t="shared" ca="1" si="3"/>
        <v>419.42793286289691</v>
      </c>
      <c r="V14" s="37">
        <f t="shared" ca="1" si="3"/>
        <v>566.28524113785988</v>
      </c>
      <c r="W14" s="37">
        <f t="shared" ca="1" si="3"/>
        <v>716.8139821196969</v>
      </c>
      <c r="X14" s="37">
        <f t="shared" ca="1" si="3"/>
        <v>154.29195950638294</v>
      </c>
      <c r="Y14" s="37">
        <f t="shared" ca="1" si="2"/>
        <v>312.44121800042547</v>
      </c>
      <c r="Z14" s="37">
        <f t="shared" ca="1" si="2"/>
        <v>474.54420795681904</v>
      </c>
      <c r="AA14" s="37">
        <f t="shared" ca="1" si="2"/>
        <v>640.69977266212243</v>
      </c>
      <c r="AB14" s="37">
        <f t="shared" ca="1" si="2"/>
        <v>811.00922648505843</v>
      </c>
      <c r="AC14" s="37">
        <f t="shared" ca="1" si="2"/>
        <v>174.56719016850934</v>
      </c>
      <c r="AD14" s="37">
        <f t="shared" ca="1" si="2"/>
        <v>353.49856009123141</v>
      </c>
      <c r="AE14" s="37">
        <f t="shared" ca="1" si="2"/>
        <v>536.90321426202149</v>
      </c>
      <c r="AF14" s="37">
        <f t="shared" ca="1" si="2"/>
        <v>724.89298478708133</v>
      </c>
      <c r="AG14" s="36">
        <f t="shared" ca="1" si="2"/>
        <v>917.58249957526766</v>
      </c>
      <c r="AH14" s="6"/>
      <c r="AI14" s="6"/>
    </row>
    <row r="15" spans="1:35">
      <c r="B15" s="22"/>
      <c r="C15" s="16" t="s">
        <v>1</v>
      </c>
      <c r="D15" s="29"/>
      <c r="E15" s="16"/>
      <c r="F15" s="16"/>
      <c r="G15" s="16"/>
      <c r="H15" s="16"/>
      <c r="I15" s="40">
        <f t="shared" ca="1" si="3"/>
        <v>160.72112685101791</v>
      </c>
      <c r="J15" s="40">
        <f t="shared" ca="1" si="2"/>
        <v>325.46028187331126</v>
      </c>
      <c r="K15" s="40">
        <f t="shared" ca="1" si="2"/>
        <v>494.31791577116189</v>
      </c>
      <c r="L15" s="40">
        <f t="shared" ca="1" si="2"/>
        <v>667.3969905164588</v>
      </c>
      <c r="M15" s="40">
        <f t="shared" ca="1" si="2"/>
        <v>844.80304213038812</v>
      </c>
      <c r="N15" s="40">
        <f t="shared" ca="1" si="2"/>
        <v>181.84120290427754</v>
      </c>
      <c r="O15" s="40">
        <f t="shared" ca="1" si="2"/>
        <v>368.228435881162</v>
      </c>
      <c r="P15" s="40">
        <f t="shared" ca="1" si="2"/>
        <v>559.27534968246857</v>
      </c>
      <c r="Q15" s="40">
        <f t="shared" ca="1" si="2"/>
        <v>755.09843632880779</v>
      </c>
      <c r="R15" s="40">
        <f t="shared" ca="1" si="2"/>
        <v>955.81710014130545</v>
      </c>
      <c r="S15" s="40">
        <f t="shared" ca="1" si="2"/>
        <v>205.73663040781008</v>
      </c>
      <c r="T15" s="40">
        <f t="shared" ca="1" si="2"/>
        <v>416.6166765758154</v>
      </c>
      <c r="U15" s="40">
        <f t="shared" ca="1" si="2"/>
        <v>632.76872389802088</v>
      </c>
      <c r="V15" s="40">
        <f t="shared" ca="1" si="2"/>
        <v>854.32457240328142</v>
      </c>
      <c r="W15" s="40">
        <f t="shared" ca="1" si="2"/>
        <v>1081.4193171211734</v>
      </c>
      <c r="X15" s="40">
        <f t="shared" ca="1" si="2"/>
        <v>232.77211333583929</v>
      </c>
      <c r="Y15" s="40">
        <f t="shared" ca="1" si="2"/>
        <v>471.36352950507455</v>
      </c>
      <c r="Z15" s="40">
        <f t="shared" ca="1" si="2"/>
        <v>715.91973107854074</v>
      </c>
      <c r="AA15" s="40">
        <f t="shared" ca="1" si="2"/>
        <v>966.58983769134352</v>
      </c>
      <c r="AB15" s="40">
        <f t="shared" ca="1" si="2"/>
        <v>1223.5266969694662</v>
      </c>
      <c r="AC15" s="40">
        <f t="shared" ca="1" si="2"/>
        <v>263.36028076007585</v>
      </c>
      <c r="AD15" s="40">
        <f t="shared" ca="1" si="2"/>
        <v>533.30456853915359</v>
      </c>
      <c r="AE15" s="40">
        <f t="shared" ca="1" si="2"/>
        <v>809.99746351270824</v>
      </c>
      <c r="AF15" s="40">
        <f t="shared" ca="1" si="2"/>
        <v>1093.6076808606017</v>
      </c>
      <c r="AG15" s="41">
        <f t="shared" ca="1" si="2"/>
        <v>1384.3081536421926</v>
      </c>
      <c r="AH15" s="6"/>
      <c r="AI15" s="6"/>
    </row>
    <row r="16" spans="1:35">
      <c r="I16" s="4"/>
      <c r="J16" s="4"/>
      <c r="K16" s="4"/>
      <c r="L16" s="4"/>
      <c r="M16" s="4"/>
      <c r="N16" s="4"/>
      <c r="O16" s="4"/>
      <c r="P16" s="4"/>
      <c r="Q16" s="4"/>
      <c r="R16" s="4"/>
      <c r="S16" s="4"/>
      <c r="T16" s="4"/>
      <c r="U16" s="4"/>
      <c r="V16" s="4"/>
      <c r="W16" s="4"/>
      <c r="X16" s="4"/>
      <c r="Y16" s="4"/>
      <c r="Z16" s="4"/>
      <c r="AA16" s="4"/>
      <c r="AB16" s="4"/>
      <c r="AC16" s="4"/>
      <c r="AD16" s="4"/>
      <c r="AE16" s="4"/>
      <c r="AF16" s="4"/>
      <c r="AG16" s="4"/>
      <c r="AH16" s="6"/>
      <c r="AI16" s="6"/>
    </row>
    <row r="17" spans="1:35">
      <c r="B17" s="18" t="s">
        <v>112</v>
      </c>
      <c r="C17" s="15"/>
      <c r="D17" s="24"/>
      <c r="E17" s="15"/>
      <c r="F17" s="15"/>
      <c r="G17" s="15"/>
      <c r="H17" s="15"/>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2"/>
      <c r="AH17" s="6"/>
      <c r="AI17" s="6"/>
    </row>
    <row r="18" spans="1:35">
      <c r="B18" s="22"/>
      <c r="C18" s="16" t="s">
        <v>111</v>
      </c>
      <c r="D18" s="29"/>
      <c r="E18" s="16"/>
      <c r="F18" s="16"/>
      <c r="G18" s="16"/>
      <c r="H18" s="16"/>
      <c r="I18" s="42">
        <f>(1+'CoC inputs'!$G$24)^(5-'C&amp;F assessment'!I$4)</f>
        <v>1.1925186006249995</v>
      </c>
      <c r="J18" s="42">
        <f>(1+'CoC inputs'!$G$24)^(5-'C&amp;F assessment'!J$4)</f>
        <v>1.1411661249999998</v>
      </c>
      <c r="K18" s="42">
        <f>(1+'CoC inputs'!$G$24)^(5-'C&amp;F assessment'!K$4)</f>
        <v>1.0920249999999998</v>
      </c>
      <c r="L18" s="42">
        <f>(1+'CoC inputs'!$G$24)^(5-'C&amp;F assessment'!L$4)</f>
        <v>1.0449999999999999</v>
      </c>
      <c r="M18" s="42">
        <f>(1+'CoC inputs'!$G$24)^(5-'C&amp;F assessment'!M$4)</f>
        <v>1</v>
      </c>
      <c r="N18" s="42">
        <f>(1+'CoC inputs'!$G$24)^(5-'C&amp;F assessment'!N$4)</f>
        <v>1.1925186006249995</v>
      </c>
      <c r="O18" s="42">
        <f>(1+'CoC inputs'!$G$24)^(5-'C&amp;F assessment'!O$4)</f>
        <v>1.1411661249999998</v>
      </c>
      <c r="P18" s="42">
        <f>(1+'CoC inputs'!$G$24)^(5-'C&amp;F assessment'!P$4)</f>
        <v>1.0920249999999998</v>
      </c>
      <c r="Q18" s="42">
        <f>(1+'CoC inputs'!$G$24)^(5-'C&amp;F assessment'!Q$4)</f>
        <v>1.0449999999999999</v>
      </c>
      <c r="R18" s="42">
        <f>(1+'CoC inputs'!$G$24)^(5-'C&amp;F assessment'!R$4)</f>
        <v>1</v>
      </c>
      <c r="S18" s="42">
        <f>(1+'CoC inputs'!$G$24)^(5-'C&amp;F assessment'!S$4)</f>
        <v>1.1925186006249995</v>
      </c>
      <c r="T18" s="42">
        <f>(1+'CoC inputs'!$G$24)^(5-'C&amp;F assessment'!T$4)</f>
        <v>1.1411661249999998</v>
      </c>
      <c r="U18" s="42">
        <f>(1+'CoC inputs'!$G$24)^(5-'C&amp;F assessment'!U$4)</f>
        <v>1.0920249999999998</v>
      </c>
      <c r="V18" s="42">
        <f>(1+'CoC inputs'!$G$24)^(5-'C&amp;F assessment'!V$4)</f>
        <v>1.0449999999999999</v>
      </c>
      <c r="W18" s="42">
        <f>(1+'CoC inputs'!$G$24)^(5-'C&amp;F assessment'!W$4)</f>
        <v>1</v>
      </c>
      <c r="X18" s="42">
        <f>(1+'CoC inputs'!$G$24)^(5-'C&amp;F assessment'!X$4)</f>
        <v>1.1925186006249995</v>
      </c>
      <c r="Y18" s="42">
        <f>(1+'CoC inputs'!$G$24)^(5-'C&amp;F assessment'!Y$4)</f>
        <v>1.1411661249999998</v>
      </c>
      <c r="Z18" s="42">
        <f>(1+'CoC inputs'!$G$24)^(5-'C&amp;F assessment'!Z$4)</f>
        <v>1.0920249999999998</v>
      </c>
      <c r="AA18" s="42">
        <f>(1+'CoC inputs'!$G$24)^(5-'C&amp;F assessment'!AA$4)</f>
        <v>1.0449999999999999</v>
      </c>
      <c r="AB18" s="42">
        <f>(1+'CoC inputs'!$G$24)^(5-'C&amp;F assessment'!AB$4)</f>
        <v>1</v>
      </c>
      <c r="AC18" s="42">
        <f>(1+'CoC inputs'!$G$24)^(5-'C&amp;F assessment'!AC$4)</f>
        <v>1.1925186006249995</v>
      </c>
      <c r="AD18" s="42">
        <f>(1+'CoC inputs'!$G$24)^(5-'C&amp;F assessment'!AD$4)</f>
        <v>1.1411661249999998</v>
      </c>
      <c r="AE18" s="42">
        <f>(1+'CoC inputs'!$G$24)^(5-'C&amp;F assessment'!AE$4)</f>
        <v>1.0920249999999998</v>
      </c>
      <c r="AF18" s="42">
        <f>(1+'CoC inputs'!$G$24)^(5-'C&amp;F assessment'!AF$4)</f>
        <v>1.0449999999999999</v>
      </c>
      <c r="AG18" s="43">
        <f>(1+'CoC inputs'!$G$24)^(5-'C&amp;F assessment'!AG$4)</f>
        <v>1</v>
      </c>
      <c r="AH18" s="6"/>
      <c r="AI18" s="6"/>
    </row>
    <row r="19" spans="1:35">
      <c r="I19" s="4"/>
      <c r="J19" s="4"/>
      <c r="K19" s="4"/>
      <c r="L19" s="4"/>
      <c r="M19" s="4"/>
      <c r="N19" s="4"/>
      <c r="O19" s="4"/>
      <c r="P19" s="4"/>
      <c r="Q19" s="4"/>
      <c r="R19" s="4"/>
      <c r="S19" s="4"/>
      <c r="T19" s="4"/>
      <c r="U19" s="4"/>
      <c r="V19" s="4"/>
      <c r="W19" s="4"/>
      <c r="X19" s="4"/>
      <c r="Y19" s="4"/>
      <c r="Z19" s="4"/>
      <c r="AA19" s="4"/>
      <c r="AB19" s="4"/>
      <c r="AC19" s="4"/>
      <c r="AD19" s="4"/>
      <c r="AE19" s="4"/>
      <c r="AF19" s="4"/>
      <c r="AG19" s="4"/>
      <c r="AH19" s="6"/>
      <c r="AI19" s="6"/>
    </row>
    <row r="20" spans="1:35">
      <c r="B20" s="18" t="s">
        <v>106</v>
      </c>
      <c r="C20" s="15"/>
      <c r="D20" s="24"/>
      <c r="E20" s="15"/>
      <c r="F20" s="15"/>
      <c r="G20" s="15"/>
      <c r="H20" s="15"/>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2"/>
      <c r="AH20" s="6"/>
      <c r="AI20" s="6"/>
    </row>
    <row r="21" spans="1:35">
      <c r="B21" s="20"/>
      <c r="C21" s="23" t="s">
        <v>68</v>
      </c>
      <c r="D21" s="25"/>
      <c r="E21" s="21"/>
      <c r="F21" s="21"/>
      <c r="G21" s="21"/>
      <c r="H21" s="21"/>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6"/>
      <c r="AH21" s="6"/>
      <c r="AI21" s="6"/>
    </row>
    <row r="22" spans="1:35">
      <c r="B22" s="20"/>
      <c r="C22" s="21" t="s">
        <v>0</v>
      </c>
      <c r="D22" s="25"/>
      <c r="E22" s="21"/>
      <c r="F22" s="21"/>
      <c r="G22" s="21"/>
      <c r="H22" s="21"/>
      <c r="I22" s="37" t="str">
        <f ca="1">IF(I$3=0,"",SUMPRODUCT(OFFSET(I9,,,,-I$4),OFFSET(I$18,,,,-I$4)))</f>
        <v/>
      </c>
      <c r="J22" s="37" t="str">
        <f t="shared" ref="J22:AG22" ca="1" si="4">IF(J$3=0,"",SUMPRODUCT(OFFSET(J9,,,,-J$4),OFFSET(J$18,,,,-J$4)))</f>
        <v/>
      </c>
      <c r="K22" s="37" t="str">
        <f t="shared" ca="1" si="4"/>
        <v/>
      </c>
      <c r="L22" s="37" t="str">
        <f t="shared" ca="1" si="4"/>
        <v/>
      </c>
      <c r="M22" s="37">
        <f t="shared" ca="1" si="4"/>
        <v>611.36108928007479</v>
      </c>
      <c r="N22" s="37" t="str">
        <f t="shared" ca="1" si="4"/>
        <v/>
      </c>
      <c r="O22" s="37" t="str">
        <f t="shared" ca="1" si="4"/>
        <v/>
      </c>
      <c r="P22" s="37" t="str">
        <f t="shared" ca="1" si="4"/>
        <v/>
      </c>
      <c r="Q22" s="37" t="str">
        <f t="shared" ca="1" si="4"/>
        <v/>
      </c>
      <c r="R22" s="37">
        <f t="shared" ca="1" si="4"/>
        <v>691.69895745323504</v>
      </c>
      <c r="S22" s="37" t="str">
        <f t="shared" ca="1" si="4"/>
        <v/>
      </c>
      <c r="T22" s="37" t="str">
        <f t="shared" ca="1" si="4"/>
        <v/>
      </c>
      <c r="U22" s="37" t="str">
        <f t="shared" ca="1" si="4"/>
        <v/>
      </c>
      <c r="V22" s="37" t="str">
        <f t="shared" ca="1" si="4"/>
        <v/>
      </c>
      <c r="W22" s="37">
        <f t="shared" ca="1" si="4"/>
        <v>782.59388131047263</v>
      </c>
      <c r="X22" s="37" t="str">
        <f t="shared" ca="1" si="4"/>
        <v/>
      </c>
      <c r="Y22" s="37" t="str">
        <f t="shared" ca="1" si="4"/>
        <v/>
      </c>
      <c r="Z22" s="37" t="str">
        <f t="shared" ca="1" si="4"/>
        <v/>
      </c>
      <c r="AA22" s="37" t="str">
        <f t="shared" ca="1" si="4"/>
        <v/>
      </c>
      <c r="AB22" s="37">
        <f t="shared" ca="1" si="4"/>
        <v>885.43314467261939</v>
      </c>
      <c r="AC22" s="37" t="str">
        <f t="shared" ca="1" si="4"/>
        <v/>
      </c>
      <c r="AD22" s="37" t="str">
        <f t="shared" ca="1" si="4"/>
        <v/>
      </c>
      <c r="AE22" s="37" t="str">
        <f t="shared" ca="1" si="4"/>
        <v/>
      </c>
      <c r="AF22" s="37" t="str">
        <f t="shared" ca="1" si="4"/>
        <v/>
      </c>
      <c r="AG22" s="36">
        <f t="shared" ca="1" si="4"/>
        <v>1001.786331848174</v>
      </c>
      <c r="AH22" s="6"/>
      <c r="AI22" s="6"/>
    </row>
    <row r="23" spans="1:35">
      <c r="B23" s="22"/>
      <c r="C23" s="16" t="s">
        <v>1</v>
      </c>
      <c r="D23" s="29"/>
      <c r="E23" s="16"/>
      <c r="F23" s="16"/>
      <c r="G23" s="16"/>
      <c r="H23" s="16"/>
      <c r="I23" s="40" t="str">
        <f ca="1">IF(I$3=0,"",SUMPRODUCT(OFFSET(I10,,,,-I$4),OFFSET(I$18,,,,-I$4)))</f>
        <v/>
      </c>
      <c r="J23" s="40" t="str">
        <f t="shared" ref="J23:AG23" ca="1" si="5">IF(J$3=0,"",SUMPRODUCT(OFFSET(J10,,,,-J$4),OFFSET(J$18,,,,-J$4)))</f>
        <v/>
      </c>
      <c r="K23" s="40" t="str">
        <f t="shared" ca="1" si="5"/>
        <v/>
      </c>
      <c r="L23" s="40" t="str">
        <f t="shared" ca="1" si="5"/>
        <v/>
      </c>
      <c r="M23" s="40">
        <f t="shared" ca="1" si="5"/>
        <v>922.32811883587851</v>
      </c>
      <c r="N23" s="40" t="str">
        <f t="shared" ca="1" si="5"/>
        <v/>
      </c>
      <c r="O23" s="40" t="str">
        <f t="shared" ca="1" si="5"/>
        <v/>
      </c>
      <c r="P23" s="40" t="str">
        <f t="shared" ca="1" si="5"/>
        <v/>
      </c>
      <c r="Q23" s="40" t="str">
        <f t="shared" ca="1" si="5"/>
        <v/>
      </c>
      <c r="R23" s="40">
        <f t="shared" ca="1" si="5"/>
        <v>1043.5296086308731</v>
      </c>
      <c r="S23" s="40" t="str">
        <f t="shared" ca="1" si="5"/>
        <v/>
      </c>
      <c r="T23" s="40" t="str">
        <f t="shared" ca="1" si="5"/>
        <v/>
      </c>
      <c r="U23" s="40" t="str">
        <f t="shared" ca="1" si="5"/>
        <v/>
      </c>
      <c r="V23" s="40" t="str">
        <f t="shared" ca="1" si="5"/>
        <v/>
      </c>
      <c r="W23" s="40">
        <f t="shared" ca="1" si="5"/>
        <v>1180.6579695995088</v>
      </c>
      <c r="X23" s="40" t="str">
        <f t="shared" ca="1" si="5"/>
        <v/>
      </c>
      <c r="Y23" s="40" t="str">
        <f t="shared" ca="1" si="5"/>
        <v/>
      </c>
      <c r="Z23" s="40" t="str">
        <f t="shared" ca="1" si="5"/>
        <v/>
      </c>
      <c r="AA23" s="40" t="str">
        <f t="shared" ca="1" si="5"/>
        <v/>
      </c>
      <c r="AB23" s="40">
        <f t="shared" ca="1" si="5"/>
        <v>1335.8061234196534</v>
      </c>
      <c r="AC23" s="40" t="str">
        <f t="shared" ca="1" si="5"/>
        <v/>
      </c>
      <c r="AD23" s="40" t="str">
        <f t="shared" ca="1" si="5"/>
        <v/>
      </c>
      <c r="AE23" s="40" t="str">
        <f t="shared" ca="1" si="5"/>
        <v/>
      </c>
      <c r="AF23" s="40" t="str">
        <f t="shared" ca="1" si="5"/>
        <v/>
      </c>
      <c r="AG23" s="41">
        <f t="shared" ca="1" si="5"/>
        <v>1511.3420188665832</v>
      </c>
      <c r="AH23" s="6"/>
      <c r="AI23" s="6"/>
    </row>
    <row r="25" spans="1:35">
      <c r="A25" s="1" t="s">
        <v>127</v>
      </c>
    </row>
    <row r="26" spans="1:35">
      <c r="B26" s="18" t="s">
        <v>46</v>
      </c>
      <c r="C26" s="15"/>
      <c r="D26" s="24"/>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9"/>
    </row>
    <row r="27" spans="1:35">
      <c r="B27" s="20"/>
      <c r="C27" s="21" t="s">
        <v>214</v>
      </c>
      <c r="D27" s="25"/>
      <c r="E27" s="44">
        <f>SUM(I27:AG27)</f>
        <v>6587.8491720054299</v>
      </c>
      <c r="F27" s="21"/>
      <c r="G27" s="21"/>
      <c r="H27" s="21"/>
      <c r="I27" s="37">
        <f>'Other inputs'!J65*'Other inputs'!J$69</f>
        <v>192.86535222122151</v>
      </c>
      <c r="J27" s="37">
        <f>'Other inputs'!K65*'Other inputs'!K$69</f>
        <v>197.68698602675201</v>
      </c>
      <c r="K27" s="37">
        <f>'Other inputs'!L65*'Other inputs'!L$69</f>
        <v>202.6291606774208</v>
      </c>
      <c r="L27" s="37">
        <f>'Other inputs'!M65*'Other inputs'!M$69</f>
        <v>207.69488969435628</v>
      </c>
      <c r="M27" s="37">
        <f>'Other inputs'!N65*'Other inputs'!N$69</f>
        <v>212.88726193671519</v>
      </c>
      <c r="N27" s="37">
        <f>'Other inputs'!O65*'Other inputs'!O$69</f>
        <v>218.20944348513305</v>
      </c>
      <c r="O27" s="37">
        <f>'Other inputs'!P65*'Other inputs'!P$69</f>
        <v>223.66467957226135</v>
      </c>
      <c r="P27" s="37">
        <f>'Other inputs'!Q65*'Other inputs'!Q$69</f>
        <v>229.25629656156786</v>
      </c>
      <c r="Q27" s="37">
        <f>'Other inputs'!R65*'Other inputs'!R$69</f>
        <v>234.98770397560705</v>
      </c>
      <c r="R27" s="37">
        <f>'Other inputs'!S65*'Other inputs'!S$69</f>
        <v>240.86239657499721</v>
      </c>
      <c r="S27" s="37">
        <f>'Other inputs'!T65*'Other inputs'!T$69</f>
        <v>246.88395648937208</v>
      </c>
      <c r="T27" s="37">
        <f>'Other inputs'!U65*'Other inputs'!U$69</f>
        <v>253.05605540160639</v>
      </c>
      <c r="U27" s="37">
        <f>'Other inputs'!V65*'Other inputs'!V$69</f>
        <v>259.38245678664651</v>
      </c>
      <c r="V27" s="37">
        <f>'Other inputs'!W65*'Other inputs'!W$69</f>
        <v>265.86701820631265</v>
      </c>
      <c r="W27" s="37">
        <f>'Other inputs'!X65*'Other inputs'!X$69</f>
        <v>272.51369366147043</v>
      </c>
      <c r="X27" s="37">
        <f>'Other inputs'!Y65*'Other inputs'!Y$69</f>
        <v>279.32653600300716</v>
      </c>
      <c r="Y27" s="37">
        <f>'Other inputs'!Z65*'Other inputs'!Z$69</f>
        <v>286.30969940308233</v>
      </c>
      <c r="Z27" s="37">
        <f>'Other inputs'!AA65*'Other inputs'!AA$69</f>
        <v>293.46744188815933</v>
      </c>
      <c r="AA27" s="37">
        <f>'Other inputs'!AB65*'Other inputs'!AB$69</f>
        <v>300.80412793536328</v>
      </c>
      <c r="AB27" s="37">
        <f>'Other inputs'!AC65*'Other inputs'!AC$69</f>
        <v>308.32423113374739</v>
      </c>
      <c r="AC27" s="37">
        <f>'Other inputs'!AD65*'Other inputs'!AD$69</f>
        <v>316.03233691209101</v>
      </c>
      <c r="AD27" s="37">
        <f>'Other inputs'!AE65*'Other inputs'!AE$69</f>
        <v>323.93314533489325</v>
      </c>
      <c r="AE27" s="37">
        <f>'Other inputs'!AF65*'Other inputs'!AF$69</f>
        <v>332.03147396826552</v>
      </c>
      <c r="AF27" s="37">
        <f>'Other inputs'!AG65*'Other inputs'!AG$69</f>
        <v>340.33226081747216</v>
      </c>
      <c r="AG27" s="37">
        <f>'Other inputs'!AH65*'Other inputs'!AH$69</f>
        <v>348.84056733790896</v>
      </c>
      <c r="AH27" s="4"/>
      <c r="AI27" s="4"/>
    </row>
    <row r="28" spans="1:35">
      <c r="B28" s="22"/>
      <c r="C28" s="16" t="s">
        <v>104</v>
      </c>
      <c r="D28" s="29"/>
      <c r="E28" s="16"/>
      <c r="F28" s="16"/>
      <c r="G28" s="16"/>
      <c r="H28" s="16"/>
      <c r="I28" s="40">
        <f ca="1">SUM(OFFSET(I27,,,,-I$4))</f>
        <v>192.86535222122151</v>
      </c>
      <c r="J28" s="40">
        <f t="shared" ref="J28:AG28" ca="1" si="6">SUM(OFFSET(J27,,,,-J$4))</f>
        <v>390.55233824797352</v>
      </c>
      <c r="K28" s="40">
        <f t="shared" ca="1" si="6"/>
        <v>593.18149892539429</v>
      </c>
      <c r="L28" s="40">
        <f t="shared" ca="1" si="6"/>
        <v>800.87638861975051</v>
      </c>
      <c r="M28" s="40">
        <f t="shared" ca="1" si="6"/>
        <v>1013.7636505564657</v>
      </c>
      <c r="N28" s="40">
        <f t="shared" ca="1" si="6"/>
        <v>218.20944348513305</v>
      </c>
      <c r="O28" s="40">
        <f t="shared" ca="1" si="6"/>
        <v>441.8741230573944</v>
      </c>
      <c r="P28" s="40">
        <f t="shared" ca="1" si="6"/>
        <v>671.13041961896226</v>
      </c>
      <c r="Q28" s="40">
        <f t="shared" ca="1" si="6"/>
        <v>906.11812359456928</v>
      </c>
      <c r="R28" s="40">
        <f t="shared" ca="1" si="6"/>
        <v>1146.9805201695665</v>
      </c>
      <c r="S28" s="40">
        <f t="shared" ca="1" si="6"/>
        <v>246.88395648937208</v>
      </c>
      <c r="T28" s="40">
        <f t="shared" ca="1" si="6"/>
        <v>499.94001189097844</v>
      </c>
      <c r="U28" s="40">
        <f t="shared" ca="1" si="6"/>
        <v>759.32246867762501</v>
      </c>
      <c r="V28" s="40">
        <f t="shared" ca="1" si="6"/>
        <v>1025.1894868839377</v>
      </c>
      <c r="W28" s="40">
        <f t="shared" ca="1" si="6"/>
        <v>1297.703180545408</v>
      </c>
      <c r="X28" s="40">
        <f t="shared" ca="1" si="6"/>
        <v>279.32653600300716</v>
      </c>
      <c r="Y28" s="40">
        <f t="shared" ca="1" si="6"/>
        <v>565.63623540608955</v>
      </c>
      <c r="Z28" s="40">
        <f t="shared" ca="1" si="6"/>
        <v>859.10367729424888</v>
      </c>
      <c r="AA28" s="40">
        <f t="shared" ca="1" si="6"/>
        <v>1159.9078052296122</v>
      </c>
      <c r="AB28" s="40">
        <f t="shared" ca="1" si="6"/>
        <v>1468.2320363633596</v>
      </c>
      <c r="AC28" s="40">
        <f t="shared" ca="1" si="6"/>
        <v>316.03233691209101</v>
      </c>
      <c r="AD28" s="40">
        <f t="shared" ca="1" si="6"/>
        <v>639.96548224698427</v>
      </c>
      <c r="AE28" s="40">
        <f t="shared" ca="1" si="6"/>
        <v>971.99695621524984</v>
      </c>
      <c r="AF28" s="40">
        <f t="shared" ca="1" si="6"/>
        <v>1312.329217032722</v>
      </c>
      <c r="AG28" s="41">
        <f t="shared" ca="1" si="6"/>
        <v>1661.1697843706311</v>
      </c>
      <c r="AH28" s="6"/>
      <c r="AI28" s="6"/>
    </row>
    <row r="30" spans="1:35">
      <c r="B30" s="18" t="s">
        <v>68</v>
      </c>
      <c r="C30" s="15"/>
      <c r="D30" s="24"/>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9"/>
    </row>
    <row r="31" spans="1:35">
      <c r="B31" s="20"/>
      <c r="C31" s="21" t="s">
        <v>89</v>
      </c>
      <c r="D31" s="25"/>
      <c r="E31" s="21"/>
      <c r="F31" s="21"/>
      <c r="G31" s="21"/>
      <c r="H31" s="21"/>
      <c r="I31" s="37">
        <f t="shared" ref="I31:AG31" ca="1" si="7">IF(I$4=1,I$28,I$28+SUM(OFFSET(I$33,,-1,,1-I$4)))</f>
        <v>192.86535222122151</v>
      </c>
      <c r="J31" s="37">
        <f t="shared" ca="1" si="7"/>
        <v>390.55233824797352</v>
      </c>
      <c r="K31" s="37">
        <f t="shared" ca="1" si="7"/>
        <v>593.18149892539429</v>
      </c>
      <c r="L31" s="37">
        <f t="shared" ca="1" si="7"/>
        <v>800.87638861975051</v>
      </c>
      <c r="M31" s="37">
        <f t="shared" ca="1" si="7"/>
        <v>1013.7636505564657</v>
      </c>
      <c r="N31" s="37">
        <f t="shared" ca="1" si="7"/>
        <v>218.20944348513305</v>
      </c>
      <c r="O31" s="37">
        <f t="shared" ca="1" si="7"/>
        <v>441.8741230573944</v>
      </c>
      <c r="P31" s="37">
        <f t="shared" ca="1" si="7"/>
        <v>671.13041961896226</v>
      </c>
      <c r="Q31" s="37">
        <f t="shared" ca="1" si="7"/>
        <v>906.11812359456928</v>
      </c>
      <c r="R31" s="37">
        <f t="shared" ca="1" si="7"/>
        <v>1146.9805201695665</v>
      </c>
      <c r="S31" s="37">
        <f t="shared" ca="1" si="7"/>
        <v>246.88395648937208</v>
      </c>
      <c r="T31" s="37">
        <f t="shared" ca="1" si="7"/>
        <v>499.94001189097844</v>
      </c>
      <c r="U31" s="37">
        <f t="shared" ca="1" si="7"/>
        <v>759.32246867762501</v>
      </c>
      <c r="V31" s="37">
        <f t="shared" ca="1" si="7"/>
        <v>1025.1894868839377</v>
      </c>
      <c r="W31" s="37">
        <f t="shared" ca="1" si="7"/>
        <v>1297.703180545408</v>
      </c>
      <c r="X31" s="37">
        <f t="shared" ca="1" si="7"/>
        <v>279.32653600300716</v>
      </c>
      <c r="Y31" s="37">
        <f t="shared" ca="1" si="7"/>
        <v>565.63623540608955</v>
      </c>
      <c r="Z31" s="37">
        <f t="shared" ca="1" si="7"/>
        <v>859.10367729424888</v>
      </c>
      <c r="AA31" s="37">
        <f t="shared" ca="1" si="7"/>
        <v>1159.9078052296122</v>
      </c>
      <c r="AB31" s="37">
        <f t="shared" ca="1" si="7"/>
        <v>1468.2320363633596</v>
      </c>
      <c r="AC31" s="37">
        <f t="shared" ca="1" si="7"/>
        <v>316.03233691209101</v>
      </c>
      <c r="AD31" s="37">
        <f t="shared" ca="1" si="7"/>
        <v>639.96548224698427</v>
      </c>
      <c r="AE31" s="37">
        <f t="shared" ca="1" si="7"/>
        <v>971.99695621524984</v>
      </c>
      <c r="AF31" s="37">
        <f t="shared" ca="1" si="7"/>
        <v>1312.329217032722</v>
      </c>
      <c r="AG31" s="37">
        <f t="shared" ca="1" si="7"/>
        <v>1661.1697843706311</v>
      </c>
      <c r="AH31" s="21"/>
      <c r="AI31" s="26"/>
    </row>
    <row r="32" spans="1:35">
      <c r="B32" s="20"/>
      <c r="C32" s="21" t="s">
        <v>75</v>
      </c>
      <c r="D32" s="25"/>
      <c r="E32" s="21"/>
      <c r="F32" s="21"/>
      <c r="G32" s="21"/>
      <c r="H32" s="21"/>
      <c r="I32" s="21">
        <f>IF(I27&lt;I$8,1,0)</f>
        <v>0</v>
      </c>
      <c r="J32" s="21">
        <f t="shared" ref="J32:AG32" si="8">IF(J27&lt;J$8,1,0)</f>
        <v>0</v>
      </c>
      <c r="K32" s="21">
        <f t="shared" si="8"/>
        <v>0</v>
      </c>
      <c r="L32" s="21">
        <f t="shared" si="8"/>
        <v>0</v>
      </c>
      <c r="M32" s="21">
        <f t="shared" si="8"/>
        <v>0</v>
      </c>
      <c r="N32" s="21">
        <f t="shared" si="8"/>
        <v>0</v>
      </c>
      <c r="O32" s="21">
        <f t="shared" si="8"/>
        <v>0</v>
      </c>
      <c r="P32" s="21">
        <f t="shared" si="8"/>
        <v>0</v>
      </c>
      <c r="Q32" s="21">
        <f t="shared" si="8"/>
        <v>0</v>
      </c>
      <c r="R32" s="21">
        <f t="shared" si="8"/>
        <v>0</v>
      </c>
      <c r="S32" s="21">
        <f t="shared" si="8"/>
        <v>0</v>
      </c>
      <c r="T32" s="21">
        <f t="shared" si="8"/>
        <v>0</v>
      </c>
      <c r="U32" s="21">
        <f t="shared" si="8"/>
        <v>0</v>
      </c>
      <c r="V32" s="21">
        <f t="shared" si="8"/>
        <v>0</v>
      </c>
      <c r="W32" s="21">
        <f t="shared" si="8"/>
        <v>0</v>
      </c>
      <c r="X32" s="21">
        <f t="shared" si="8"/>
        <v>0</v>
      </c>
      <c r="Y32" s="21">
        <f t="shared" si="8"/>
        <v>0</v>
      </c>
      <c r="Z32" s="21">
        <f t="shared" si="8"/>
        <v>0</v>
      </c>
      <c r="AA32" s="21">
        <f t="shared" si="8"/>
        <v>0</v>
      </c>
      <c r="AB32" s="21">
        <f t="shared" si="8"/>
        <v>0</v>
      </c>
      <c r="AC32" s="21">
        <f t="shared" si="8"/>
        <v>0</v>
      </c>
      <c r="AD32" s="21">
        <f t="shared" si="8"/>
        <v>0</v>
      </c>
      <c r="AE32" s="21">
        <f t="shared" si="8"/>
        <v>0</v>
      </c>
      <c r="AF32" s="21">
        <f t="shared" si="8"/>
        <v>0</v>
      </c>
      <c r="AG32" s="21">
        <f t="shared" si="8"/>
        <v>0</v>
      </c>
      <c r="AH32" s="21"/>
      <c r="AI32" s="26"/>
    </row>
    <row r="33" spans="2:35">
      <c r="B33" s="20"/>
      <c r="C33" s="21" t="s">
        <v>76</v>
      </c>
      <c r="D33" s="25"/>
      <c r="E33" s="21"/>
      <c r="F33" s="21"/>
      <c r="G33" s="21"/>
      <c r="H33" s="21"/>
      <c r="I33" s="37">
        <f t="shared" ref="I33:AG33" si="9">IF(I32=1,I$8-I27,0)</f>
        <v>0</v>
      </c>
      <c r="J33" s="37">
        <f t="shared" si="9"/>
        <v>0</v>
      </c>
      <c r="K33" s="37">
        <f t="shared" si="9"/>
        <v>0</v>
      </c>
      <c r="L33" s="37">
        <f t="shared" si="9"/>
        <v>0</v>
      </c>
      <c r="M33" s="37">
        <f t="shared" si="9"/>
        <v>0</v>
      </c>
      <c r="N33" s="37">
        <f t="shared" si="9"/>
        <v>0</v>
      </c>
      <c r="O33" s="37">
        <f t="shared" si="9"/>
        <v>0</v>
      </c>
      <c r="P33" s="37">
        <f t="shared" si="9"/>
        <v>0</v>
      </c>
      <c r="Q33" s="37">
        <f t="shared" si="9"/>
        <v>0</v>
      </c>
      <c r="R33" s="37">
        <f t="shared" si="9"/>
        <v>0</v>
      </c>
      <c r="S33" s="37">
        <f t="shared" si="9"/>
        <v>0</v>
      </c>
      <c r="T33" s="37">
        <f t="shared" si="9"/>
        <v>0</v>
      </c>
      <c r="U33" s="37">
        <f t="shared" si="9"/>
        <v>0</v>
      </c>
      <c r="V33" s="37">
        <f t="shared" si="9"/>
        <v>0</v>
      </c>
      <c r="W33" s="37">
        <f t="shared" si="9"/>
        <v>0</v>
      </c>
      <c r="X33" s="37">
        <f t="shared" si="9"/>
        <v>0</v>
      </c>
      <c r="Y33" s="37">
        <f t="shared" si="9"/>
        <v>0</v>
      </c>
      <c r="Z33" s="37">
        <f t="shared" si="9"/>
        <v>0</v>
      </c>
      <c r="AA33" s="37">
        <f t="shared" si="9"/>
        <v>0</v>
      </c>
      <c r="AB33" s="37">
        <f t="shared" si="9"/>
        <v>0</v>
      </c>
      <c r="AC33" s="37">
        <f t="shared" si="9"/>
        <v>0</v>
      </c>
      <c r="AD33" s="37">
        <f t="shared" si="9"/>
        <v>0</v>
      </c>
      <c r="AE33" s="37">
        <f t="shared" si="9"/>
        <v>0</v>
      </c>
      <c r="AF33" s="37">
        <f t="shared" si="9"/>
        <v>0</v>
      </c>
      <c r="AG33" s="37">
        <f t="shared" si="9"/>
        <v>0</v>
      </c>
      <c r="AH33" s="37"/>
      <c r="AI33" s="36"/>
    </row>
    <row r="34" spans="2:35">
      <c r="B34" s="22"/>
      <c r="C34" s="16" t="s">
        <v>79</v>
      </c>
      <c r="D34" s="29"/>
      <c r="E34" s="45">
        <f>SUM(I34:AG34)</f>
        <v>0</v>
      </c>
      <c r="F34" s="16"/>
      <c r="G34" s="16"/>
      <c r="H34" s="16"/>
      <c r="I34" s="40">
        <f>(G33*(1+'CoC inputs'!$G$24)^2)</f>
        <v>0</v>
      </c>
      <c r="J34" s="40">
        <f>(H33*(1+'CoC inputs'!$G$24)^2)</f>
        <v>0</v>
      </c>
      <c r="K34" s="40">
        <f>(I33*(1+'CoC inputs'!$G$24)^2)</f>
        <v>0</v>
      </c>
      <c r="L34" s="40">
        <f>(J33*(1+'CoC inputs'!$G$24)^2)</f>
        <v>0</v>
      </c>
      <c r="M34" s="40">
        <f>(K33*(1+'CoC inputs'!$G$24)^2)</f>
        <v>0</v>
      </c>
      <c r="N34" s="40">
        <f>(L33*(1+'CoC inputs'!$G$24)^2)</f>
        <v>0</v>
      </c>
      <c r="O34" s="40">
        <f>(M33*(1+'CoC inputs'!$G$24)^2)</f>
        <v>0</v>
      </c>
      <c r="P34" s="40">
        <f>(N33*(1+'CoC inputs'!$G$24)^2)</f>
        <v>0</v>
      </c>
      <c r="Q34" s="40">
        <f>(O33*(1+'CoC inputs'!$G$24)^2)</f>
        <v>0</v>
      </c>
      <c r="R34" s="40">
        <f>(P33*(1+'CoC inputs'!$G$24)^2)</f>
        <v>0</v>
      </c>
      <c r="S34" s="40">
        <f>(Q33*(1+'CoC inputs'!$G$24)^2)</f>
        <v>0</v>
      </c>
      <c r="T34" s="40">
        <f>(R33*(1+'CoC inputs'!$G$24)^2)</f>
        <v>0</v>
      </c>
      <c r="U34" s="40">
        <f>(S33*(1+'CoC inputs'!$G$24)^2)</f>
        <v>0</v>
      </c>
      <c r="V34" s="40">
        <f>(T33*(1+'CoC inputs'!$G$24)^2)</f>
        <v>0</v>
      </c>
      <c r="W34" s="40">
        <f>(U33*(1+'CoC inputs'!$G$24)^2)</f>
        <v>0</v>
      </c>
      <c r="X34" s="40">
        <f>(V33*(1+'CoC inputs'!$G$24)^2)</f>
        <v>0</v>
      </c>
      <c r="Y34" s="40">
        <f>(W33*(1+'CoC inputs'!$G$24)^2)</f>
        <v>0</v>
      </c>
      <c r="Z34" s="40">
        <f>(X33*(1+'CoC inputs'!$G$24)^2)</f>
        <v>0</v>
      </c>
      <c r="AA34" s="40">
        <f>(Y33*(1+'CoC inputs'!$G$24)^2)</f>
        <v>0</v>
      </c>
      <c r="AB34" s="40">
        <f>(Z33*(1+'CoC inputs'!$G$24)^2)</f>
        <v>0</v>
      </c>
      <c r="AC34" s="40">
        <f>(AA33*(1+'CoC inputs'!$G$24)^2)</f>
        <v>0</v>
      </c>
      <c r="AD34" s="40">
        <f>(AB33*(1+'CoC inputs'!$G$24)^2)</f>
        <v>0</v>
      </c>
      <c r="AE34" s="40">
        <f>(AC33*(1+'CoC inputs'!$G$24)^2)</f>
        <v>0</v>
      </c>
      <c r="AF34" s="40">
        <f>(AD33*(1+'CoC inputs'!$G$24)^2)</f>
        <v>0</v>
      </c>
      <c r="AG34" s="40">
        <f>(AE33*(1+'CoC inputs'!$G$24)^2)</f>
        <v>0</v>
      </c>
      <c r="AH34" s="40">
        <f>(AF33*(1+'CoC inputs'!$G$24)^2)</f>
        <v>0</v>
      </c>
      <c r="AI34" s="41">
        <f>(AG33*(1+'CoC inputs'!$G$24)^2)</f>
        <v>0</v>
      </c>
    </row>
    <row r="36" spans="2:35">
      <c r="B36" s="18" t="s">
        <v>0</v>
      </c>
      <c r="C36" s="15"/>
      <c r="D36" s="24"/>
      <c r="E36" s="15"/>
      <c r="F36" s="15"/>
      <c r="G36" s="15"/>
      <c r="H36" s="15"/>
      <c r="I36" s="15"/>
      <c r="J36" s="15"/>
      <c r="K36" s="15"/>
      <c r="L36" s="15"/>
      <c r="M36" s="53"/>
      <c r="N36" s="15"/>
      <c r="O36" s="15"/>
      <c r="P36" s="15"/>
      <c r="Q36" s="15"/>
      <c r="R36" s="15"/>
      <c r="S36" s="15"/>
      <c r="T36" s="15"/>
      <c r="U36" s="15"/>
      <c r="V36" s="15"/>
      <c r="W36" s="15"/>
      <c r="X36" s="15"/>
      <c r="Y36" s="15"/>
      <c r="Z36" s="15"/>
      <c r="AA36" s="15"/>
      <c r="AB36" s="15"/>
      <c r="AC36" s="15"/>
      <c r="AD36" s="15"/>
      <c r="AE36" s="15"/>
      <c r="AF36" s="15"/>
      <c r="AG36" s="15"/>
      <c r="AH36" s="15"/>
      <c r="AI36" s="19"/>
    </row>
    <row r="37" spans="2:35">
      <c r="B37" s="20"/>
      <c r="C37" s="21" t="s">
        <v>107</v>
      </c>
      <c r="D37" s="25"/>
      <c r="E37" s="21"/>
      <c r="F37" s="21"/>
      <c r="G37" s="21"/>
      <c r="H37" s="21"/>
      <c r="I37" s="37" t="str">
        <f t="shared" ref="I37:AG37" ca="1" si="10">IF(I$3=0,"",SUMPRODUCT(OFFSET(I$27,,,,-I$4),OFFSET(I$18,,,,-I$4)))</f>
        <v/>
      </c>
      <c r="J37" s="37" t="str">
        <f t="shared" ca="1" si="10"/>
        <v/>
      </c>
      <c r="K37" s="37" t="str">
        <f t="shared" ca="1" si="10"/>
        <v/>
      </c>
      <c r="L37" s="37" t="str">
        <f t="shared" ca="1" si="10"/>
        <v/>
      </c>
      <c r="M37" s="37">
        <f t="shared" ca="1" si="10"/>
        <v>1106.7937426030544</v>
      </c>
      <c r="N37" s="37" t="str">
        <f t="shared" ca="1" si="10"/>
        <v/>
      </c>
      <c r="O37" s="37" t="str">
        <f t="shared" ca="1" si="10"/>
        <v/>
      </c>
      <c r="P37" s="37" t="str">
        <f t="shared" ca="1" si="10"/>
        <v/>
      </c>
      <c r="Q37" s="37" t="str">
        <f t="shared" ca="1" si="10"/>
        <v/>
      </c>
      <c r="R37" s="37">
        <f t="shared" ca="1" si="10"/>
        <v>1252.2355303570475</v>
      </c>
      <c r="S37" s="37" t="str">
        <f t="shared" ca="1" si="10"/>
        <v/>
      </c>
      <c r="T37" s="37" t="str">
        <f t="shared" ca="1" si="10"/>
        <v/>
      </c>
      <c r="U37" s="37" t="str">
        <f t="shared" ca="1" si="10"/>
        <v/>
      </c>
      <c r="V37" s="37" t="str">
        <f t="shared" ca="1" si="10"/>
        <v/>
      </c>
      <c r="W37" s="37">
        <f t="shared" ca="1" si="10"/>
        <v>1416.7895635194104</v>
      </c>
      <c r="X37" s="37" t="str">
        <f t="shared" ca="1" si="10"/>
        <v/>
      </c>
      <c r="Y37" s="37" t="str">
        <f t="shared" ca="1" si="10"/>
        <v/>
      </c>
      <c r="Z37" s="37" t="str">
        <f t="shared" ca="1" si="10"/>
        <v/>
      </c>
      <c r="AA37" s="37" t="str">
        <f t="shared" ca="1" si="10"/>
        <v/>
      </c>
      <c r="AB37" s="37">
        <f t="shared" ca="1" si="10"/>
        <v>1602.9673481035841</v>
      </c>
      <c r="AC37" s="37" t="str">
        <f t="shared" ca="1" si="10"/>
        <v/>
      </c>
      <c r="AD37" s="37" t="str">
        <f t="shared" ca="1" si="10"/>
        <v/>
      </c>
      <c r="AE37" s="37" t="str">
        <f t="shared" ca="1" si="10"/>
        <v/>
      </c>
      <c r="AF37" s="37" t="str">
        <f t="shared" ca="1" si="10"/>
        <v/>
      </c>
      <c r="AG37" s="37">
        <f t="shared" ca="1" si="10"/>
        <v>1813.6104226398993</v>
      </c>
      <c r="AH37" s="21"/>
      <c r="AI37" s="26"/>
    </row>
    <row r="38" spans="2:35">
      <c r="B38" s="20"/>
      <c r="C38" s="21" t="s">
        <v>75</v>
      </c>
      <c r="D38" s="25"/>
      <c r="E38" s="21"/>
      <c r="F38" s="21"/>
      <c r="G38" s="21"/>
      <c r="H38" s="21"/>
      <c r="I38" s="21" t="str">
        <f>IF(I$3=0,"",IF(AND(I$3=1,I37&lt;I$22),1,0))</f>
        <v/>
      </c>
      <c r="J38" s="21" t="str">
        <f t="shared" ref="J38:AG38" si="11">IF(J3=0,"",IF(AND(J$3=1,J37&lt;J$22),1,0))</f>
        <v/>
      </c>
      <c r="K38" s="21" t="str">
        <f t="shared" si="11"/>
        <v/>
      </c>
      <c r="L38" s="21" t="str">
        <f t="shared" si="11"/>
        <v/>
      </c>
      <c r="M38" s="21">
        <f t="shared" ca="1" si="11"/>
        <v>0</v>
      </c>
      <c r="N38" s="21" t="str">
        <f t="shared" si="11"/>
        <v/>
      </c>
      <c r="O38" s="21" t="str">
        <f t="shared" si="11"/>
        <v/>
      </c>
      <c r="P38" s="21" t="str">
        <f t="shared" si="11"/>
        <v/>
      </c>
      <c r="Q38" s="21" t="str">
        <f t="shared" si="11"/>
        <v/>
      </c>
      <c r="R38" s="21">
        <f t="shared" ca="1" si="11"/>
        <v>0</v>
      </c>
      <c r="S38" s="21" t="str">
        <f t="shared" si="11"/>
        <v/>
      </c>
      <c r="T38" s="21" t="str">
        <f t="shared" si="11"/>
        <v/>
      </c>
      <c r="U38" s="21" t="str">
        <f t="shared" si="11"/>
        <v/>
      </c>
      <c r="V38" s="21" t="str">
        <f t="shared" si="11"/>
        <v/>
      </c>
      <c r="W38" s="21">
        <f t="shared" ca="1" si="11"/>
        <v>0</v>
      </c>
      <c r="X38" s="21" t="str">
        <f t="shared" si="11"/>
        <v/>
      </c>
      <c r="Y38" s="21" t="str">
        <f t="shared" si="11"/>
        <v/>
      </c>
      <c r="Z38" s="21" t="str">
        <f t="shared" si="11"/>
        <v/>
      </c>
      <c r="AA38" s="21" t="str">
        <f t="shared" si="11"/>
        <v/>
      </c>
      <c r="AB38" s="21">
        <f t="shared" ca="1" si="11"/>
        <v>0</v>
      </c>
      <c r="AC38" s="21" t="str">
        <f t="shared" si="11"/>
        <v/>
      </c>
      <c r="AD38" s="21" t="str">
        <f t="shared" si="11"/>
        <v/>
      </c>
      <c r="AE38" s="21" t="str">
        <f t="shared" si="11"/>
        <v/>
      </c>
      <c r="AF38" s="21" t="str">
        <f t="shared" si="11"/>
        <v/>
      </c>
      <c r="AG38" s="21">
        <f t="shared" ca="1" si="11"/>
        <v>0</v>
      </c>
      <c r="AH38" s="21"/>
      <c r="AI38" s="26"/>
    </row>
    <row r="39" spans="2:35">
      <c r="B39" s="20"/>
      <c r="C39" s="21" t="s">
        <v>108</v>
      </c>
      <c r="D39" s="25"/>
      <c r="E39" s="21"/>
      <c r="F39" s="21"/>
      <c r="G39" s="21"/>
      <c r="H39" s="21"/>
      <c r="I39" s="37" t="str">
        <f>IF(I$3=0,"",IF(I38=1,I$22-I37,0))</f>
        <v/>
      </c>
      <c r="J39" s="37" t="str">
        <f t="shared" ref="J39:AG39" si="12">IF(J$3=0,"",IF(J38=1,J$22-J37,0))</f>
        <v/>
      </c>
      <c r="K39" s="37" t="str">
        <f t="shared" si="12"/>
        <v/>
      </c>
      <c r="L39" s="37" t="str">
        <f t="shared" si="12"/>
        <v/>
      </c>
      <c r="M39" s="37">
        <f t="shared" ca="1" si="12"/>
        <v>0</v>
      </c>
      <c r="N39" s="37" t="str">
        <f t="shared" si="12"/>
        <v/>
      </c>
      <c r="O39" s="37" t="str">
        <f t="shared" si="12"/>
        <v/>
      </c>
      <c r="P39" s="37" t="str">
        <f t="shared" si="12"/>
        <v/>
      </c>
      <c r="Q39" s="37" t="str">
        <f t="shared" si="12"/>
        <v/>
      </c>
      <c r="R39" s="37">
        <f t="shared" ca="1" si="12"/>
        <v>0</v>
      </c>
      <c r="S39" s="37" t="str">
        <f t="shared" si="12"/>
        <v/>
      </c>
      <c r="T39" s="37" t="str">
        <f t="shared" si="12"/>
        <v/>
      </c>
      <c r="U39" s="37" t="str">
        <f t="shared" si="12"/>
        <v/>
      </c>
      <c r="V39" s="37" t="str">
        <f t="shared" si="12"/>
        <v/>
      </c>
      <c r="W39" s="37">
        <f t="shared" ca="1" si="12"/>
        <v>0</v>
      </c>
      <c r="X39" s="37" t="str">
        <f t="shared" si="12"/>
        <v/>
      </c>
      <c r="Y39" s="37" t="str">
        <f t="shared" si="12"/>
        <v/>
      </c>
      <c r="Z39" s="37" t="str">
        <f t="shared" si="12"/>
        <v/>
      </c>
      <c r="AA39" s="37" t="str">
        <f t="shared" si="12"/>
        <v/>
      </c>
      <c r="AB39" s="37">
        <f t="shared" ca="1" si="12"/>
        <v>0</v>
      </c>
      <c r="AC39" s="37" t="str">
        <f t="shared" si="12"/>
        <v/>
      </c>
      <c r="AD39" s="37" t="str">
        <f t="shared" si="12"/>
        <v/>
      </c>
      <c r="AE39" s="37" t="str">
        <f t="shared" si="12"/>
        <v/>
      </c>
      <c r="AF39" s="37" t="str">
        <f t="shared" si="12"/>
        <v/>
      </c>
      <c r="AG39" s="37">
        <f t="shared" ca="1" si="12"/>
        <v>0</v>
      </c>
      <c r="AH39" s="21"/>
      <c r="AI39" s="26"/>
    </row>
    <row r="40" spans="2:35">
      <c r="B40" s="20"/>
      <c r="C40" s="21" t="s">
        <v>109</v>
      </c>
      <c r="D40" s="25"/>
      <c r="E40" s="21"/>
      <c r="F40" s="21"/>
      <c r="G40" s="21"/>
      <c r="H40" s="21"/>
      <c r="I40" s="37" t="str">
        <f ca="1">IF(I$3=0,"",SUMPRODUCT(OFFSET(I33,,,,-I$4),OFFSET(I$18,,,,-I$4)))</f>
        <v/>
      </c>
      <c r="J40" s="37" t="str">
        <f t="shared" ref="J40:AG40" ca="1" si="13">IF(J$3=0,"",SUMPRODUCT(OFFSET(J33,,,,-J$4),OFFSET(J$18,,,,-J$4)))</f>
        <v/>
      </c>
      <c r="K40" s="37" t="str">
        <f t="shared" ca="1" si="13"/>
        <v/>
      </c>
      <c r="L40" s="37" t="str">
        <f t="shared" ca="1" si="13"/>
        <v/>
      </c>
      <c r="M40" s="37">
        <f t="shared" ca="1" si="13"/>
        <v>0</v>
      </c>
      <c r="N40" s="37" t="str">
        <f t="shared" ca="1" si="13"/>
        <v/>
      </c>
      <c r="O40" s="37" t="str">
        <f t="shared" ca="1" si="13"/>
        <v/>
      </c>
      <c r="P40" s="37" t="str">
        <f t="shared" ca="1" si="13"/>
        <v/>
      </c>
      <c r="Q40" s="37" t="str">
        <f t="shared" ca="1" si="13"/>
        <v/>
      </c>
      <c r="R40" s="37">
        <f t="shared" ca="1" si="13"/>
        <v>0</v>
      </c>
      <c r="S40" s="37" t="str">
        <f t="shared" ca="1" si="13"/>
        <v/>
      </c>
      <c r="T40" s="37" t="str">
        <f t="shared" ca="1" si="13"/>
        <v/>
      </c>
      <c r="U40" s="37" t="str">
        <f t="shared" ca="1" si="13"/>
        <v/>
      </c>
      <c r="V40" s="37" t="str">
        <f t="shared" ca="1" si="13"/>
        <v/>
      </c>
      <c r="W40" s="37">
        <f t="shared" ca="1" si="13"/>
        <v>0</v>
      </c>
      <c r="X40" s="37" t="str">
        <f t="shared" ca="1" si="13"/>
        <v/>
      </c>
      <c r="Y40" s="37" t="str">
        <f t="shared" ca="1" si="13"/>
        <v/>
      </c>
      <c r="Z40" s="37" t="str">
        <f t="shared" ca="1" si="13"/>
        <v/>
      </c>
      <c r="AA40" s="37" t="str">
        <f t="shared" ca="1" si="13"/>
        <v/>
      </c>
      <c r="AB40" s="37">
        <f t="shared" ca="1" si="13"/>
        <v>0</v>
      </c>
      <c r="AC40" s="37" t="str">
        <f t="shared" ca="1" si="13"/>
        <v/>
      </c>
      <c r="AD40" s="37" t="str">
        <f t="shared" ca="1" si="13"/>
        <v/>
      </c>
      <c r="AE40" s="37" t="str">
        <f t="shared" ca="1" si="13"/>
        <v/>
      </c>
      <c r="AF40" s="37" t="str">
        <f t="shared" ca="1" si="13"/>
        <v/>
      </c>
      <c r="AG40" s="37">
        <f t="shared" ca="1" si="13"/>
        <v>0</v>
      </c>
      <c r="AH40" s="21"/>
      <c r="AI40" s="26"/>
    </row>
    <row r="41" spans="2:35">
      <c r="B41" s="20"/>
      <c r="C41" s="21" t="s">
        <v>110</v>
      </c>
      <c r="D41" s="25"/>
      <c r="E41" s="21"/>
      <c r="F41" s="21"/>
      <c r="G41" s="21"/>
      <c r="H41" s="21"/>
      <c r="I41" s="37">
        <f>IF(I$3=0,0,I39-I40)</f>
        <v>0</v>
      </c>
      <c r="J41" s="37">
        <f t="shared" ref="J41:AG41" si="14">IF(J$3=0,0,J39-J40)</f>
        <v>0</v>
      </c>
      <c r="K41" s="37">
        <f t="shared" si="14"/>
        <v>0</v>
      </c>
      <c r="L41" s="37">
        <f t="shared" si="14"/>
        <v>0</v>
      </c>
      <c r="M41" s="37">
        <f t="shared" ca="1" si="14"/>
        <v>0</v>
      </c>
      <c r="N41" s="37">
        <f t="shared" si="14"/>
        <v>0</v>
      </c>
      <c r="O41" s="37">
        <f t="shared" si="14"/>
        <v>0</v>
      </c>
      <c r="P41" s="37">
        <f t="shared" si="14"/>
        <v>0</v>
      </c>
      <c r="Q41" s="37">
        <f t="shared" si="14"/>
        <v>0</v>
      </c>
      <c r="R41" s="37">
        <f t="shared" ca="1" si="14"/>
        <v>0</v>
      </c>
      <c r="S41" s="37">
        <f t="shared" si="14"/>
        <v>0</v>
      </c>
      <c r="T41" s="37">
        <f t="shared" si="14"/>
        <v>0</v>
      </c>
      <c r="U41" s="37">
        <f t="shared" si="14"/>
        <v>0</v>
      </c>
      <c r="V41" s="37">
        <f t="shared" si="14"/>
        <v>0</v>
      </c>
      <c r="W41" s="37">
        <f t="shared" ca="1" si="14"/>
        <v>0</v>
      </c>
      <c r="X41" s="37">
        <f t="shared" si="14"/>
        <v>0</v>
      </c>
      <c r="Y41" s="37">
        <f t="shared" si="14"/>
        <v>0</v>
      </c>
      <c r="Z41" s="37">
        <f t="shared" si="14"/>
        <v>0</v>
      </c>
      <c r="AA41" s="37">
        <f t="shared" si="14"/>
        <v>0</v>
      </c>
      <c r="AB41" s="37">
        <f t="shared" ca="1" si="14"/>
        <v>0</v>
      </c>
      <c r="AC41" s="37">
        <f t="shared" si="14"/>
        <v>0</v>
      </c>
      <c r="AD41" s="37">
        <f t="shared" si="14"/>
        <v>0</v>
      </c>
      <c r="AE41" s="37">
        <f t="shared" si="14"/>
        <v>0</v>
      </c>
      <c r="AF41" s="37">
        <f t="shared" si="14"/>
        <v>0</v>
      </c>
      <c r="AG41" s="37">
        <f t="shared" ca="1" si="14"/>
        <v>0</v>
      </c>
      <c r="AH41" s="37"/>
      <c r="AI41" s="36"/>
    </row>
    <row r="42" spans="2:35">
      <c r="B42" s="22"/>
      <c r="C42" s="16" t="s">
        <v>79</v>
      </c>
      <c r="D42" s="29"/>
      <c r="E42" s="45">
        <f ca="1">SUM(I42:AG42)</f>
        <v>0</v>
      </c>
      <c r="F42" s="16"/>
      <c r="G42" s="16"/>
      <c r="H42" s="16"/>
      <c r="I42" s="40">
        <f>(G41*(1+'CoC inputs'!$G$24)^2)</f>
        <v>0</v>
      </c>
      <c r="J42" s="40">
        <f>(H41*(1+'CoC inputs'!$G$24)^2)</f>
        <v>0</v>
      </c>
      <c r="K42" s="40">
        <f>(I41*(1+'CoC inputs'!$G$24)^2)</f>
        <v>0</v>
      </c>
      <c r="L42" s="40">
        <f>(J41*(1+'CoC inputs'!$G$24)^2)</f>
        <v>0</v>
      </c>
      <c r="M42" s="40">
        <f>(K41*(1+'CoC inputs'!$G$24)^2)</f>
        <v>0</v>
      </c>
      <c r="N42" s="40">
        <f>(L41*(1+'CoC inputs'!$G$24)^2)</f>
        <v>0</v>
      </c>
      <c r="O42" s="40">
        <f ca="1">(M41*(1+'CoC inputs'!$G$24)^2)</f>
        <v>0</v>
      </c>
      <c r="P42" s="40">
        <f>(N41*(1+'CoC inputs'!$G$24)^2)</f>
        <v>0</v>
      </c>
      <c r="Q42" s="40">
        <f>(O41*(1+'CoC inputs'!$G$24)^2)</f>
        <v>0</v>
      </c>
      <c r="R42" s="40">
        <f>(P41*(1+'CoC inputs'!$G$24)^2)</f>
        <v>0</v>
      </c>
      <c r="S42" s="40">
        <f>(Q41*(1+'CoC inputs'!$G$24)^2)</f>
        <v>0</v>
      </c>
      <c r="T42" s="40">
        <f ca="1">(R41*(1+'CoC inputs'!$G$24)^2)</f>
        <v>0</v>
      </c>
      <c r="U42" s="40">
        <f>(S41*(1+'CoC inputs'!$G$24)^2)</f>
        <v>0</v>
      </c>
      <c r="V42" s="40">
        <f>(T41*(1+'CoC inputs'!$G$24)^2)</f>
        <v>0</v>
      </c>
      <c r="W42" s="40">
        <f>(U41*(1+'CoC inputs'!$G$24)^2)</f>
        <v>0</v>
      </c>
      <c r="X42" s="40">
        <f>(V41*(1+'CoC inputs'!$G$24)^2)</f>
        <v>0</v>
      </c>
      <c r="Y42" s="40">
        <f ca="1">(W41*(1+'CoC inputs'!$G$24)^2)</f>
        <v>0</v>
      </c>
      <c r="Z42" s="40">
        <f>(X41*(1+'CoC inputs'!$G$24)^2)</f>
        <v>0</v>
      </c>
      <c r="AA42" s="40">
        <f>(Y41*(1+'CoC inputs'!$G$24)^2)</f>
        <v>0</v>
      </c>
      <c r="AB42" s="40">
        <f>(Z41*(1+'CoC inputs'!$G$24)^2)</f>
        <v>0</v>
      </c>
      <c r="AC42" s="40">
        <f>(AA41*(1+'CoC inputs'!$G$24)^2)</f>
        <v>0</v>
      </c>
      <c r="AD42" s="40">
        <f ca="1">(AB41*(1+'CoC inputs'!$G$24)^2)</f>
        <v>0</v>
      </c>
      <c r="AE42" s="40">
        <f>(AC41*(1+'CoC inputs'!$G$24)^2)</f>
        <v>0</v>
      </c>
      <c r="AF42" s="40">
        <f>(AD41*(1+'CoC inputs'!$G$24)^2)</f>
        <v>0</v>
      </c>
      <c r="AG42" s="40">
        <f>(AE41*(1+'CoC inputs'!$G$24)^2)</f>
        <v>0</v>
      </c>
      <c r="AH42" s="40">
        <f>(AF41*(1+'CoC inputs'!$G$24)^2)</f>
        <v>0</v>
      </c>
      <c r="AI42" s="41">
        <f ca="1">(AG41*(1+'CoC inputs'!$G$24)^2)</f>
        <v>0</v>
      </c>
    </row>
    <row r="44" spans="2:35">
      <c r="B44" s="18" t="s">
        <v>1</v>
      </c>
      <c r="C44" s="15"/>
      <c r="D44" s="24"/>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9"/>
    </row>
    <row r="45" spans="2:35">
      <c r="B45" s="20"/>
      <c r="C45" s="21" t="s">
        <v>107</v>
      </c>
      <c r="D45" s="25"/>
      <c r="E45" s="21"/>
      <c r="F45" s="21"/>
      <c r="G45" s="21"/>
      <c r="H45" s="21"/>
      <c r="I45" s="37" t="str">
        <f t="shared" ref="I45:AG45" ca="1" si="15">IF(I$3=0,"",SUMPRODUCT(OFFSET(I$27,,,,-I$4),OFFSET(I$18,,,,-I$4)))</f>
        <v/>
      </c>
      <c r="J45" s="37" t="str">
        <f t="shared" ca="1" si="15"/>
        <v/>
      </c>
      <c r="K45" s="37" t="str">
        <f t="shared" ca="1" si="15"/>
        <v/>
      </c>
      <c r="L45" s="37" t="str">
        <f t="shared" ca="1" si="15"/>
        <v/>
      </c>
      <c r="M45" s="37">
        <f t="shared" ca="1" si="15"/>
        <v>1106.7937426030544</v>
      </c>
      <c r="N45" s="37" t="str">
        <f t="shared" ca="1" si="15"/>
        <v/>
      </c>
      <c r="O45" s="37" t="str">
        <f t="shared" ca="1" si="15"/>
        <v/>
      </c>
      <c r="P45" s="37" t="str">
        <f t="shared" ca="1" si="15"/>
        <v/>
      </c>
      <c r="Q45" s="37" t="str">
        <f t="shared" ca="1" si="15"/>
        <v/>
      </c>
      <c r="R45" s="37">
        <f t="shared" ca="1" si="15"/>
        <v>1252.2355303570475</v>
      </c>
      <c r="S45" s="37" t="str">
        <f t="shared" ca="1" si="15"/>
        <v/>
      </c>
      <c r="T45" s="37" t="str">
        <f t="shared" ca="1" si="15"/>
        <v/>
      </c>
      <c r="U45" s="37" t="str">
        <f t="shared" ca="1" si="15"/>
        <v/>
      </c>
      <c r="V45" s="37" t="str">
        <f t="shared" ca="1" si="15"/>
        <v/>
      </c>
      <c r="W45" s="37">
        <f t="shared" ca="1" si="15"/>
        <v>1416.7895635194104</v>
      </c>
      <c r="X45" s="37" t="str">
        <f t="shared" ca="1" si="15"/>
        <v/>
      </c>
      <c r="Y45" s="37" t="str">
        <f t="shared" ca="1" si="15"/>
        <v/>
      </c>
      <c r="Z45" s="37" t="str">
        <f t="shared" ca="1" si="15"/>
        <v/>
      </c>
      <c r="AA45" s="37" t="str">
        <f t="shared" ca="1" si="15"/>
        <v/>
      </c>
      <c r="AB45" s="37">
        <f t="shared" ca="1" si="15"/>
        <v>1602.9673481035841</v>
      </c>
      <c r="AC45" s="37" t="str">
        <f t="shared" ca="1" si="15"/>
        <v/>
      </c>
      <c r="AD45" s="37" t="str">
        <f t="shared" ca="1" si="15"/>
        <v/>
      </c>
      <c r="AE45" s="37" t="str">
        <f t="shared" ca="1" si="15"/>
        <v/>
      </c>
      <c r="AF45" s="37" t="str">
        <f t="shared" ca="1" si="15"/>
        <v/>
      </c>
      <c r="AG45" s="37">
        <f t="shared" ca="1" si="15"/>
        <v>1813.6104226398993</v>
      </c>
      <c r="AH45" s="21"/>
      <c r="AI45" s="26"/>
    </row>
    <row r="46" spans="2:35">
      <c r="B46" s="20"/>
      <c r="C46" s="21" t="s">
        <v>75</v>
      </c>
      <c r="D46" s="25"/>
      <c r="E46" s="21"/>
      <c r="F46" s="21"/>
      <c r="G46" s="21"/>
      <c r="H46" s="21"/>
      <c r="I46" s="21" t="str">
        <f>IF(I$3=0,"",IF(AND(I$3=1,I45&gt;I$23),1,0))</f>
        <v/>
      </c>
      <c r="J46" s="21" t="str">
        <f t="shared" ref="J46:AG46" si="16">IF(J$3=0,"",IF(AND(J$3=1,J45&gt;J$23),1,0))</f>
        <v/>
      </c>
      <c r="K46" s="21" t="str">
        <f t="shared" si="16"/>
        <v/>
      </c>
      <c r="L46" s="21" t="str">
        <f t="shared" si="16"/>
        <v/>
      </c>
      <c r="M46" s="21">
        <f t="shared" ca="1" si="16"/>
        <v>1</v>
      </c>
      <c r="N46" s="21" t="str">
        <f t="shared" si="16"/>
        <v/>
      </c>
      <c r="O46" s="21" t="str">
        <f t="shared" si="16"/>
        <v/>
      </c>
      <c r="P46" s="21" t="str">
        <f t="shared" si="16"/>
        <v/>
      </c>
      <c r="Q46" s="21" t="str">
        <f t="shared" si="16"/>
        <v/>
      </c>
      <c r="R46" s="21">
        <f t="shared" ca="1" si="16"/>
        <v>1</v>
      </c>
      <c r="S46" s="21" t="str">
        <f t="shared" si="16"/>
        <v/>
      </c>
      <c r="T46" s="21" t="str">
        <f t="shared" si="16"/>
        <v/>
      </c>
      <c r="U46" s="21" t="str">
        <f t="shared" si="16"/>
        <v/>
      </c>
      <c r="V46" s="21" t="str">
        <f t="shared" si="16"/>
        <v/>
      </c>
      <c r="W46" s="21">
        <f t="shared" ca="1" si="16"/>
        <v>1</v>
      </c>
      <c r="X46" s="21" t="str">
        <f t="shared" si="16"/>
        <v/>
      </c>
      <c r="Y46" s="21" t="str">
        <f t="shared" si="16"/>
        <v/>
      </c>
      <c r="Z46" s="21" t="str">
        <f t="shared" si="16"/>
        <v/>
      </c>
      <c r="AA46" s="21" t="str">
        <f t="shared" si="16"/>
        <v/>
      </c>
      <c r="AB46" s="21">
        <f t="shared" ca="1" si="16"/>
        <v>1</v>
      </c>
      <c r="AC46" s="21" t="str">
        <f t="shared" si="16"/>
        <v/>
      </c>
      <c r="AD46" s="21" t="str">
        <f t="shared" si="16"/>
        <v/>
      </c>
      <c r="AE46" s="21" t="str">
        <f t="shared" si="16"/>
        <v/>
      </c>
      <c r="AF46" s="21" t="str">
        <f t="shared" si="16"/>
        <v/>
      </c>
      <c r="AG46" s="21">
        <f t="shared" ca="1" si="16"/>
        <v>1</v>
      </c>
      <c r="AH46" s="21"/>
      <c r="AI46" s="26"/>
    </row>
    <row r="47" spans="2:35">
      <c r="B47" s="20"/>
      <c r="C47" s="21" t="s">
        <v>108</v>
      </c>
      <c r="D47" s="25"/>
      <c r="E47" s="21"/>
      <c r="F47" s="21"/>
      <c r="G47" s="21"/>
      <c r="H47" s="21"/>
      <c r="I47" s="37">
        <f>IF(I$3=0,0,IF(I46=1,I$23-I45,0))</f>
        <v>0</v>
      </c>
      <c r="J47" s="37">
        <f t="shared" ref="J47:AG47" si="17">IF(J$3=0,0,IF(J46=1,J$23-J45,0))</f>
        <v>0</v>
      </c>
      <c r="K47" s="37">
        <f t="shared" si="17"/>
        <v>0</v>
      </c>
      <c r="L47" s="37">
        <f t="shared" si="17"/>
        <v>0</v>
      </c>
      <c r="M47" s="37">
        <f t="shared" ca="1" si="17"/>
        <v>-184.46562376717588</v>
      </c>
      <c r="N47" s="37">
        <f t="shared" si="17"/>
        <v>0</v>
      </c>
      <c r="O47" s="37">
        <f t="shared" si="17"/>
        <v>0</v>
      </c>
      <c r="P47" s="37">
        <f t="shared" si="17"/>
        <v>0</v>
      </c>
      <c r="Q47" s="37">
        <f t="shared" si="17"/>
        <v>0</v>
      </c>
      <c r="R47" s="37">
        <f t="shared" ca="1" si="17"/>
        <v>-208.70592172617444</v>
      </c>
      <c r="S47" s="37">
        <f t="shared" si="17"/>
        <v>0</v>
      </c>
      <c r="T47" s="37">
        <f t="shared" si="17"/>
        <v>0</v>
      </c>
      <c r="U47" s="37">
        <f t="shared" si="17"/>
        <v>0</v>
      </c>
      <c r="V47" s="37">
        <f t="shared" si="17"/>
        <v>0</v>
      </c>
      <c r="W47" s="37">
        <f t="shared" ca="1" si="17"/>
        <v>-236.13159391990166</v>
      </c>
      <c r="X47" s="37">
        <f t="shared" si="17"/>
        <v>0</v>
      </c>
      <c r="Y47" s="37">
        <f t="shared" si="17"/>
        <v>0</v>
      </c>
      <c r="Z47" s="37">
        <f t="shared" si="17"/>
        <v>0</v>
      </c>
      <c r="AA47" s="37">
        <f t="shared" si="17"/>
        <v>0</v>
      </c>
      <c r="AB47" s="37">
        <f t="shared" ca="1" si="17"/>
        <v>-267.16122468393064</v>
      </c>
      <c r="AC47" s="37">
        <f t="shared" si="17"/>
        <v>0</v>
      </c>
      <c r="AD47" s="37">
        <f t="shared" si="17"/>
        <v>0</v>
      </c>
      <c r="AE47" s="37">
        <f t="shared" si="17"/>
        <v>0</v>
      </c>
      <c r="AF47" s="37">
        <f t="shared" si="17"/>
        <v>0</v>
      </c>
      <c r="AG47" s="37">
        <f t="shared" ca="1" si="17"/>
        <v>-302.26840377331609</v>
      </c>
      <c r="AH47" s="37"/>
      <c r="AI47" s="36"/>
    </row>
    <row r="48" spans="2:35">
      <c r="B48" s="20"/>
      <c r="C48" s="21" t="s">
        <v>109</v>
      </c>
      <c r="D48" s="25"/>
      <c r="E48" s="21"/>
      <c r="F48" s="21"/>
      <c r="G48" s="21"/>
      <c r="H48" s="21"/>
      <c r="I48" s="37" t="str">
        <f ca="1">IF(I$3=0,"",SUMPRODUCT(OFFSET(I33,,,,-I$4),OFFSET(I$18,,,,-I$4)))</f>
        <v/>
      </c>
      <c r="J48" s="37" t="str">
        <f t="shared" ref="J48:AI48" ca="1" si="18">IF(J$3=0,"",SUMPRODUCT(OFFSET(J33,,,,-J$4),OFFSET(J$18,,,,-J$4)))</f>
        <v/>
      </c>
      <c r="K48" s="37" t="str">
        <f t="shared" ca="1" si="18"/>
        <v/>
      </c>
      <c r="L48" s="37" t="str">
        <f t="shared" ca="1" si="18"/>
        <v/>
      </c>
      <c r="M48" s="37">
        <f t="shared" ca="1" si="18"/>
        <v>0</v>
      </c>
      <c r="N48" s="37" t="str">
        <f t="shared" ca="1" si="18"/>
        <v/>
      </c>
      <c r="O48" s="37" t="str">
        <f t="shared" ca="1" si="18"/>
        <v/>
      </c>
      <c r="P48" s="37" t="str">
        <f t="shared" ca="1" si="18"/>
        <v/>
      </c>
      <c r="Q48" s="37" t="str">
        <f t="shared" ca="1" si="18"/>
        <v/>
      </c>
      <c r="R48" s="37">
        <f t="shared" ca="1" si="18"/>
        <v>0</v>
      </c>
      <c r="S48" s="37" t="str">
        <f t="shared" ca="1" si="18"/>
        <v/>
      </c>
      <c r="T48" s="37" t="str">
        <f t="shared" ca="1" si="18"/>
        <v/>
      </c>
      <c r="U48" s="37" t="str">
        <f t="shared" ca="1" si="18"/>
        <v/>
      </c>
      <c r="V48" s="37" t="str">
        <f t="shared" ca="1" si="18"/>
        <v/>
      </c>
      <c r="W48" s="37">
        <f t="shared" ca="1" si="18"/>
        <v>0</v>
      </c>
      <c r="X48" s="37" t="str">
        <f t="shared" ca="1" si="18"/>
        <v/>
      </c>
      <c r="Y48" s="37" t="str">
        <f t="shared" ca="1" si="18"/>
        <v/>
      </c>
      <c r="Z48" s="37" t="str">
        <f t="shared" ca="1" si="18"/>
        <v/>
      </c>
      <c r="AA48" s="37" t="str">
        <f t="shared" ca="1" si="18"/>
        <v/>
      </c>
      <c r="AB48" s="37">
        <f t="shared" ca="1" si="18"/>
        <v>0</v>
      </c>
      <c r="AC48" s="37" t="str">
        <f t="shared" ca="1" si="18"/>
        <v/>
      </c>
      <c r="AD48" s="37" t="str">
        <f t="shared" ca="1" si="18"/>
        <v/>
      </c>
      <c r="AE48" s="37" t="str">
        <f t="shared" ca="1" si="18"/>
        <v/>
      </c>
      <c r="AF48" s="37" t="str">
        <f t="shared" ca="1" si="18"/>
        <v/>
      </c>
      <c r="AG48" s="37">
        <f t="shared" ca="1" si="18"/>
        <v>0</v>
      </c>
      <c r="AH48" s="37" t="str">
        <f t="shared" ca="1" si="18"/>
        <v/>
      </c>
      <c r="AI48" s="36" t="str">
        <f t="shared" ca="1" si="18"/>
        <v/>
      </c>
    </row>
    <row r="49" spans="2:35">
      <c r="B49" s="20"/>
      <c r="C49" s="21" t="s">
        <v>110</v>
      </c>
      <c r="D49" s="25"/>
      <c r="E49" s="21"/>
      <c r="F49" s="21"/>
      <c r="G49" s="21"/>
      <c r="H49" s="21"/>
      <c r="I49" s="37">
        <f>IF(I$3=0,0,I47-I48)</f>
        <v>0</v>
      </c>
      <c r="J49" s="37">
        <f t="shared" ref="J49:AI49" si="19">IF(J$3=0,0,J47-J48)</f>
        <v>0</v>
      </c>
      <c r="K49" s="37">
        <f t="shared" si="19"/>
        <v>0</v>
      </c>
      <c r="L49" s="37">
        <f t="shared" si="19"/>
        <v>0</v>
      </c>
      <c r="M49" s="37">
        <f t="shared" ca="1" si="19"/>
        <v>-184.46562376717588</v>
      </c>
      <c r="N49" s="37">
        <f t="shared" si="19"/>
        <v>0</v>
      </c>
      <c r="O49" s="37">
        <f t="shared" si="19"/>
        <v>0</v>
      </c>
      <c r="P49" s="37">
        <f t="shared" si="19"/>
        <v>0</v>
      </c>
      <c r="Q49" s="37">
        <f t="shared" si="19"/>
        <v>0</v>
      </c>
      <c r="R49" s="37">
        <f t="shared" ca="1" si="19"/>
        <v>-208.70592172617444</v>
      </c>
      <c r="S49" s="37">
        <f t="shared" si="19"/>
        <v>0</v>
      </c>
      <c r="T49" s="37">
        <f t="shared" si="19"/>
        <v>0</v>
      </c>
      <c r="U49" s="37">
        <f t="shared" si="19"/>
        <v>0</v>
      </c>
      <c r="V49" s="37">
        <f t="shared" si="19"/>
        <v>0</v>
      </c>
      <c r="W49" s="37">
        <f t="shared" ca="1" si="19"/>
        <v>-236.13159391990166</v>
      </c>
      <c r="X49" s="37">
        <f t="shared" si="19"/>
        <v>0</v>
      </c>
      <c r="Y49" s="37">
        <f t="shared" si="19"/>
        <v>0</v>
      </c>
      <c r="Z49" s="37">
        <f t="shared" si="19"/>
        <v>0</v>
      </c>
      <c r="AA49" s="37">
        <f t="shared" si="19"/>
        <v>0</v>
      </c>
      <c r="AB49" s="37">
        <f t="shared" ca="1" si="19"/>
        <v>-267.16122468393064</v>
      </c>
      <c r="AC49" s="37">
        <f t="shared" si="19"/>
        <v>0</v>
      </c>
      <c r="AD49" s="37">
        <f t="shared" si="19"/>
        <v>0</v>
      </c>
      <c r="AE49" s="37">
        <f t="shared" si="19"/>
        <v>0</v>
      </c>
      <c r="AF49" s="37">
        <f t="shared" si="19"/>
        <v>0</v>
      </c>
      <c r="AG49" s="37">
        <f t="shared" ca="1" si="19"/>
        <v>-302.26840377331609</v>
      </c>
      <c r="AH49" s="37">
        <f t="shared" si="19"/>
        <v>0</v>
      </c>
      <c r="AI49" s="36">
        <f t="shared" si="19"/>
        <v>0</v>
      </c>
    </row>
    <row r="50" spans="2:35">
      <c r="B50" s="22"/>
      <c r="C50" s="16" t="s">
        <v>79</v>
      </c>
      <c r="D50" s="29"/>
      <c r="E50" s="45">
        <f ca="1">SUM(I50:AG50)</f>
        <v>-978.96149720322569</v>
      </c>
      <c r="F50" s="16"/>
      <c r="G50" s="16"/>
      <c r="H50" s="16"/>
      <c r="I50" s="40">
        <f>(G49*(1+'CoC inputs'!$G$24)^2)</f>
        <v>0</v>
      </c>
      <c r="J50" s="40">
        <f>(H49*(1+'CoC inputs'!$G$24)^2)</f>
        <v>0</v>
      </c>
      <c r="K50" s="40">
        <f>(I49*(1+'CoC inputs'!$G$24)^2)</f>
        <v>0</v>
      </c>
      <c r="L50" s="40">
        <f>(J49*(1+'CoC inputs'!$G$24)^2)</f>
        <v>0</v>
      </c>
      <c r="M50" s="40">
        <f>(K49*(1+'CoC inputs'!$G$24)^2)</f>
        <v>0</v>
      </c>
      <c r="N50" s="40">
        <f>(L49*(1+'CoC inputs'!$G$24)^2)</f>
        <v>0</v>
      </c>
      <c r="O50" s="40">
        <f ca="1">(M49*(1+'CoC inputs'!$G$24)^2)</f>
        <v>-201.44107279435022</v>
      </c>
      <c r="P50" s="40">
        <f>(N49*(1+'CoC inputs'!$G$24)^2)</f>
        <v>0</v>
      </c>
      <c r="Q50" s="40">
        <f>(O49*(1+'CoC inputs'!$G$24)^2)</f>
        <v>0</v>
      </c>
      <c r="R50" s="40">
        <f>(P49*(1+'CoC inputs'!$G$24)^2)</f>
        <v>0</v>
      </c>
      <c r="S50" s="40">
        <f>(Q49*(1+'CoC inputs'!$G$24)^2)</f>
        <v>0</v>
      </c>
      <c r="T50" s="40">
        <f ca="1">(R49*(1+'CoC inputs'!$G$24)^2)</f>
        <v>-227.91208417302559</v>
      </c>
      <c r="U50" s="40">
        <f>(S49*(1+'CoC inputs'!$G$24)^2)</f>
        <v>0</v>
      </c>
      <c r="V50" s="40">
        <f>(T49*(1+'CoC inputs'!$G$24)^2)</f>
        <v>0</v>
      </c>
      <c r="W50" s="40">
        <f>(U49*(1+'CoC inputs'!$G$24)^2)</f>
        <v>0</v>
      </c>
      <c r="X50" s="40">
        <f>(V49*(1+'CoC inputs'!$G$24)^2)</f>
        <v>0</v>
      </c>
      <c r="Y50" s="40">
        <f ca="1">(W49*(1+'CoC inputs'!$G$24)^2)</f>
        <v>-257.86160385038056</v>
      </c>
      <c r="Z50" s="40">
        <f>(X49*(1+'CoC inputs'!$G$24)^2)</f>
        <v>0</v>
      </c>
      <c r="AA50" s="40">
        <f>(Y49*(1+'CoC inputs'!$G$24)^2)</f>
        <v>0</v>
      </c>
      <c r="AB50" s="40">
        <f>(Z49*(1+'CoC inputs'!$G$24)^2)</f>
        <v>0</v>
      </c>
      <c r="AC50" s="40">
        <f>(AA49*(1+'CoC inputs'!$G$24)^2)</f>
        <v>0</v>
      </c>
      <c r="AD50" s="40">
        <f ca="1">(AB49*(1+'CoC inputs'!$G$24)^2)</f>
        <v>-291.74673638546932</v>
      </c>
      <c r="AE50" s="40">
        <f>(AC49*(1+'CoC inputs'!$G$24)^2)</f>
        <v>0</v>
      </c>
      <c r="AF50" s="40">
        <f>(AD49*(1+'CoC inputs'!$G$24)^2)</f>
        <v>0</v>
      </c>
      <c r="AG50" s="40">
        <f>(AE49*(1+'CoC inputs'!$G$24)^2)</f>
        <v>0</v>
      </c>
      <c r="AH50" s="40">
        <f>(AF49*(1+'CoC inputs'!$G$24)^2)</f>
        <v>0</v>
      </c>
      <c r="AI50" s="41">
        <f ca="1">(AG49*(1+'CoC inputs'!$G$24)^2)</f>
        <v>-330.08465363055547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nsultation" ma:contentTypeID="0x0101007F6AF90412D9554599FAF3E5604279C50027908B922D35CF43A8956CD4BC5D3946" ma:contentTypeVersion="32" ma:contentTypeDescription="Ofgem Consultation Documents" ma:contentTypeScope="" ma:versionID="5eb555e3b33071f7ca0dbbd4c8c3e41c">
  <xsd:schema xmlns:xsd="http://www.w3.org/2001/XMLSchema" xmlns:p="http://schemas.microsoft.com/office/2006/metadata/properties" xmlns:ns1="http://schemas.microsoft.com/sharepoint/v3" xmlns:ns2="2cd398cc-5242-4f22-a36e-b22b9499e21b" targetNamespace="http://schemas.microsoft.com/office/2006/metadata/properties" ma:root="true" ma:fieldsID="9a76d23f8f97cab70023f4dd330beb71" ns1:_="" ns2:_="">
    <xsd:import namespace="http://schemas.microsoft.com/sharepoint/v3"/>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Closing_x0020_Date"/>
                <xsd:element ref="ns2:Overview"/>
                <xsd:element ref="ns2:Ref_x0020_No_x0020_New"/>
                <xsd:element ref="ns1:PublishingContactName"/>
                <xsd:element ref="ns1:PublishingContactEmail"/>
                <xsd:element ref="ns2:Contact_x0020_telephone_x0020_number"/>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ContactName" ma:index="9" ma:displayName="Contact Name" ma:internalName="PublishingContactName" ma:readOnly="false">
      <xsd:simpleType>
        <xsd:restriction base="dms:Text">
          <xsd:maxLength value="255"/>
        </xsd:restriction>
      </xsd:simpleType>
    </xsd:element>
    <xsd:element name="PublishingContactEmail" ma:index="10" ma:displayName="Contact E-Mail Address" ma:internalName="PublishingContactEmail" ma:readOnly="false">
      <xsd:simpleType>
        <xsd:restriction base="dms:Text">
          <xsd:maxLength value="255"/>
        </xsd:restriction>
      </xsd:simple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Closing_x0020_Date" ma:index="6" ma:displayName="Closing Date" ma:default="" ma:format="DateOnly" ma:internalName="Closing_x0020_Date" ma:readOnly="false">
      <xsd:simpleType>
        <xsd:restriction base="dms:DateTime"/>
      </xsd:simpleType>
    </xsd:element>
    <xsd:element name="Overview" ma:index="7" ma:displayName="Overview" ma:default="" ma:description="This is a short overview of the document or item" ma:internalName="Overview" ma:readOnly="false">
      <xsd:simpleType>
        <xsd:restriction base="dms:Note"/>
      </xsd:simpleType>
    </xsd:element>
    <xsd:element name="Ref_x0020_No_x0020_New" ma:index="8"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element name="Contact_x0020_telephone_x0020_number" ma:index="11" ma:displayName="Contact telephone number" ma:internalName="Contact_x0020_telephone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axOccurs="1" ma:index="2" ma:displayName="Title"/>
        <xsd:element ref="dc:subject" minOccurs="0" maxOccurs="1"/>
        <xsd:element ref="dc:description" minOccurs="0" maxOccurs="1"/>
        <xsd:element name="keywords" maxOccurs="1" ma:index="12" ma:displayName="Keywords">
          <xsd:simpleType>
            <xsd:restriction base="xsd:string">
              <xsd:minLength value="1"/>
            </xsd:restriction>
          </xsd:simpleType>
        </xsd:element>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Overview xmlns="2cd398cc-5242-4f22-a36e-b22b9499e21b">A simplified financial model illustrating our proposed cap and floor regime design for regulated electricity interconnector investment for application to project NEMO</Overview>
    <Ref_x0020_No_x0020_New xmlns="2cd398cc-5242-4f22-a36e-b22b9499e21b">28/13</Ref_x0020_No_x0020_New>
    <Closing_x0020_Date xmlns="2cd398cc-5242-4f22-a36e-b22b9499e21b">2013-05-02T23:00:00+00:00</Closing_x0020_Date>
    <_x003a_ xmlns="2cd398cc-5242-4f22-a36e-b22b9499e21b">2013/03/07 - Cap and floor regime - 28/13</_x003a_>
    <Work_x0020_Area xmlns="2cd398cc-5242-4f22-a36e-b22b9499e21b">Europe</Work_x0020_Area>
    <Publication_x0020_Date_x003a_ xmlns="2cd398cc-5242-4f22-a36e-b22b9499e21b">2013-03-07T00:00:00+00:00</Publication_x0020_Date_x003a_>
    <_x003a__x003a_ xmlns="2cd398cc-5242-4f22-a36e-b22b9499e21b">- Subsidiary Document</_x003a__x003a_>
    <PublishingContactEmail xmlns="http://schemas.microsoft.com/sharepoint/v3">Cap.Floor@ofgem.gov.uk</PublishingContactEmail>
    <PublishingContactName xmlns="http://schemas.microsoft.com/sharepoint/v3">Emmanouela Angelidaki</PublishingContactName>
    <Contact_x0020_telephone_x0020_number xmlns="2cd398cc-5242-4f22-a36e-b22b9499e21b">02079017037</Contact_x0020_telephone_x0020_numb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1C0093-A05F-4128-BA1A-0946684609D6}"/>
</file>

<file path=customXml/itemProps2.xml><?xml version="1.0" encoding="utf-8"?>
<ds:datastoreItem xmlns:ds="http://schemas.openxmlformats.org/officeDocument/2006/customXml" ds:itemID="{D41BAE04-DE51-4E5D-9DF4-CF5409CAF533}"/>
</file>

<file path=customXml/itemProps3.xml><?xml version="1.0" encoding="utf-8"?>
<ds:datastoreItem xmlns:ds="http://schemas.openxmlformats.org/officeDocument/2006/customXml" ds:itemID="{7B179CA7-37EE-4421-B178-EB119620A1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CoC inputs</vt:lpstr>
      <vt:lpstr>Other inputs</vt:lpstr>
      <vt:lpstr>C&amp;F calcs</vt:lpstr>
      <vt:lpstr>C&amp;F assessment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Simplified Financial Model Illustrating Proposed Regime Design for NEMO</dc:title>
  <dc:creator>Philip Cope</dc:creator>
  <cp:keywords>NEMO; financial model; cap and floor; electricity interconnectors</cp:keywords>
  <cp:lastModifiedBy>copep</cp:lastModifiedBy>
  <dcterms:created xsi:type="dcterms:W3CDTF">2013-03-07T10:31:23Z</dcterms:created>
  <dcterms:modified xsi:type="dcterms:W3CDTF">2013-03-07T10:31:24Z</dcterms:modified>
  <cp:contentType>Consultation</cp:contentType>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0x0101007F6AF90412D9554599FAF3E5604279C50027908B922D35CF43A8956CD4BC5D3946</vt:lpwstr>
  </property>
</Properties>
</file>