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60" windowWidth="15480" windowHeight="9540" tabRatio="943"/>
  </bookViews>
  <sheets>
    <sheet name="R1 Cover" sheetId="1" r:id="rId1"/>
    <sheet name="R2 Schematic" sheetId="12" r:id="rId2"/>
    <sheet name="R3 Version log" sheetId="5" r:id="rId3"/>
    <sheet name="R4 Licence Condition Values" sheetId="7" r:id="rId4"/>
    <sheet name="R5 Input page" sheetId="2" r:id="rId5"/>
    <sheet name="R6 Losses DG Input" sheetId="13" r:id="rId6"/>
    <sheet name="R7 Metering Inputs" sheetId="6" r:id="rId7"/>
    <sheet name="R8 Reconciliation Inputs" sheetId="25" r:id="rId8"/>
    <sheet name="R9 Base Demand Revenue" sheetId="9" r:id="rId9"/>
    <sheet name="R10 Pass Throughs" sheetId="14" r:id="rId10"/>
    <sheet name="R11 Losses DG Adj" sheetId="15" r:id="rId11"/>
    <sheet name="R12 Incentives" sheetId="8" r:id="rId12"/>
    <sheet name="R13 LCN" sheetId="19" r:id="rId13"/>
    <sheet name="R14 Distributed Generation" sheetId="16" r:id="rId14"/>
    <sheet name="R15 Correction Factor" sheetId="11" r:id="rId15"/>
    <sheet name="R16 Combined Allowed Revenue" sheetId="21" r:id="rId16"/>
    <sheet name="R17 Metering" sheetId="17" r:id="rId17"/>
    <sheet name="R18 Output Summary" sheetId="23" r:id="rId18"/>
    <sheet name="R19 Forecast Return" sheetId="24" r:id="rId19"/>
  </sheets>
  <definedNames>
    <definedName name="Act_1">'R7 Metering Inputs'!$K$63:$O$63</definedName>
    <definedName name="Act_2">'R7 Metering Inputs'!$K$64:$O$64</definedName>
    <definedName name="Act_3">'R7 Metering Inputs'!$K$65:$O$65</definedName>
    <definedName name="Act_4">'R7 Metering Inputs'!$K$66:$O$66</definedName>
    <definedName name="Act_5">'R7 Metering Inputs'!$K$67:$O$67</definedName>
    <definedName name="Act_6">'R7 Metering Inputs'!$K$68:$O$68</definedName>
    <definedName name="Act_7">'R7 Metering Inputs'!$K$69:$O$69</definedName>
    <definedName name="Act_8">'R7 Metering Inputs'!$K$70:$O$70</definedName>
    <definedName name="AEV">'R12 Incentives'!$K$13:$O$13</definedName>
    <definedName name="AF">'R7 Metering Inputs'!$K$59:$O$59</definedName>
    <definedName name="AL">'R12 Incentives'!$K$21:$O$21</definedName>
    <definedName name="ALC">'R4 Licence Condition Values'!$K$27:$O$27</definedName>
    <definedName name="ALL">'R4 Licence Condition Values'!$K$32:$O$32</definedName>
    <definedName name="ALP">'R4 Licence Condition Values'!$M$26:$O$26</definedName>
    <definedName name="ARt">'R16 Combined Allowed Revenue'!$K$36:$O$36</definedName>
    <definedName name="ARt_1">'R15 Correction Factor'!$K$9:$O$9</definedName>
    <definedName name="ARt_1_2010_11">'R5 Input page'!$J$115</definedName>
    <definedName name="AUM">'R5 Input page'!$K$119:$O$119</definedName>
    <definedName name="BR">'R9 Base Demand Revenue'!$K$16:$O$16</definedName>
    <definedName name="CGSRA">'R5 Input page'!$K$121:$O$121</definedName>
    <definedName name="CGSSP">'R5 Input page'!$K$120:$O$120</definedName>
    <definedName name="Chg_KPPM">'R7 Metering Inputs'!$K$11:$O$11</definedName>
    <definedName name="Chg_MRSPCM">'R7 Metering Inputs'!$K$18:$O$18</definedName>
    <definedName name="Chg_MRSPPM">'R7 Metering Inputs'!$K$20:$O$20</definedName>
    <definedName name="Chg_NHHCTM">'R7 Metering Inputs'!$K$26:$O$26</definedName>
    <definedName name="Chg_PPMRWCM">'R7 Metering Inputs'!$K$24:$O$24</definedName>
    <definedName name="Chg_PPSRWCM">'R7 Metering Inputs'!$K$22:$O$22</definedName>
    <definedName name="Chg_SPPM">'R7 Metering Inputs'!$K$13:$O$13</definedName>
    <definedName name="Chg_SRCM">'R7 Metering Inputs'!$K$7:$O$7</definedName>
    <definedName name="Chg_TPPM">'R7 Metering Inputs'!$K$9:$O$9</definedName>
    <definedName name="COL">'R12 Incentives'!$K$32:$O$32</definedName>
    <definedName name="COMPNAME">'R5 Input page'!$K$7</definedName>
    <definedName name="CTRA">'R5 Input page'!$K$125:$O$125</definedName>
    <definedName name="De_minimis">'R5 Input page'!$K$169:$O$169</definedName>
    <definedName name="DGA">'R12 Incentives'!$M$12:$O$12</definedName>
    <definedName name="DS">'R7 Metering Inputs'!$K$74:$O$74</definedName>
    <definedName name="ELA_MRSPCM">'R7 Metering Inputs'!$K$36:$O$36</definedName>
    <definedName name="ELA_MRSPPM">'R7 Metering Inputs'!$K$37:$O$37</definedName>
    <definedName name="ELA_NNHCTM">'R7 Metering Inputs'!$K$40:$O$40</definedName>
    <definedName name="ELA_PPMRWCM">'R7 Metering Inputs'!$K$39:$O$39</definedName>
    <definedName name="ELA_PPSRWCM">'R7 Metering Inputs'!$K$38:$O$38</definedName>
    <definedName name="EP">'R5 Input page'!$K$26:$O$26</definedName>
    <definedName name="ES_1">'R5 Input page'!$K$136:$O$136</definedName>
    <definedName name="ES_2">'R5 Input page'!$K$137:$O$137</definedName>
    <definedName name="ES_3">'R5 Input page'!$K$138:$O$138</definedName>
    <definedName name="ES_4">'R5 Input page'!$K$139:$O$139</definedName>
    <definedName name="ES_5">'R5 Input page'!$K$140:$O$140</definedName>
    <definedName name="ES_6">'R5 Input page'!$K$141:$O$141</definedName>
    <definedName name="ES_7">'R5 Input page'!$K$151:$O$151</definedName>
    <definedName name="ES_Total">'R5 Input page'!$K$152:$O$152</definedName>
    <definedName name="FV_SRCM">'R4 Licence Condition Values'!$K$58:$O$58</definedName>
    <definedName name="gc">'R5 Input page'!$K$98:$O$98</definedName>
    <definedName name="gcz">'R5 Input page'!$K$101:$O$101</definedName>
    <definedName name="GI">'R14 Distributed Generation'!$K$14:$O$14</definedName>
    <definedName name="gir">'R4 Licence Condition Values'!$K$48:$O$48</definedName>
    <definedName name="giz">'R4 Licence Condition Values'!$K$53:$O$53</definedName>
    <definedName name="GL">'R14 Distributed Generation'!$K$41:$O$41</definedName>
    <definedName name="GLA">'R4 Licence Condition Values'!$K$55:$O$55</definedName>
    <definedName name="GO">'R14 Distributed Generation'!$K$36:$O$36</definedName>
    <definedName name="gor">'R4 Licence Condition Values'!$K$52:$O$52</definedName>
    <definedName name="GP">'R14 Distributed Generation'!$K$30:$O$30</definedName>
    <definedName name="gps">'R5 Input page'!$K$100:$O$100</definedName>
    <definedName name="gt">'R5 Input page'!$K$99:$O$99</definedName>
    <definedName name="HB">'R5 Input page'!$K$20:$O$20</definedName>
    <definedName name="IED">'R5 Input page'!$K$107:$O$107</definedName>
    <definedName name="IEDA">'R5 Input page'!$K$102:$O$102</definedName>
    <definedName name="IFI">'R12 Incentives'!$K$61:$O$61</definedName>
    <definedName name="IFIE">'R5 Input page'!$K$43:$O$43</definedName>
    <definedName name="IG">'R14 Distributed Generation'!$K$53:$O$53</definedName>
    <definedName name="IL">'R12 Incentives'!$K$37:$O$37</definedName>
    <definedName name="Int_rate">'R5 Input page'!$K$12:$O$12</definedName>
    <definedName name="IP">'R12 Incentives'!$K$65:$O$65</definedName>
    <definedName name="IQ">'R5 Input page'!$K$37:$O$37</definedName>
    <definedName name="IS">'R12 Incentives'!$K$29:$O$29</definedName>
    <definedName name="IT">'R12 Incentives'!$K$49:$O$49</definedName>
    <definedName name="K">'R15 Correction Factor'!$K$14:$O$14</definedName>
    <definedName name="KPPM">'R17 Metering'!$K$32:$O$32</definedName>
    <definedName name="KPPMAV">'R4 Licence Condition Values'!$K$61:$O$61</definedName>
    <definedName name="L">'R12 Incentives'!$K$15:$O$15</definedName>
    <definedName name="LA">'R10 Pass Throughs'!$K$19:$O$19</definedName>
    <definedName name="LCN">'R13 LCN'!$K$17:$O$17</definedName>
    <definedName name="LCN_Allowance">'R4 Licence Condition Values'!$K$45:$O$45</definedName>
    <definedName name="LCN1_exp">'R5 Input page'!$K$47:$O$47</definedName>
    <definedName name="LCN2_collect">'R5 Input page'!$K$58:$O$58</definedName>
    <definedName name="LCN2_Disallow">'R5 Input page'!$K$56:$O$56</definedName>
    <definedName name="LCN2_Discret">'R5 Input page'!$K$54:$O$54</definedName>
    <definedName name="LCN2_Funding">'R5 Input page'!$K$53:$O$53</definedName>
    <definedName name="LCN2_Halt">'R5 Input page'!$K$55:$O$55</definedName>
    <definedName name="LCN2_Ry_Cus">'R5 Input page'!$K$57:$O$57</definedName>
    <definedName name="LCN2_Ry_DNO">'R5 Input page'!$K$88:$O$88</definedName>
    <definedName name="LCN3_unrec">'R5 Input page'!$K$48:$O$48</definedName>
    <definedName name="LF">'R10 Pass Throughs'!$K$21:$O$21</definedName>
    <definedName name="LK">'R4 Licence Condition Values'!$K$62:$O$62</definedName>
    <definedName name="LKW">'R17 Metering'!$K$29:$O$29</definedName>
    <definedName name="LP">'R5 Input page'!$K$16:$O$16</definedName>
    <definedName name="LPSA">'R4 Licence Condition Values'!$K$20:$O$20</definedName>
    <definedName name="LPSC">'R10 Pass Throughs'!$K$42:$O$42</definedName>
    <definedName name="LPSF">'R5 Input page'!$K$25:$O$25</definedName>
    <definedName name="LR">'R4 Licence Condition Values'!$K$25</definedName>
    <definedName name="LS">'R4 Licence Condition Values'!$K$64:$O$64</definedName>
    <definedName name="LSW">'R17 Metering'!$K$37:$O$37</definedName>
    <definedName name="LT">'R4 Licence Condition Values'!$M$28:$O$28</definedName>
    <definedName name="LTok">'R4 Licence Condition Values'!$K$60:$O$60</definedName>
    <definedName name="LTW">'R17 Metering'!$K$21:$O$21</definedName>
    <definedName name="MAP">'R17 Metering'!$K$94:$O$94</definedName>
    <definedName name="MEAP_MRSPCM">'R7 Metering Inputs'!$K$29:$O$29</definedName>
    <definedName name="MEAP_MRSPPM">'R7 Metering Inputs'!$K$30:$O$30</definedName>
    <definedName name="MEAP_NNHCTM">'R7 Metering Inputs'!$K$33:$O$33</definedName>
    <definedName name="MEAP_PPMRWCM">'R7 Metering Inputs'!$K$32:$O$32</definedName>
    <definedName name="MEAP_PPSRWCM">'R7 Metering Inputs'!$K$31:$O$31</definedName>
    <definedName name="MeterES">'R7 Metering Inputs'!$K$71:$O$71</definedName>
    <definedName name="MG">'R4 Licence Condition Values'!$K$14:$O$14</definedName>
    <definedName name="MPA">'R10 Pass Throughs'!$K$47:$O$47</definedName>
    <definedName name="MPC">'R5 Input page'!$K$18:$O$18</definedName>
    <definedName name="MPT">'R10 Pass Throughs'!$K$48:$O$48</definedName>
    <definedName name="MRSPCM">'R17 Metering'!$K$50:$O$50</definedName>
    <definedName name="MRSPPM">'R17 Metering'!$K$57:$O$57</definedName>
    <definedName name="NHHCTM">'R17 Metering'!$K$78:$O$78</definedName>
    <definedName name="NTC">'R5 Input page'!$K$40:$O$40</definedName>
    <definedName name="other_ex">'R5 Input page'!#REF!</definedName>
    <definedName name="Out_Area_other">'R5 Input page'!$K$156:$O$156</definedName>
    <definedName name="Out_Area_UoS">'R5 Input page'!$K$155:$O$155</definedName>
    <definedName name="P">'R4 Licence Condition Values'!$K$50:$O$50</definedName>
    <definedName name="PCOLt_1">'R12 Incentives'!$K$33:$O$33</definedName>
    <definedName name="PF">'R4 Licence Condition Values'!$K$18:$O$18</definedName>
    <definedName name="PIAB_PIAH">'R10 Pass Throughs'!$K$14:$O$14</definedName>
    <definedName name="PIAD">'R9 Base Demand Revenue'!$K$15:$O$15</definedName>
    <definedName name="PIAG">'R14 Distributed Generation'!$K$7:$O$7</definedName>
    <definedName name="PIAL">'R12 Incentives'!$K$16:$O$16</definedName>
    <definedName name="PIALt_1">'R12 Incentives'!$K$17:$O$17</definedName>
    <definedName name="PIALt_2">'R12 Incentives'!$K$18:$O$18</definedName>
    <definedName name="PIAO">'R14 Distributed Generation'!$K$8:$O$8</definedName>
    <definedName name="PIAT">'R12 Incentives'!$K$48:$O$48</definedName>
    <definedName name="PIT">'R17 Metering'!$K$14:$O$14</definedName>
    <definedName name="PPL">'R4 Licence Condition Values'!$K$29:$O$29</definedName>
    <definedName name="PPMRWCM">'R17 Metering'!$K$71:$O$71</definedName>
    <definedName name="PPSRWCM">'R17 Metering'!$K$64:$O$64</definedName>
    <definedName name="PR">'R15 Correction Factor'!$K$12:$O$12</definedName>
    <definedName name="_xlnm.Print_Area" localSheetId="4">'R5 Input page'!$A$1:$P$170</definedName>
    <definedName name="_xlnm.Print_Titles" localSheetId="9">'R10 Pass Throughs'!$3:$5</definedName>
    <definedName name="_xlnm.Print_Titles" localSheetId="11">'R12 Incentives'!$3:$5</definedName>
    <definedName name="_xlnm.Print_Titles" localSheetId="13">'R14 Distributed Generation'!$3:$5</definedName>
    <definedName name="_xlnm.Print_Titles" localSheetId="16">'R17 Metering'!$4:$5</definedName>
    <definedName name="_xlnm.Print_Titles" localSheetId="17">'R18 Output Summary'!$3:$4</definedName>
    <definedName name="_xlnm.Print_Titles" localSheetId="18">'R19 Forecast Return'!$3:$5</definedName>
    <definedName name="_xlnm.Print_Titles" localSheetId="3">'R4 Licence Condition Values'!$4:$5</definedName>
    <definedName name="_xlnm.Print_Titles" localSheetId="4">'R5 Input page'!$3:$4</definedName>
    <definedName name="PT">'R10 Pass Throughs'!$K$58:$O$58</definedName>
    <definedName name="ptrg">'R4 Licence Condition Values'!$K$49:$O$49</definedName>
    <definedName name="PTRI">'R4 Licence Condition Values'!$K$36:$O$36</definedName>
    <definedName name="PU">'R4 Licence Condition Values'!$K$13:$O$13</definedName>
    <definedName name="PVL">'R5 Input page'!#REF!</definedName>
    <definedName name="RA">'R10 Pass Throughs'!$K$25:$O$25</definedName>
    <definedName name="rate">'R4 Licence Condition Values'!$K$51:$O$51</definedName>
    <definedName name="RB">'R10 Pass Throughs'!$K$27:$O$27</definedName>
    <definedName name="RD">'R5 Input page'!$K$106:$O$106</definedName>
    <definedName name="RDt_1">'R15 Correction Factor'!$K$7:$O$7</definedName>
    <definedName name="RDt_1_2010_11">'R5 Input page'!$J$112</definedName>
    <definedName name="Rev_Additional_Type">'R7 Metering Inputs'!$K$42:$O$42</definedName>
    <definedName name="Rev_KPPM">'R7 Metering Inputs'!$K$10:$O$10</definedName>
    <definedName name="Rev_MRSPCM">'R7 Metering Inputs'!$K$17:$O$17</definedName>
    <definedName name="Rev_MRSPPM">'R7 Metering Inputs'!$K$19:$O$19</definedName>
    <definedName name="Rev_NHHCTM">'R7 Metering Inputs'!$K$25:$O$25</definedName>
    <definedName name="Rev_OtherMeters">'R7 Metering Inputs'!$K$57:$O$57</definedName>
    <definedName name="Rev_PPMRWCM">'R7 Metering Inputs'!$K$23:$O$23</definedName>
    <definedName name="Rev_PPSRWCM">'R7 Metering Inputs'!$K$21:$O$21</definedName>
    <definedName name="Rev_SPPM">'R7 Metering Inputs'!$K$12:$O$12</definedName>
    <definedName name="Rev_SRCM">'R7 Metering Inputs'!$K$6:$O$6</definedName>
    <definedName name="Rev_TPPM">'R7 Metering Inputs'!$K$8:$O$8</definedName>
    <definedName name="RP">'R5 Input page'!$K$17:$O$17</definedName>
    <definedName name="RPI">'R5 Input page'!$K$10:$O$10</definedName>
    <definedName name="RPI_DPCR3">'R4 Licence Condition Values'!$K$9:$O$9</definedName>
    <definedName name="RPI_DPCR4">'R4 Licence Condition Values'!$F$6:$J$6</definedName>
    <definedName name="RPZ">'R14 Distributed Generation'!$K$51:$O$51</definedName>
    <definedName name="RPZM">'R4 Licence Condition Values'!$K$54:$O$54</definedName>
    <definedName name="RV">'R4 Licence Condition Values'!$K$19:$O$19</definedName>
    <definedName name="SEV">'R5 Input page'!$M$32:$O$32</definedName>
    <definedName name="SH">'R5 Input page'!$K$27:$O$27</definedName>
    <definedName name="SHA">'R4 Licence Condition Values'!$K$21:$O$21</definedName>
    <definedName name="SHB">'R10 Pass Throughs'!$K$46:$O$46</definedName>
    <definedName name="SPPM">'R17 Metering'!$K$40:$O$40</definedName>
    <definedName name="SPPMAV">'R4 Licence Condition Values'!$K$63:$O$63</definedName>
    <definedName name="SRCM">'R17 Metering'!$K$16:$O$16</definedName>
    <definedName name="TA">'R10 Pass Throughs'!$K$52:$O$52</definedName>
    <definedName name="TB">'R10 Pass Throughs'!$K$54:$O$54</definedName>
    <definedName name="TI">'R10 Pass Throughs'!$K$54:$O$54</definedName>
    <definedName name="TIR">'R4 Licence Condition Values'!$K$33:$O$33</definedName>
    <definedName name="TP">'R5 Input page'!$K$21:$O$21</definedName>
    <definedName name="TPC">'R5 Input page'!$K$24:$O$24</definedName>
    <definedName name="TPPM">'R17 Metering'!$K$24:$O$24</definedName>
    <definedName name="TTPMAV">'R4 Licence Condition Values'!$K$59</definedName>
    <definedName name="TV">'R4 Licence Condition Values'!$K$17:$O$17</definedName>
    <definedName name="UD">'R5 Input page'!$M$34:$O$34</definedName>
    <definedName name="UIL">'R12 Incentives'!$K$26:$O$26</definedName>
    <definedName name="UNC">'R5 Input page'!$K$19:$O$19</definedName>
    <definedName name="UT">'R4 Licence Condition Values'!$M$27:$O$27</definedName>
  </definedNames>
  <calcPr calcId="125725"/>
</workbook>
</file>

<file path=xl/calcChain.xml><?xml version="1.0" encoding="utf-8"?>
<calcChain xmlns="http://schemas.openxmlformats.org/spreadsheetml/2006/main">
  <c r="O31" i="25"/>
  <c r="N31"/>
  <c r="M31"/>
  <c r="L31"/>
  <c r="K31"/>
  <c r="K24"/>
  <c r="O24"/>
  <c r="N24"/>
  <c r="M24"/>
  <c r="L24"/>
  <c r="O86" i="2"/>
  <c r="N86"/>
  <c r="M86"/>
  <c r="L86"/>
  <c r="K86"/>
  <c r="O85"/>
  <c r="N85"/>
  <c r="M85"/>
  <c r="L85"/>
  <c r="K85"/>
  <c r="O84"/>
  <c r="N84"/>
  <c r="M84"/>
  <c r="L84"/>
  <c r="K84"/>
  <c r="O83"/>
  <c r="N83"/>
  <c r="M83"/>
  <c r="L83"/>
  <c r="K83"/>
  <c r="O82"/>
  <c r="N82"/>
  <c r="N87" s="1"/>
  <c r="N89" s="1"/>
  <c r="N91" s="1"/>
  <c r="M82"/>
  <c r="L82"/>
  <c r="L87" s="1"/>
  <c r="L89" s="1"/>
  <c r="L91" s="1"/>
  <c r="K82"/>
  <c r="O79"/>
  <c r="N79"/>
  <c r="M79"/>
  <c r="L79"/>
  <c r="K79"/>
  <c r="O71"/>
  <c r="N71"/>
  <c r="M71"/>
  <c r="L71"/>
  <c r="K71"/>
  <c r="N57"/>
  <c r="N58" s="1"/>
  <c r="M57"/>
  <c r="M58" s="1"/>
  <c r="L57"/>
  <c r="L58" s="1"/>
  <c r="K57"/>
  <c r="K58" s="1"/>
  <c r="K87" l="1"/>
  <c r="K89" s="1"/>
  <c r="K91" s="1"/>
  <c r="M87"/>
  <c r="M89" s="1"/>
  <c r="M91" s="1"/>
  <c r="O87"/>
  <c r="O89" s="1"/>
  <c r="O90" s="1"/>
  <c r="O57" s="1"/>
  <c r="O58" s="1"/>
  <c r="O50" i="23"/>
  <c r="N50"/>
  <c r="M50"/>
  <c r="L50"/>
  <c r="O33" i="21"/>
  <c r="N33"/>
  <c r="M33"/>
  <c r="L33"/>
  <c r="O79" i="17"/>
  <c r="L79"/>
  <c r="M79"/>
  <c r="N79"/>
  <c r="K79"/>
  <c r="L72"/>
  <c r="M72"/>
  <c r="N72"/>
  <c r="O72"/>
  <c r="K72"/>
  <c r="L65"/>
  <c r="M65"/>
  <c r="N65"/>
  <c r="O65"/>
  <c r="K65"/>
  <c r="L58"/>
  <c r="M58"/>
  <c r="N58"/>
  <c r="O58"/>
  <c r="K58"/>
  <c r="L51"/>
  <c r="M51"/>
  <c r="N51"/>
  <c r="O51"/>
  <c r="K51"/>
  <c r="L41"/>
  <c r="M41"/>
  <c r="N41"/>
  <c r="O41"/>
  <c r="K41"/>
  <c r="L33"/>
  <c r="M33"/>
  <c r="N33"/>
  <c r="O33"/>
  <c r="K33"/>
  <c r="L25"/>
  <c r="M25"/>
  <c r="N25"/>
  <c r="O25"/>
  <c r="K25"/>
  <c r="L17"/>
  <c r="M17"/>
  <c r="N17"/>
  <c r="O17"/>
  <c r="K17"/>
  <c r="L53" i="24"/>
  <c r="M53"/>
  <c r="N53"/>
  <c r="O53"/>
  <c r="K53"/>
  <c r="L52"/>
  <c r="M52"/>
  <c r="N52"/>
  <c r="O52"/>
  <c r="K52"/>
  <c r="L51"/>
  <c r="M51"/>
  <c r="N51"/>
  <c r="O51"/>
  <c r="K51"/>
  <c r="L47" i="23"/>
  <c r="M47"/>
  <c r="N47"/>
  <c r="O47"/>
  <c r="K47"/>
  <c r="L46"/>
  <c r="M46"/>
  <c r="N46"/>
  <c r="O46"/>
  <c r="K46"/>
  <c r="L45"/>
  <c r="M45"/>
  <c r="N45"/>
  <c r="O45"/>
  <c r="K45"/>
  <c r="L30" i="21"/>
  <c r="M30"/>
  <c r="N30"/>
  <c r="O30"/>
  <c r="K30"/>
  <c r="L27"/>
  <c r="M27"/>
  <c r="N27"/>
  <c r="O27"/>
  <c r="K27"/>
  <c r="L24"/>
  <c r="M24"/>
  <c r="N24"/>
  <c r="O24"/>
  <c r="K24"/>
  <c r="L56" i="6"/>
  <c r="M56"/>
  <c r="M86" i="17" s="1"/>
  <c r="N56" i="6"/>
  <c r="O56"/>
  <c r="O86" i="17" s="1"/>
  <c r="K56" i="6"/>
  <c r="K86" i="17" s="1"/>
  <c r="L51" i="6"/>
  <c r="L85" i="17" s="1"/>
  <c r="M51" i="6"/>
  <c r="M85" i="17" s="1"/>
  <c r="N51" i="6"/>
  <c r="N85" i="17" s="1"/>
  <c r="O51" i="6"/>
  <c r="O85" i="17" s="1"/>
  <c r="K51" i="6"/>
  <c r="K85" i="17" s="1"/>
  <c r="L46" i="6"/>
  <c r="M46"/>
  <c r="M84" i="17" s="1"/>
  <c r="N46" i="6"/>
  <c r="O46"/>
  <c r="O84" i="17" s="1"/>
  <c r="K46" i="6"/>
  <c r="K84" i="17" s="1"/>
  <c r="L32" i="24"/>
  <c r="M32"/>
  <c r="N32"/>
  <c r="K32"/>
  <c r="L31"/>
  <c r="M31"/>
  <c r="N31"/>
  <c r="O31"/>
  <c r="K31"/>
  <c r="L28" i="23"/>
  <c r="M28"/>
  <c r="N28"/>
  <c r="K28"/>
  <c r="L27"/>
  <c r="M27"/>
  <c r="N27"/>
  <c r="O27"/>
  <c r="K27"/>
  <c r="L12" i="19"/>
  <c r="M12"/>
  <c r="N12"/>
  <c r="O12"/>
  <c r="K12"/>
  <c r="L79" i="24"/>
  <c r="M79"/>
  <c r="N79"/>
  <c r="O79"/>
  <c r="K79"/>
  <c r="L74" i="23"/>
  <c r="M74"/>
  <c r="N74"/>
  <c r="O74"/>
  <c r="K74"/>
  <c r="O11" i="25"/>
  <c r="N11"/>
  <c r="M11"/>
  <c r="L11"/>
  <c r="K11"/>
  <c r="A2" i="2"/>
  <c r="B3" i="1"/>
  <c r="A3" i="12"/>
  <c r="B3" i="5"/>
  <c r="A3" i="7"/>
  <c r="A3" i="2"/>
  <c r="A3" i="13"/>
  <c r="A3" i="6"/>
  <c r="A3" i="25"/>
  <c r="A3" i="9"/>
  <c r="A3" i="14"/>
  <c r="A3" i="15"/>
  <c r="A3" i="8"/>
  <c r="A3" i="19"/>
  <c r="A3" i="16"/>
  <c r="A3" i="11"/>
  <c r="A3" i="21"/>
  <c r="A3" i="17"/>
  <c r="A3" i="23"/>
  <c r="A3" i="24"/>
  <c r="K16" i="9"/>
  <c r="L151" i="2"/>
  <c r="M151"/>
  <c r="M68" i="23" s="1"/>
  <c r="N151" i="2"/>
  <c r="O151"/>
  <c r="O68" i="23" s="1"/>
  <c r="K151" i="2"/>
  <c r="K41" i="16"/>
  <c r="M54" i="8"/>
  <c r="K71" i="6"/>
  <c r="K169" i="2"/>
  <c r="O89" i="17"/>
  <c r="K89"/>
  <c r="L89"/>
  <c r="M89"/>
  <c r="N89"/>
  <c r="O44" i="24"/>
  <c r="N44"/>
  <c r="M44"/>
  <c r="L44"/>
  <c r="K44"/>
  <c r="K6"/>
  <c r="L6"/>
  <c r="M6"/>
  <c r="N6"/>
  <c r="O6"/>
  <c r="K38" i="23"/>
  <c r="L38"/>
  <c r="M38"/>
  <c r="N38"/>
  <c r="O38"/>
  <c r="O92" i="17"/>
  <c r="O91"/>
  <c r="O90"/>
  <c r="K9"/>
  <c r="L9"/>
  <c r="M9"/>
  <c r="N9"/>
  <c r="O9"/>
  <c r="K11" i="14"/>
  <c r="L11"/>
  <c r="M11"/>
  <c r="N11"/>
  <c r="O11"/>
  <c r="L10" i="25"/>
  <c r="M10"/>
  <c r="N10"/>
  <c r="O10"/>
  <c r="K10"/>
  <c r="L8"/>
  <c r="M8"/>
  <c r="N8"/>
  <c r="O8"/>
  <c r="K8"/>
  <c r="L59" i="23"/>
  <c r="M59"/>
  <c r="N59"/>
  <c r="O59"/>
  <c r="K59"/>
  <c r="L6" i="25"/>
  <c r="M6"/>
  <c r="N6"/>
  <c r="O6"/>
  <c r="K6"/>
  <c r="A2"/>
  <c r="L58" i="24"/>
  <c r="M58"/>
  <c r="N58"/>
  <c r="O58"/>
  <c r="K58"/>
  <c r="L37"/>
  <c r="M37"/>
  <c r="N37"/>
  <c r="O37"/>
  <c r="K37"/>
  <c r="O7"/>
  <c r="L7"/>
  <c r="M7"/>
  <c r="N7"/>
  <c r="K7"/>
  <c r="O78"/>
  <c r="N78"/>
  <c r="M78"/>
  <c r="L78"/>
  <c r="K78"/>
  <c r="O73"/>
  <c r="N73"/>
  <c r="M73"/>
  <c r="L73"/>
  <c r="K73"/>
  <c r="O71"/>
  <c r="N71"/>
  <c r="M71"/>
  <c r="L71"/>
  <c r="K71"/>
  <c r="O70"/>
  <c r="N70"/>
  <c r="M70"/>
  <c r="L70"/>
  <c r="K70"/>
  <c r="O69"/>
  <c r="N69"/>
  <c r="M69"/>
  <c r="L69"/>
  <c r="K69"/>
  <c r="O68"/>
  <c r="N68"/>
  <c r="M68"/>
  <c r="L68"/>
  <c r="K68"/>
  <c r="O30"/>
  <c r="N30"/>
  <c r="M30"/>
  <c r="L30"/>
  <c r="K30"/>
  <c r="O24"/>
  <c r="N24"/>
  <c r="M24"/>
  <c r="L24"/>
  <c r="K24"/>
  <c r="L23"/>
  <c r="K23"/>
  <c r="O19"/>
  <c r="N19"/>
  <c r="M19"/>
  <c r="L19"/>
  <c r="K19"/>
  <c r="O16"/>
  <c r="N16"/>
  <c r="M16"/>
  <c r="L16"/>
  <c r="K16"/>
  <c r="O15"/>
  <c r="N15"/>
  <c r="M15"/>
  <c r="L15"/>
  <c r="K15"/>
  <c r="A2"/>
  <c r="L73" i="23"/>
  <c r="M73"/>
  <c r="N73"/>
  <c r="O73"/>
  <c r="K73"/>
  <c r="L68"/>
  <c r="N68"/>
  <c r="K68"/>
  <c r="O66"/>
  <c r="L66"/>
  <c r="M66"/>
  <c r="N66"/>
  <c r="K66"/>
  <c r="L65"/>
  <c r="M65"/>
  <c r="N65"/>
  <c r="O65"/>
  <c r="K65"/>
  <c r="L64"/>
  <c r="M64"/>
  <c r="N64"/>
  <c r="O64"/>
  <c r="K64"/>
  <c r="L63"/>
  <c r="M63"/>
  <c r="N63"/>
  <c r="O63"/>
  <c r="K63"/>
  <c r="L136" i="2"/>
  <c r="L67" i="24"/>
  <c r="M136" i="2"/>
  <c r="M67" i="24"/>
  <c r="N136" i="2"/>
  <c r="N67" i="24"/>
  <c r="O136" i="2"/>
  <c r="O67" i="24"/>
  <c r="K136" i="2"/>
  <c r="K67" i="24"/>
  <c r="L26" i="23"/>
  <c r="M26"/>
  <c r="N26"/>
  <c r="O26"/>
  <c r="K26"/>
  <c r="O20"/>
  <c r="L20"/>
  <c r="M20"/>
  <c r="N20"/>
  <c r="K20"/>
  <c r="L19"/>
  <c r="K19"/>
  <c r="L15"/>
  <c r="M15"/>
  <c r="N15"/>
  <c r="O15"/>
  <c r="K15"/>
  <c r="L53" i="14"/>
  <c r="M53"/>
  <c r="N53"/>
  <c r="O53"/>
  <c r="K53"/>
  <c r="K51"/>
  <c r="L51"/>
  <c r="M51"/>
  <c r="N51"/>
  <c r="O51"/>
  <c r="L12" i="23"/>
  <c r="M12"/>
  <c r="N12"/>
  <c r="O12"/>
  <c r="K12"/>
  <c r="L11"/>
  <c r="M11"/>
  <c r="N11"/>
  <c r="O11"/>
  <c r="K11"/>
  <c r="A2"/>
  <c r="A86" i="17"/>
  <c r="A85"/>
  <c r="A84"/>
  <c r="L57" i="6"/>
  <c r="M57"/>
  <c r="N57"/>
  <c r="O57"/>
  <c r="O93" i="17"/>
  <c r="K57" i="6"/>
  <c r="L20" i="17"/>
  <c r="M20"/>
  <c r="N20"/>
  <c r="O20"/>
  <c r="K20"/>
  <c r="J7"/>
  <c r="I7"/>
  <c r="H7"/>
  <c r="G7"/>
  <c r="F7"/>
  <c r="O6"/>
  <c r="N6"/>
  <c r="M6"/>
  <c r="L6"/>
  <c r="K6"/>
  <c r="K14" s="1"/>
  <c r="L55" i="8"/>
  <c r="L56" s="1"/>
  <c r="L57" s="1"/>
  <c r="M55"/>
  <c r="M56" s="1"/>
  <c r="M57" s="1"/>
  <c r="N55"/>
  <c r="N56" s="1"/>
  <c r="N57" s="1"/>
  <c r="O55"/>
  <c r="O56" s="1"/>
  <c r="O57" s="1"/>
  <c r="K55"/>
  <c r="L46"/>
  <c r="M46"/>
  <c r="N46"/>
  <c r="O46"/>
  <c r="K46"/>
  <c r="K56" i="14"/>
  <c r="L56"/>
  <c r="M56"/>
  <c r="N56"/>
  <c r="O56"/>
  <c r="F8"/>
  <c r="G8"/>
  <c r="H8"/>
  <c r="I8"/>
  <c r="J8"/>
  <c r="L11" i="11"/>
  <c r="M11"/>
  <c r="N11"/>
  <c r="O11"/>
  <c r="K11"/>
  <c r="L6"/>
  <c r="M7" s="1"/>
  <c r="M6"/>
  <c r="N7" s="1"/>
  <c r="N6"/>
  <c r="O7" s="1"/>
  <c r="O6"/>
  <c r="K6"/>
  <c r="L7" s="1"/>
  <c r="J115" i="2"/>
  <c r="J112"/>
  <c r="K59" i="8" s="1"/>
  <c r="A2" i="21"/>
  <c r="L9" i="9"/>
  <c r="M9"/>
  <c r="N9"/>
  <c r="O9"/>
  <c r="K9"/>
  <c r="O6" i="19"/>
  <c r="L15"/>
  <c r="M15"/>
  <c r="N15"/>
  <c r="K15"/>
  <c r="L7"/>
  <c r="M7"/>
  <c r="N7"/>
  <c r="O7"/>
  <c r="K7"/>
  <c r="K51" i="16"/>
  <c r="K37" i="23" s="1"/>
  <c r="K47" i="16"/>
  <c r="L40"/>
  <c r="M40"/>
  <c r="N40"/>
  <c r="O40"/>
  <c r="K40"/>
  <c r="K39"/>
  <c r="L54" i="8"/>
  <c r="N54"/>
  <c r="O54"/>
  <c r="K54"/>
  <c r="L45"/>
  <c r="M45"/>
  <c r="N45"/>
  <c r="O45"/>
  <c r="K45"/>
  <c r="L47"/>
  <c r="M47"/>
  <c r="N47"/>
  <c r="O47"/>
  <c r="K47"/>
  <c r="N28"/>
  <c r="O28"/>
  <c r="M28"/>
  <c r="N27"/>
  <c r="O27"/>
  <c r="M27"/>
  <c r="L33" i="14"/>
  <c r="M33"/>
  <c r="N33"/>
  <c r="O33"/>
  <c r="K33"/>
  <c r="L24" i="8"/>
  <c r="M25" s="1"/>
  <c r="M24"/>
  <c r="N25" s="1"/>
  <c r="N24"/>
  <c r="O25" s="1"/>
  <c r="O24"/>
  <c r="K24"/>
  <c r="N14"/>
  <c r="O14"/>
  <c r="M18"/>
  <c r="L17"/>
  <c r="L16"/>
  <c r="M17" s="1"/>
  <c r="M16" s="1"/>
  <c r="G7"/>
  <c r="H7"/>
  <c r="I7"/>
  <c r="J7"/>
  <c r="F7"/>
  <c r="L6"/>
  <c r="M6"/>
  <c r="N6"/>
  <c r="O6"/>
  <c r="K6"/>
  <c r="N11"/>
  <c r="O11"/>
  <c r="M11"/>
  <c r="M14"/>
  <c r="M35"/>
  <c r="N35"/>
  <c r="O35"/>
  <c r="N21"/>
  <c r="O21"/>
  <c r="M21"/>
  <c r="K9" i="11"/>
  <c r="K58" i="8"/>
  <c r="K60" s="1"/>
  <c r="N62" i="23"/>
  <c r="K62"/>
  <c r="L62"/>
  <c r="O62"/>
  <c r="M62"/>
  <c r="L14" i="6"/>
  <c r="M14"/>
  <c r="N14"/>
  <c r="O14"/>
  <c r="K14"/>
  <c r="N6" i="19"/>
  <c r="M6"/>
  <c r="M8" s="1"/>
  <c r="M17" s="1"/>
  <c r="L6"/>
  <c r="K6"/>
  <c r="A2"/>
  <c r="K36" i="17"/>
  <c r="K37" s="1"/>
  <c r="L36"/>
  <c r="L37" s="1"/>
  <c r="M36"/>
  <c r="M37" s="1"/>
  <c r="N36"/>
  <c r="N37" s="1"/>
  <c r="O36"/>
  <c r="O37" s="1"/>
  <c r="K28"/>
  <c r="K29" s="1"/>
  <c r="L28"/>
  <c r="L29" s="1"/>
  <c r="M28"/>
  <c r="M29" s="1"/>
  <c r="N28"/>
  <c r="N29" s="1"/>
  <c r="O28"/>
  <c r="O29" s="1"/>
  <c r="K21"/>
  <c r="L21"/>
  <c r="M21"/>
  <c r="N21"/>
  <c r="O21"/>
  <c r="N92"/>
  <c r="M92"/>
  <c r="L92"/>
  <c r="N91"/>
  <c r="M91"/>
  <c r="L91"/>
  <c r="N90"/>
  <c r="M90"/>
  <c r="L90"/>
  <c r="K92"/>
  <c r="K91"/>
  <c r="K90"/>
  <c r="K77"/>
  <c r="L77"/>
  <c r="M77"/>
  <c r="N77"/>
  <c r="O77"/>
  <c r="K75"/>
  <c r="L75"/>
  <c r="M75"/>
  <c r="N75"/>
  <c r="O75"/>
  <c r="K74"/>
  <c r="L74"/>
  <c r="M74"/>
  <c r="N74"/>
  <c r="O74"/>
  <c r="K70"/>
  <c r="L70"/>
  <c r="M70"/>
  <c r="N70"/>
  <c r="O70"/>
  <c r="K68"/>
  <c r="L68"/>
  <c r="M68"/>
  <c r="N68"/>
  <c r="O68"/>
  <c r="K67"/>
  <c r="L67"/>
  <c r="M67"/>
  <c r="N67"/>
  <c r="O67"/>
  <c r="K63"/>
  <c r="L63"/>
  <c r="M63"/>
  <c r="N63"/>
  <c r="O63"/>
  <c r="K61"/>
  <c r="L61"/>
  <c r="M61"/>
  <c r="N61"/>
  <c r="O61"/>
  <c r="K60"/>
  <c r="L60"/>
  <c r="M60"/>
  <c r="N60"/>
  <c r="O60"/>
  <c r="K56"/>
  <c r="L56"/>
  <c r="M56"/>
  <c r="N56"/>
  <c r="O56"/>
  <c r="K54"/>
  <c r="L54"/>
  <c r="M54"/>
  <c r="N54"/>
  <c r="O54"/>
  <c r="K53"/>
  <c r="L53"/>
  <c r="M53"/>
  <c r="N53"/>
  <c r="O53"/>
  <c r="K49"/>
  <c r="L49"/>
  <c r="M49"/>
  <c r="N49"/>
  <c r="O49"/>
  <c r="K47"/>
  <c r="L47"/>
  <c r="M47"/>
  <c r="N47"/>
  <c r="O47"/>
  <c r="K46"/>
  <c r="L46"/>
  <c r="M46"/>
  <c r="N46"/>
  <c r="O46"/>
  <c r="K39"/>
  <c r="L39"/>
  <c r="M39"/>
  <c r="N39"/>
  <c r="O39"/>
  <c r="K35"/>
  <c r="L35"/>
  <c r="M35"/>
  <c r="N35"/>
  <c r="O35"/>
  <c r="K31"/>
  <c r="L31"/>
  <c r="M31"/>
  <c r="N31"/>
  <c r="O31"/>
  <c r="K27"/>
  <c r="L27"/>
  <c r="M27"/>
  <c r="N27"/>
  <c r="O27"/>
  <c r="K23"/>
  <c r="L23"/>
  <c r="M23"/>
  <c r="N23"/>
  <c r="O23"/>
  <c r="K19"/>
  <c r="L19"/>
  <c r="M19"/>
  <c r="N19"/>
  <c r="O19"/>
  <c r="K15"/>
  <c r="L15"/>
  <c r="M15"/>
  <c r="N15"/>
  <c r="O15"/>
  <c r="K13"/>
  <c r="L13"/>
  <c r="M13"/>
  <c r="N13"/>
  <c r="O13"/>
  <c r="K10" i="24"/>
  <c r="K36" i="23"/>
  <c r="K42" i="24"/>
  <c r="K6" i="23"/>
  <c r="K6" i="21"/>
  <c r="L86" i="17"/>
  <c r="L84"/>
  <c r="N86"/>
  <c r="N84"/>
  <c r="K48" i="16"/>
  <c r="L48"/>
  <c r="M48"/>
  <c r="N48"/>
  <c r="O48"/>
  <c r="K50"/>
  <c r="L50"/>
  <c r="M50"/>
  <c r="N50"/>
  <c r="O50"/>
  <c r="K49"/>
  <c r="L49"/>
  <c r="M49"/>
  <c r="N49"/>
  <c r="O49"/>
  <c r="K44"/>
  <c r="L44"/>
  <c r="M44"/>
  <c r="N44"/>
  <c r="O44"/>
  <c r="K34"/>
  <c r="L34"/>
  <c r="M34"/>
  <c r="N34"/>
  <c r="O34"/>
  <c r="K35"/>
  <c r="L35"/>
  <c r="M35"/>
  <c r="N35"/>
  <c r="O35"/>
  <c r="K30"/>
  <c r="K22"/>
  <c r="L22"/>
  <c r="M22"/>
  <c r="N22"/>
  <c r="O22"/>
  <c r="K21"/>
  <c r="L21"/>
  <c r="M21"/>
  <c r="N21"/>
  <c r="O21"/>
  <c r="K20"/>
  <c r="L20"/>
  <c r="M20"/>
  <c r="N20"/>
  <c r="O20"/>
  <c r="K18"/>
  <c r="L18"/>
  <c r="M18"/>
  <c r="N18"/>
  <c r="O18"/>
  <c r="K17"/>
  <c r="K19" s="1"/>
  <c r="L17"/>
  <c r="M17"/>
  <c r="N17"/>
  <c r="N19" s="1"/>
  <c r="O17"/>
  <c r="K12"/>
  <c r="L12"/>
  <c r="M12"/>
  <c r="N12"/>
  <c r="O12"/>
  <c r="K13"/>
  <c r="L13"/>
  <c r="M13"/>
  <c r="N13"/>
  <c r="O13"/>
  <c r="K6"/>
  <c r="L6"/>
  <c r="L7" s="1"/>
  <c r="M6"/>
  <c r="N6"/>
  <c r="O6"/>
  <c r="K53" i="8"/>
  <c r="L53"/>
  <c r="M53"/>
  <c r="N53"/>
  <c r="O53"/>
  <c r="K41"/>
  <c r="L41"/>
  <c r="M41"/>
  <c r="N41"/>
  <c r="O41"/>
  <c r="O20"/>
  <c r="N20"/>
  <c r="M20"/>
  <c r="D8" i="15"/>
  <c r="F8" s="1"/>
  <c r="G8"/>
  <c r="I8"/>
  <c r="K8" s="1"/>
  <c r="L8"/>
  <c r="N8"/>
  <c r="P8" s="1"/>
  <c r="Q8"/>
  <c r="D9"/>
  <c r="F9" s="1"/>
  <c r="G9"/>
  <c r="I9"/>
  <c r="K9" s="1"/>
  <c r="L9"/>
  <c r="N9"/>
  <c r="P9" s="1"/>
  <c r="Q9"/>
  <c r="D10"/>
  <c r="F10" s="1"/>
  <c r="G10"/>
  <c r="I10"/>
  <c r="K10" s="1"/>
  <c r="L10"/>
  <c r="N10"/>
  <c r="P10" s="1"/>
  <c r="Q10"/>
  <c r="D11"/>
  <c r="F11" s="1"/>
  <c r="G11"/>
  <c r="I11"/>
  <c r="K11" s="1"/>
  <c r="L11"/>
  <c r="N11"/>
  <c r="P11" s="1"/>
  <c r="Q11"/>
  <c r="D12"/>
  <c r="F12" s="1"/>
  <c r="G12"/>
  <c r="I12"/>
  <c r="K12" s="1"/>
  <c r="L12"/>
  <c r="N12"/>
  <c r="P12" s="1"/>
  <c r="Q12"/>
  <c r="D13"/>
  <c r="F13" s="1"/>
  <c r="G13"/>
  <c r="I13"/>
  <c r="K13" s="1"/>
  <c r="L13"/>
  <c r="N13"/>
  <c r="P13" s="1"/>
  <c r="Q13"/>
  <c r="D14"/>
  <c r="F14" s="1"/>
  <c r="G14"/>
  <c r="I14"/>
  <c r="K14" s="1"/>
  <c r="L14"/>
  <c r="N14"/>
  <c r="P14" s="1"/>
  <c r="Q14"/>
  <c r="D15"/>
  <c r="F15" s="1"/>
  <c r="G15"/>
  <c r="I15"/>
  <c r="K15" s="1"/>
  <c r="L15"/>
  <c r="N15"/>
  <c r="P15" s="1"/>
  <c r="Q15"/>
  <c r="D16"/>
  <c r="F16" s="1"/>
  <c r="G16"/>
  <c r="I16"/>
  <c r="K16" s="1"/>
  <c r="L16"/>
  <c r="N16"/>
  <c r="P16" s="1"/>
  <c r="Q16"/>
  <c r="D17"/>
  <c r="F17" s="1"/>
  <c r="G17"/>
  <c r="I17"/>
  <c r="K17" s="1"/>
  <c r="L17"/>
  <c r="N17"/>
  <c r="P17" s="1"/>
  <c r="Q17"/>
  <c r="D18"/>
  <c r="F18" s="1"/>
  <c r="G18"/>
  <c r="I18"/>
  <c r="K18" s="1"/>
  <c r="L18"/>
  <c r="N18"/>
  <c r="P18" s="1"/>
  <c r="Q18"/>
  <c r="D19"/>
  <c r="F19" s="1"/>
  <c r="G19"/>
  <c r="I19"/>
  <c r="K19" s="1"/>
  <c r="L19"/>
  <c r="N19"/>
  <c r="P19" s="1"/>
  <c r="Q19"/>
  <c r="D20"/>
  <c r="F20" s="1"/>
  <c r="G20"/>
  <c r="I20"/>
  <c r="K20" s="1"/>
  <c r="L20"/>
  <c r="N20"/>
  <c r="P20" s="1"/>
  <c r="Q20"/>
  <c r="D21"/>
  <c r="F21" s="1"/>
  <c r="G21"/>
  <c r="I21"/>
  <c r="K21" s="1"/>
  <c r="L21"/>
  <c r="N21"/>
  <c r="P21" s="1"/>
  <c r="Q21"/>
  <c r="D22"/>
  <c r="F22" s="1"/>
  <c r="G22"/>
  <c r="I22"/>
  <c r="K22" s="1"/>
  <c r="L22"/>
  <c r="N22"/>
  <c r="P22" s="1"/>
  <c r="Q22"/>
  <c r="D23"/>
  <c r="F23" s="1"/>
  <c r="G23"/>
  <c r="I23"/>
  <c r="K23" s="1"/>
  <c r="L23"/>
  <c r="N23"/>
  <c r="P23" s="1"/>
  <c r="Q23"/>
  <c r="D24"/>
  <c r="F24" s="1"/>
  <c r="G24"/>
  <c r="I24"/>
  <c r="K24" s="1"/>
  <c r="L24"/>
  <c r="N24"/>
  <c r="P24" s="1"/>
  <c r="Q24"/>
  <c r="D25"/>
  <c r="F25" s="1"/>
  <c r="G25"/>
  <c r="I25"/>
  <c r="K25" s="1"/>
  <c r="L25"/>
  <c r="N25"/>
  <c r="P25" s="1"/>
  <c r="Q25"/>
  <c r="D26"/>
  <c r="F26" s="1"/>
  <c r="G26"/>
  <c r="I26"/>
  <c r="K26" s="1"/>
  <c r="L26"/>
  <c r="N26"/>
  <c r="P26" s="1"/>
  <c r="Q26"/>
  <c r="D27"/>
  <c r="F27" s="1"/>
  <c r="G27"/>
  <c r="I27"/>
  <c r="K27" s="1"/>
  <c r="L27"/>
  <c r="N27"/>
  <c r="P27" s="1"/>
  <c r="Q27"/>
  <c r="D28"/>
  <c r="F28" s="1"/>
  <c r="G28"/>
  <c r="I28"/>
  <c r="K28" s="1"/>
  <c r="L28"/>
  <c r="N28"/>
  <c r="P28" s="1"/>
  <c r="Q28"/>
  <c r="D29"/>
  <c r="F29" s="1"/>
  <c r="G29"/>
  <c r="I29"/>
  <c r="K29" s="1"/>
  <c r="L29"/>
  <c r="N29"/>
  <c r="P29" s="1"/>
  <c r="Q29"/>
  <c r="D30"/>
  <c r="F30" s="1"/>
  <c r="G30"/>
  <c r="I30"/>
  <c r="K30" s="1"/>
  <c r="L30"/>
  <c r="N30"/>
  <c r="P30" s="1"/>
  <c r="Q30"/>
  <c r="D31"/>
  <c r="F31" s="1"/>
  <c r="G31"/>
  <c r="I31"/>
  <c r="K31" s="1"/>
  <c r="L31"/>
  <c r="N31"/>
  <c r="P31" s="1"/>
  <c r="Q31"/>
  <c r="Q7"/>
  <c r="N7"/>
  <c r="P7" s="1"/>
  <c r="L7"/>
  <c r="I7"/>
  <c r="K7" s="1"/>
  <c r="G7"/>
  <c r="D7"/>
  <c r="F7" s="1"/>
  <c r="B8"/>
  <c r="B7"/>
  <c r="O45" i="14"/>
  <c r="N45"/>
  <c r="M45"/>
  <c r="L45"/>
  <c r="K45"/>
  <c r="O44"/>
  <c r="N44"/>
  <c r="M44"/>
  <c r="L44"/>
  <c r="K44"/>
  <c r="O43"/>
  <c r="N43"/>
  <c r="M43"/>
  <c r="L43"/>
  <c r="K43"/>
  <c r="O40"/>
  <c r="N40"/>
  <c r="M40"/>
  <c r="L40"/>
  <c r="K40"/>
  <c r="O39"/>
  <c r="N39"/>
  <c r="M39"/>
  <c r="L39"/>
  <c r="K39"/>
  <c r="O38"/>
  <c r="N38"/>
  <c r="M38"/>
  <c r="L38"/>
  <c r="K38"/>
  <c r="O36"/>
  <c r="N36"/>
  <c r="M36"/>
  <c r="L36"/>
  <c r="K36"/>
  <c r="O30"/>
  <c r="N30"/>
  <c r="M30"/>
  <c r="L30"/>
  <c r="K30"/>
  <c r="O24"/>
  <c r="N24"/>
  <c r="M24"/>
  <c r="L24"/>
  <c r="K24"/>
  <c r="O26"/>
  <c r="N26"/>
  <c r="M26"/>
  <c r="L26"/>
  <c r="K26"/>
  <c r="O18"/>
  <c r="N18"/>
  <c r="M18"/>
  <c r="L18"/>
  <c r="K18"/>
  <c r="O20"/>
  <c r="N20"/>
  <c r="M20"/>
  <c r="L20"/>
  <c r="K20"/>
  <c r="O6"/>
  <c r="N6"/>
  <c r="M6"/>
  <c r="L6"/>
  <c r="K6"/>
  <c r="K41" s="1"/>
  <c r="L41" s="1"/>
  <c r="M41" s="1"/>
  <c r="N41" s="1"/>
  <c r="O41" s="1"/>
  <c r="O12" i="9"/>
  <c r="N12"/>
  <c r="M12"/>
  <c r="L12"/>
  <c r="K12"/>
  <c r="O6"/>
  <c r="N6"/>
  <c r="M6"/>
  <c r="L6"/>
  <c r="L15" s="1"/>
  <c r="K6"/>
  <c r="A2" i="13"/>
  <c r="A2" i="6"/>
  <c r="A2" i="9"/>
  <c r="A2" i="14"/>
  <c r="A2" i="15"/>
  <c r="A2" i="8"/>
  <c r="A2" i="11"/>
  <c r="A2" i="16"/>
  <c r="A2" i="17"/>
  <c r="A2" i="7"/>
  <c r="B2" i="5"/>
  <c r="A2" i="12"/>
  <c r="B2" i="1"/>
  <c r="K40" i="24"/>
  <c r="K34" i="23"/>
  <c r="N18" i="8"/>
  <c r="N19" s="1"/>
  <c r="O19" i="16"/>
  <c r="M19" i="8"/>
  <c r="K34" i="13"/>
  <c r="J34"/>
  <c r="H34"/>
  <c r="G34"/>
  <c r="E34"/>
  <c r="D34"/>
  <c r="O71" i="6"/>
  <c r="O141" i="2"/>
  <c r="O72" i="24" s="1"/>
  <c r="N71" i="6"/>
  <c r="N141" i="2"/>
  <c r="N72" i="24" s="1"/>
  <c r="M71" i="6"/>
  <c r="M141" i="2"/>
  <c r="L71" i="6"/>
  <c r="L141" i="2"/>
  <c r="L152" s="1"/>
  <c r="K141"/>
  <c r="K152" s="1"/>
  <c r="O169"/>
  <c r="O12" i="25" s="1"/>
  <c r="N169" i="2"/>
  <c r="N12" i="25" s="1"/>
  <c r="M169" i="2"/>
  <c r="M12" i="25" s="1"/>
  <c r="L169" i="2"/>
  <c r="L12" i="25" s="1"/>
  <c r="K12"/>
  <c r="K80" i="24"/>
  <c r="K75" i="23"/>
  <c r="L75"/>
  <c r="M93" i="17"/>
  <c r="M94" s="1"/>
  <c r="L93"/>
  <c r="L94" s="1"/>
  <c r="N93"/>
  <c r="K93"/>
  <c r="K94" s="1"/>
  <c r="L58" i="8"/>
  <c r="L60" s="1"/>
  <c r="L61" s="1"/>
  <c r="G32" i="15"/>
  <c r="K14" i="14" l="1"/>
  <c r="K16" i="17"/>
  <c r="K18" s="1"/>
  <c r="K30"/>
  <c r="N75" i="23"/>
  <c r="K8" i="16"/>
  <c r="L14" i="14"/>
  <c r="L8" i="16" s="1"/>
  <c r="L32" i="15"/>
  <c r="Q32"/>
  <c r="H31"/>
  <c r="R25"/>
  <c r="R24"/>
  <c r="M23"/>
  <c r="M17"/>
  <c r="M14"/>
  <c r="R13"/>
  <c r="R12"/>
  <c r="M12"/>
  <c r="H12"/>
  <c r="L19" i="16"/>
  <c r="K62" i="17"/>
  <c r="K43" i="24"/>
  <c r="N152" i="2"/>
  <c r="N69" i="23" s="1"/>
  <c r="L67"/>
  <c r="K22" i="17"/>
  <c r="K57"/>
  <c r="K59" s="1"/>
  <c r="N58" i="8"/>
  <c r="K72" i="24"/>
  <c r="N80"/>
  <c r="M152" i="2"/>
  <c r="M74" i="24" s="1"/>
  <c r="K64" i="17"/>
  <c r="K66" s="1"/>
  <c r="K48"/>
  <c r="K76"/>
  <c r="K71"/>
  <c r="K73" s="1"/>
  <c r="K7" i="11"/>
  <c r="K10" s="1"/>
  <c r="O32" i="24"/>
  <c r="O28" i="23"/>
  <c r="O15" i="19"/>
  <c r="N9" i="25"/>
  <c r="O91" i="2"/>
  <c r="O80" i="24"/>
  <c r="M80"/>
  <c r="M67" i="23"/>
  <c r="K48" i="8"/>
  <c r="L48" s="1"/>
  <c r="L80" i="24"/>
  <c r="O75" i="23"/>
  <c r="M75"/>
  <c r="N60" i="8"/>
  <c r="N61" s="1"/>
  <c r="N74" i="24"/>
  <c r="N67" i="23"/>
  <c r="M72" i="24"/>
  <c r="L46" i="14"/>
  <c r="K12" i="11"/>
  <c r="K13" s="1"/>
  <c r="K14" s="1"/>
  <c r="O59" i="8"/>
  <c r="K19" i="14"/>
  <c r="K21" s="1"/>
  <c r="K13" i="24" s="1"/>
  <c r="O8" i="19"/>
  <c r="O17" s="1"/>
  <c r="O15" i="21" s="1"/>
  <c r="M19" i="16"/>
  <c r="O94" i="17"/>
  <c r="N59" i="8"/>
  <c r="L59"/>
  <c r="L25" i="14"/>
  <c r="L27" s="1"/>
  <c r="K15"/>
  <c r="K42" s="1"/>
  <c r="K46"/>
  <c r="K24" i="17"/>
  <c r="K26" s="1"/>
  <c r="K40"/>
  <c r="K42" s="1"/>
  <c r="K8" i="19"/>
  <c r="K17" s="1"/>
  <c r="K29" i="23" s="1"/>
  <c r="O58" i="8"/>
  <c r="O60" s="1"/>
  <c r="O61" s="1"/>
  <c r="L36" i="16"/>
  <c r="L11"/>
  <c r="L14"/>
  <c r="L33"/>
  <c r="K36"/>
  <c r="K11"/>
  <c r="K33"/>
  <c r="K14"/>
  <c r="K49" i="8"/>
  <c r="K25" i="24" s="1"/>
  <c r="O7" i="25"/>
  <c r="O57" i="23"/>
  <c r="L16" i="9"/>
  <c r="M15"/>
  <c r="K56" i="8"/>
  <c r="K57" s="1"/>
  <c r="K9" i="23"/>
  <c r="N94" i="17"/>
  <c r="H7" i="15"/>
  <c r="M7"/>
  <c r="M14" i="14"/>
  <c r="M46" s="1"/>
  <c r="L19"/>
  <c r="L21" s="1"/>
  <c r="L9" i="23" s="1"/>
  <c r="L52" i="14"/>
  <c r="L54" s="1"/>
  <c r="L18" i="24" s="1"/>
  <c r="K50" i="17"/>
  <c r="K52" s="1"/>
  <c r="K78"/>
  <c r="K80" s="1"/>
  <c r="K38"/>
  <c r="K55"/>
  <c r="K69"/>
  <c r="L14"/>
  <c r="L40" s="1"/>
  <c r="L42" s="1"/>
  <c r="K61" i="8"/>
  <c r="K22" i="23" s="1"/>
  <c r="K25" i="14"/>
  <c r="K27" s="1"/>
  <c r="K10" i="23" s="1"/>
  <c r="K32" i="17"/>
  <c r="K34" s="1"/>
  <c r="L8" i="19"/>
  <c r="L17" s="1"/>
  <c r="L29" i="23" s="1"/>
  <c r="N8" i="19"/>
  <c r="N17" s="1"/>
  <c r="N29" i="23" s="1"/>
  <c r="M58" i="8"/>
  <c r="M60" s="1"/>
  <c r="M61" s="1"/>
  <c r="M22" i="23" s="1"/>
  <c r="M59" i="8"/>
  <c r="K52" i="14"/>
  <c r="K54" s="1"/>
  <c r="K14" i="23" s="1"/>
  <c r="K7" i="25"/>
  <c r="K57" i="23"/>
  <c r="K64" i="24"/>
  <c r="M9" i="25"/>
  <c r="O67" i="23"/>
  <c r="K67"/>
  <c r="R31" i="15"/>
  <c r="M31"/>
  <c r="M20"/>
  <c r="M19"/>
  <c r="H19"/>
  <c r="R18"/>
  <c r="H18"/>
  <c r="R17"/>
  <c r="M24"/>
  <c r="H24"/>
  <c r="R23"/>
  <c r="M10"/>
  <c r="R9"/>
  <c r="M9"/>
  <c r="H9"/>
  <c r="R8"/>
  <c r="M8"/>
  <c r="H30"/>
  <c r="R29"/>
  <c r="M29"/>
  <c r="R28"/>
  <c r="H28"/>
  <c r="R26"/>
  <c r="M26"/>
  <c r="H26"/>
  <c r="M21"/>
  <c r="H21"/>
  <c r="R20"/>
  <c r="R15"/>
  <c r="H15"/>
  <c r="R14"/>
  <c r="R7"/>
  <c r="M30"/>
  <c r="R27"/>
  <c r="M27"/>
  <c r="H27"/>
  <c r="H25"/>
  <c r="R22"/>
  <c r="M22"/>
  <c r="H22"/>
  <c r="R21"/>
  <c r="H20"/>
  <c r="R19"/>
  <c r="H16"/>
  <c r="H14"/>
  <c r="R10"/>
  <c r="H29"/>
  <c r="K26" i="24"/>
  <c r="O64"/>
  <c r="O152" i="2"/>
  <c r="L72" i="24"/>
  <c r="R30" i="15"/>
  <c r="M28"/>
  <c r="M25"/>
  <c r="H23"/>
  <c r="M18"/>
  <c r="H17"/>
  <c r="R16"/>
  <c r="M16"/>
  <c r="M15"/>
  <c r="M13"/>
  <c r="H13"/>
  <c r="R11"/>
  <c r="M11"/>
  <c r="H11"/>
  <c r="H10"/>
  <c r="H8"/>
  <c r="L22" i="23"/>
  <c r="L26" i="24"/>
  <c r="L7" i="25"/>
  <c r="L57" i="23"/>
  <c r="L64" i="24"/>
  <c r="M7" i="25"/>
  <c r="M57" i="23"/>
  <c r="M64" i="24"/>
  <c r="K69" i="23"/>
  <c r="K9" i="25"/>
  <c r="K14" s="1"/>
  <c r="K26" s="1"/>
  <c r="K30" s="1"/>
  <c r="K74" i="24"/>
  <c r="L24" i="16"/>
  <c r="L30" s="1"/>
  <c r="L41"/>
  <c r="L51"/>
  <c r="M7"/>
  <c r="L39"/>
  <c r="L47"/>
  <c r="O22" i="23"/>
  <c r="O26" i="24"/>
  <c r="N7" i="25"/>
  <c r="N14" s="1"/>
  <c r="N26" s="1"/>
  <c r="N30" s="1"/>
  <c r="N57" i="23"/>
  <c r="N64" i="24"/>
  <c r="L9" i="25"/>
  <c r="L69" i="23"/>
  <c r="L74" i="24"/>
  <c r="N17" i="8"/>
  <c r="N16" s="1"/>
  <c r="O17" s="1"/>
  <c r="O16" s="1"/>
  <c r="O18"/>
  <c r="O19" s="1"/>
  <c r="M15" i="21"/>
  <c r="M33" i="24"/>
  <c r="M29" i="23"/>
  <c r="N15" i="21"/>
  <c r="R34" i="15" l="1"/>
  <c r="O12" i="8" s="1"/>
  <c r="O13" s="1"/>
  <c r="O15" s="1"/>
  <c r="O22" s="1"/>
  <c r="O29" i="23"/>
  <c r="L14"/>
  <c r="M69"/>
  <c r="L15" i="21"/>
  <c r="K21" i="23"/>
  <c r="K18" i="24"/>
  <c r="K65" i="8"/>
  <c r="K23" i="23" s="1"/>
  <c r="M26" i="24"/>
  <c r="K33"/>
  <c r="O33"/>
  <c r="K14"/>
  <c r="L33"/>
  <c r="K15" i="21"/>
  <c r="M14" i="25"/>
  <c r="M26" s="1"/>
  <c r="M30" s="1"/>
  <c r="L13" i="24"/>
  <c r="L32" i="17"/>
  <c r="L34" s="1"/>
  <c r="K48" i="24"/>
  <c r="K42" i="23"/>
  <c r="K21" i="21"/>
  <c r="N33" i="24"/>
  <c r="K47" i="14"/>
  <c r="K48" s="1"/>
  <c r="L10" i="23"/>
  <c r="L14" i="24"/>
  <c r="L24" i="17"/>
  <c r="L26" s="1"/>
  <c r="L16"/>
  <c r="L18" s="1"/>
  <c r="M14"/>
  <c r="L64"/>
  <c r="L66" s="1"/>
  <c r="L30"/>
  <c r="L57"/>
  <c r="L59" s="1"/>
  <c r="L69"/>
  <c r="L55"/>
  <c r="L38"/>
  <c r="L50"/>
  <c r="L52" s="1"/>
  <c r="L76"/>
  <c r="L62"/>
  <c r="L48"/>
  <c r="L22"/>
  <c r="L15" i="14"/>
  <c r="L42" s="1"/>
  <c r="L47" s="1"/>
  <c r="L48" s="1"/>
  <c r="L78" i="17"/>
  <c r="L80" s="1"/>
  <c r="L71"/>
  <c r="L73" s="1"/>
  <c r="M16" i="9"/>
  <c r="N15"/>
  <c r="M48" i="8"/>
  <c r="L49"/>
  <c r="K53" i="16"/>
  <c r="K33" i="23"/>
  <c r="K39" i="24"/>
  <c r="L39"/>
  <c r="L33" i="23"/>
  <c r="L35"/>
  <c r="L41" i="24"/>
  <c r="N26"/>
  <c r="N22" i="23"/>
  <c r="M8" i="16"/>
  <c r="M25" i="14"/>
  <c r="M27" s="1"/>
  <c r="M19"/>
  <c r="M21" s="1"/>
  <c r="N14"/>
  <c r="M52"/>
  <c r="M54" s="1"/>
  <c r="L10" i="24"/>
  <c r="L6" i="21"/>
  <c r="L6" i="23"/>
  <c r="K35"/>
  <c r="K41" i="24"/>
  <c r="M34" i="15"/>
  <c r="N12" i="8" s="1"/>
  <c r="N13" s="1"/>
  <c r="N15" s="1"/>
  <c r="N22" s="1"/>
  <c r="N23" s="1"/>
  <c r="N26" s="1"/>
  <c r="H34" i="15"/>
  <c r="M12" i="8" s="1"/>
  <c r="M13" s="1"/>
  <c r="M15" s="1"/>
  <c r="M22" s="1"/>
  <c r="M23" s="1"/>
  <c r="M26" s="1"/>
  <c r="M29" s="1"/>
  <c r="O23"/>
  <c r="O26" s="1"/>
  <c r="O9" i="25"/>
  <c r="O14" s="1"/>
  <c r="O26" s="1"/>
  <c r="O30" s="1"/>
  <c r="O69" i="23"/>
  <c r="O74" i="24"/>
  <c r="K12" i="21"/>
  <c r="L37" i="23"/>
  <c r="L43" i="24"/>
  <c r="M41" i="16"/>
  <c r="N7"/>
  <c r="M39"/>
  <c r="M25"/>
  <c r="M24"/>
  <c r="M47"/>
  <c r="M51"/>
  <c r="L36" i="23"/>
  <c r="L42" i="24"/>
  <c r="L14" i="25"/>
  <c r="L26" s="1"/>
  <c r="L30" s="1"/>
  <c r="L34" i="23"/>
  <c r="L40" i="24"/>
  <c r="L53" i="16"/>
  <c r="K27" i="24" l="1"/>
  <c r="K13" i="23"/>
  <c r="K58" i="14"/>
  <c r="K17" i="24"/>
  <c r="M30" i="16"/>
  <c r="N8"/>
  <c r="N46" i="14"/>
  <c r="N25"/>
  <c r="N27" s="1"/>
  <c r="N52"/>
  <c r="N54" s="1"/>
  <c r="O14"/>
  <c r="N19"/>
  <c r="N21" s="1"/>
  <c r="M14" i="24"/>
  <c r="M10" i="23"/>
  <c r="L25" i="24"/>
  <c r="L21" i="23"/>
  <c r="L65" i="8"/>
  <c r="O15" i="9"/>
  <c r="O16" s="1"/>
  <c r="N16"/>
  <c r="L58" i="14"/>
  <c r="L17" i="24"/>
  <c r="L13" i="23"/>
  <c r="M15" i="14"/>
  <c r="M42" s="1"/>
  <c r="M47" s="1"/>
  <c r="M48" s="1"/>
  <c r="M16" i="17"/>
  <c r="M18" s="1"/>
  <c r="N14"/>
  <c r="M71"/>
  <c r="M73" s="1"/>
  <c r="M76"/>
  <c r="M62"/>
  <c r="M48"/>
  <c r="M22"/>
  <c r="M64"/>
  <c r="M66" s="1"/>
  <c r="M30"/>
  <c r="M57"/>
  <c r="M59" s="1"/>
  <c r="M50"/>
  <c r="M52" s="1"/>
  <c r="M69"/>
  <c r="M55"/>
  <c r="M38"/>
  <c r="M78"/>
  <c r="M80" s="1"/>
  <c r="M24"/>
  <c r="M26" s="1"/>
  <c r="M32"/>
  <c r="M34" s="1"/>
  <c r="M40"/>
  <c r="M42" s="1"/>
  <c r="M14" i="23"/>
  <c r="M18" i="24"/>
  <c r="M9" i="23"/>
  <c r="M13" i="24"/>
  <c r="M11" i="16"/>
  <c r="M33"/>
  <c r="M14"/>
  <c r="M36"/>
  <c r="K39" i="23"/>
  <c r="K18" i="21"/>
  <c r="K45" i="24"/>
  <c r="M49" i="8"/>
  <c r="N48"/>
  <c r="M6" i="23"/>
  <c r="M10" i="24"/>
  <c r="M6" i="21"/>
  <c r="M30" i="8"/>
  <c r="M32" s="1"/>
  <c r="M31"/>
  <c r="L18" i="21"/>
  <c r="L39" i="23"/>
  <c r="L45" i="24"/>
  <c r="M43"/>
  <c r="M37" i="23"/>
  <c r="M34"/>
  <c r="M40" i="24"/>
  <c r="M42"/>
  <c r="M36" i="23"/>
  <c r="N47" i="16"/>
  <c r="N41"/>
  <c r="N25"/>
  <c r="O7"/>
  <c r="N24"/>
  <c r="N26"/>
  <c r="N51"/>
  <c r="N39"/>
  <c r="M53"/>
  <c r="K53" i="23" l="1"/>
  <c r="K36" i="21"/>
  <c r="K8" i="11" s="1"/>
  <c r="L9" s="1"/>
  <c r="N30" i="16"/>
  <c r="N34" i="23" s="1"/>
  <c r="K20" i="24"/>
  <c r="K56"/>
  <c r="K60" s="1"/>
  <c r="K16" i="23"/>
  <c r="K9" i="21"/>
  <c r="M21" i="23"/>
  <c r="M25" i="24"/>
  <c r="M41"/>
  <c r="M35" i="23"/>
  <c r="O14" i="17"/>
  <c r="N16"/>
  <c r="N18" s="1"/>
  <c r="N24"/>
  <c r="N26" s="1"/>
  <c r="N64"/>
  <c r="N66" s="1"/>
  <c r="N30"/>
  <c r="N57"/>
  <c r="N59" s="1"/>
  <c r="N69"/>
  <c r="N55"/>
  <c r="N38"/>
  <c r="N78"/>
  <c r="N80" s="1"/>
  <c r="N71"/>
  <c r="N73" s="1"/>
  <c r="N15" i="14"/>
  <c r="N42" s="1"/>
  <c r="N47" s="1"/>
  <c r="N48" s="1"/>
  <c r="N50" i="17"/>
  <c r="N52" s="1"/>
  <c r="N76"/>
  <c r="N62"/>
  <c r="N48"/>
  <c r="N22"/>
  <c r="N40"/>
  <c r="N42" s="1"/>
  <c r="N32"/>
  <c r="N34" s="1"/>
  <c r="M17" i="24"/>
  <c r="M58" i="14"/>
  <c r="M13" i="23"/>
  <c r="N10" i="24"/>
  <c r="N6" i="23"/>
  <c r="N6" i="21"/>
  <c r="L23" i="23"/>
  <c r="L12" i="21"/>
  <c r="L27" i="24"/>
  <c r="O19" i="14"/>
  <c r="O21" s="1"/>
  <c r="O25"/>
  <c r="O27" s="1"/>
  <c r="O8" i="16"/>
  <c r="O46" i="14"/>
  <c r="O52"/>
  <c r="O54" s="1"/>
  <c r="N14" i="24"/>
  <c r="N10" i="23"/>
  <c r="N36" i="16"/>
  <c r="N14"/>
  <c r="N11"/>
  <c r="N33"/>
  <c r="N49" i="8"/>
  <c r="O48"/>
  <c r="O49" s="1"/>
  <c r="M39" i="24"/>
  <c r="M33" i="23"/>
  <c r="L9" i="21"/>
  <c r="L16" i="23"/>
  <c r="L20" i="24"/>
  <c r="O6" i="21"/>
  <c r="O6" i="23"/>
  <c r="O10" i="24"/>
  <c r="N13"/>
  <c r="N9" i="23"/>
  <c r="N58" i="14"/>
  <c r="N14" i="23"/>
  <c r="N18" i="24"/>
  <c r="N33" i="8"/>
  <c r="N29" s="1"/>
  <c r="M37"/>
  <c r="M18" i="21"/>
  <c r="M45" i="24"/>
  <c r="M39" i="23"/>
  <c r="N43" i="24"/>
  <c r="N37" i="23"/>
  <c r="N40" i="24"/>
  <c r="O47" i="16"/>
  <c r="O39"/>
  <c r="O26"/>
  <c r="O25"/>
  <c r="O24"/>
  <c r="O51"/>
  <c r="O41"/>
  <c r="O27"/>
  <c r="N36" i="23"/>
  <c r="N42" i="24"/>
  <c r="N53" i="16" l="1"/>
  <c r="N18" i="21" s="1"/>
  <c r="L10" i="11"/>
  <c r="L12"/>
  <c r="L13" s="1"/>
  <c r="O25" i="24"/>
  <c r="O21" i="23"/>
  <c r="N39" i="24"/>
  <c r="N33" i="23"/>
  <c r="O18" i="24"/>
  <c r="O14" i="23"/>
  <c r="O33" i="16"/>
  <c r="O11"/>
  <c r="O14"/>
  <c r="O36"/>
  <c r="O9" i="23"/>
  <c r="O13" i="24"/>
  <c r="M20"/>
  <c r="M16" i="23"/>
  <c r="M9" i="21"/>
  <c r="O55" i="17"/>
  <c r="O30"/>
  <c r="O22"/>
  <c r="O57"/>
  <c r="O59" s="1"/>
  <c r="O69"/>
  <c r="O40"/>
  <c r="O42" s="1"/>
  <c r="O32"/>
  <c r="O34" s="1"/>
  <c r="O78"/>
  <c r="O80" s="1"/>
  <c r="O50"/>
  <c r="O52" s="1"/>
  <c r="O15" i="14"/>
  <c r="O42" s="1"/>
  <c r="O47" s="1"/>
  <c r="O48" s="1"/>
  <c r="O58" s="1"/>
  <c r="O62" i="17"/>
  <c r="O71"/>
  <c r="O73" s="1"/>
  <c r="O16"/>
  <c r="O18" s="1"/>
  <c r="O38"/>
  <c r="O48"/>
  <c r="O64"/>
  <c r="O66" s="1"/>
  <c r="O24"/>
  <c r="O26" s="1"/>
  <c r="O76"/>
  <c r="N9" i="21"/>
  <c r="N20" i="24"/>
  <c r="N16" i="23"/>
  <c r="N25" i="24"/>
  <c r="N21" i="23"/>
  <c r="N35"/>
  <c r="N41" i="24"/>
  <c r="O14"/>
  <c r="O10" i="23"/>
  <c r="N13"/>
  <c r="N17" i="24"/>
  <c r="N30" i="8"/>
  <c r="N32" s="1"/>
  <c r="N31"/>
  <c r="O30" i="16"/>
  <c r="M23" i="24"/>
  <c r="M65" i="8"/>
  <c r="M19" i="23"/>
  <c r="O43" i="24"/>
  <c r="O37" i="23"/>
  <c r="O42" i="24"/>
  <c r="O36" i="23"/>
  <c r="N45" i="24" l="1"/>
  <c r="N39" i="23"/>
  <c r="O53" i="16"/>
  <c r="O18" i="21" s="1"/>
  <c r="L14" i="11"/>
  <c r="O39" i="23"/>
  <c r="O40" i="24"/>
  <c r="O34" i="23"/>
  <c r="O9" i="21"/>
  <c r="O16" i="23"/>
  <c r="O20" i="24"/>
  <c r="O33" i="23"/>
  <c r="O39" i="24"/>
  <c r="O13" i="23"/>
  <c r="O17" i="24"/>
  <c r="O35" i="23"/>
  <c r="O41" i="24"/>
  <c r="O45"/>
  <c r="M12" i="21"/>
  <c r="M27" i="24"/>
  <c r="M23" i="23"/>
  <c r="N37" i="8"/>
  <c r="O33"/>
  <c r="O29" s="1"/>
  <c r="O30" s="1"/>
  <c r="L36" i="21" l="1"/>
  <c r="L8" i="11" s="1"/>
  <c r="M9" s="1"/>
  <c r="L53" i="23"/>
  <c r="L42"/>
  <c r="L56" i="24"/>
  <c r="L60" s="1"/>
  <c r="L48"/>
  <c r="L21" i="21"/>
  <c r="O31" i="8"/>
  <c r="O32"/>
  <c r="O37" s="1"/>
  <c r="O65" s="1"/>
  <c r="N19" i="23"/>
  <c r="N23" i="24"/>
  <c r="N65" i="8"/>
  <c r="O19" i="23" l="1"/>
  <c r="O23" i="24"/>
  <c r="M12" i="11"/>
  <c r="M13" s="1"/>
  <c r="M10"/>
  <c r="N23" i="23"/>
  <c r="N27" i="24"/>
  <c r="N12" i="21"/>
  <c r="O12"/>
  <c r="O27" i="24"/>
  <c r="O23" i="23"/>
  <c r="M14" i="11" l="1"/>
  <c r="M36" i="21" l="1"/>
  <c r="M53" i="23"/>
  <c r="M42"/>
  <c r="M56" i="24"/>
  <c r="M60" s="1"/>
  <c r="M21" i="21"/>
  <c r="M48" i="24"/>
  <c r="M8" i="11"/>
  <c r="N9" s="1"/>
  <c r="N12" l="1"/>
  <c r="N13" s="1"/>
  <c r="N10"/>
  <c r="N14" l="1"/>
  <c r="N53" i="23" l="1"/>
  <c r="N36" i="21"/>
  <c r="N8" i="11" s="1"/>
  <c r="O9" s="1"/>
  <c r="N48" i="24"/>
  <c r="N56"/>
  <c r="N60" s="1"/>
  <c r="N42" i="23"/>
  <c r="N21" i="21"/>
  <c r="O10" i="11" l="1"/>
  <c r="O12"/>
  <c r="O13" s="1"/>
  <c r="O14" l="1"/>
  <c r="O36" i="21" l="1"/>
  <c r="O8" i="11" s="1"/>
  <c r="O53" i="23"/>
  <c r="O42"/>
  <c r="O48" i="24"/>
  <c r="O21" i="21"/>
  <c r="O56" i="24"/>
  <c r="O60" s="1"/>
</calcChain>
</file>

<file path=xl/sharedStrings.xml><?xml version="1.0" encoding="utf-8"?>
<sst xmlns="http://schemas.openxmlformats.org/spreadsheetml/2006/main" count="1686" uniqueCount="757">
  <si>
    <t>Description</t>
  </si>
  <si>
    <t>input cells</t>
  </si>
  <si>
    <t>cells  containing formula</t>
  </si>
  <si>
    <t>cells linked to other worksheet</t>
  </si>
  <si>
    <t>Basic Information</t>
  </si>
  <si>
    <t>Units</t>
  </si>
  <si>
    <t>Range Name</t>
  </si>
  <si>
    <t>RPI</t>
  </si>
  <si>
    <t>%</t>
  </si>
  <si>
    <t>Int_rates</t>
  </si>
  <si>
    <t>COMPNAME</t>
  </si>
  <si>
    <t>GWh</t>
  </si>
  <si>
    <t>£m</t>
  </si>
  <si>
    <t>IQ</t>
  </si>
  <si>
    <t>£</t>
  </si>
  <si>
    <t>IFIE</t>
  </si>
  <si>
    <t>Pass through items</t>
  </si>
  <si>
    <t>LP</t>
  </si>
  <si>
    <t>RP</t>
  </si>
  <si>
    <t>MPC</t>
  </si>
  <si>
    <t>UNC</t>
  </si>
  <si>
    <t>HB</t>
  </si>
  <si>
    <t>TPC</t>
  </si>
  <si>
    <t>LPSF</t>
  </si>
  <si>
    <t>EP</t>
  </si>
  <si>
    <t>SH</t>
  </si>
  <si>
    <t>Correction Factor</t>
  </si>
  <si>
    <t>Net Movement on Revenue Provisions</t>
  </si>
  <si>
    <t>Incentive Revenue</t>
  </si>
  <si>
    <t>MW</t>
  </si>
  <si>
    <t>gt</t>
  </si>
  <si>
    <t>gps</t>
  </si>
  <si>
    <t>gcz</t>
  </si>
  <si>
    <t>Out_Area</t>
  </si>
  <si>
    <t>Excluded Services</t>
  </si>
  <si>
    <t>ES1</t>
  </si>
  <si>
    <t>ES2</t>
  </si>
  <si>
    <t>ES3</t>
  </si>
  <si>
    <t>ES4</t>
  </si>
  <si>
    <t>ES5</t>
  </si>
  <si>
    <t>ES6</t>
  </si>
  <si>
    <t>De-minimis</t>
  </si>
  <si>
    <t>2010/11</t>
  </si>
  <si>
    <t>2011/12</t>
  </si>
  <si>
    <t>2012/13</t>
  </si>
  <si>
    <t>2013/14</t>
  </si>
  <si>
    <t>2014/15</t>
  </si>
  <si>
    <t>(GWh)</t>
  </si>
  <si>
    <t>Generation Revenue</t>
  </si>
  <si>
    <t>Outside Price Control</t>
  </si>
  <si>
    <t>Losses Incentive</t>
  </si>
  <si>
    <t>Date</t>
  </si>
  <si>
    <t>Version</t>
  </si>
  <si>
    <t>Amendment</t>
  </si>
  <si>
    <t>Legacy Basic Meter Asset Provision</t>
  </si>
  <si>
    <t>Single-phase single-rate credit meters</t>
  </si>
  <si>
    <t>Maximum Charge levied per SRCM</t>
  </si>
  <si>
    <t>Single-rate token prepayment meters</t>
  </si>
  <si>
    <t>Rev_TPPM</t>
  </si>
  <si>
    <t>Maximum Charge levied per TTPM</t>
  </si>
  <si>
    <t>Single-rate key prepayment meters</t>
  </si>
  <si>
    <t>Rev_KPPM</t>
  </si>
  <si>
    <t>Maximum Charge levied per KPPM</t>
  </si>
  <si>
    <t>Single-rate smartcard prepayment meters</t>
  </si>
  <si>
    <t>Rev_SPPM</t>
  </si>
  <si>
    <t>Maximum Charge levied per SPPM</t>
  </si>
  <si>
    <t>Multi-rate single-phase credit meter</t>
  </si>
  <si>
    <t>Rev_MRSPCM</t>
  </si>
  <si>
    <t>Maximum Charge levied per MRSPCM</t>
  </si>
  <si>
    <t>Multi-rate single-phase prepayment meters</t>
  </si>
  <si>
    <t>Rev_MRSPPM</t>
  </si>
  <si>
    <t>Maximum Charge levied per MRSPPM</t>
  </si>
  <si>
    <t>Poly-phase single rate whole current meters</t>
  </si>
  <si>
    <t>Rev_PPSRWCM</t>
  </si>
  <si>
    <t>Maximum Charge levied per PPSRWCM</t>
  </si>
  <si>
    <t>Poly-phase multi rate whole current meters</t>
  </si>
  <si>
    <t>Rev_PPMRWCM</t>
  </si>
  <si>
    <t>Maximum Charge levied per PPMRWCM</t>
  </si>
  <si>
    <t>Non-half hourly current transformer meters</t>
  </si>
  <si>
    <t>Rev_NHHCTM</t>
  </si>
  <si>
    <t>Maximum Charge levied per NHHCTM</t>
  </si>
  <si>
    <t>Adjustment Factor</t>
  </si>
  <si>
    <t>yrs</t>
  </si>
  <si>
    <t>MEAP_MRSPCM</t>
  </si>
  <si>
    <t>MEAP_MRSPPM</t>
  </si>
  <si>
    <t>MEAP_PPSRWCM</t>
  </si>
  <si>
    <t>MEAP_PPMRWCM</t>
  </si>
  <si>
    <t>MEAP_NNHCTM</t>
  </si>
  <si>
    <t>ELA_MRSPCM</t>
  </si>
  <si>
    <t>ELA_MRSPPM</t>
  </si>
  <si>
    <t>ELA_PPSRWCM</t>
  </si>
  <si>
    <t>ELA_PPMRWCM</t>
  </si>
  <si>
    <t>ELA_NNHCTM</t>
  </si>
  <si>
    <t>Act_1</t>
  </si>
  <si>
    <t>Act_2</t>
  </si>
  <si>
    <t>Act_3</t>
  </si>
  <si>
    <t>Act_4</t>
  </si>
  <si>
    <t>Act_5</t>
  </si>
  <si>
    <t>Act_6</t>
  </si>
  <si>
    <t>Act_7</t>
  </si>
  <si>
    <t>Act_8</t>
  </si>
  <si>
    <t xml:space="preserve">General </t>
  </si>
  <si>
    <t>Base Demand Revenue</t>
  </si>
  <si>
    <t>Fixed Base Revenue</t>
  </si>
  <si>
    <t>PU</t>
  </si>
  <si>
    <t>PF</t>
  </si>
  <si>
    <t>Business Rates</t>
  </si>
  <si>
    <t>RV</t>
  </si>
  <si>
    <t>LPSA</t>
  </si>
  <si>
    <t>SHA</t>
  </si>
  <si>
    <t>LR</t>
  </si>
  <si>
    <t>£/MWh</t>
  </si>
  <si>
    <t>ALP</t>
  </si>
  <si>
    <t>PTRI</t>
  </si>
  <si>
    <t>gir</t>
  </si>
  <si>
    <t>£/MW</t>
  </si>
  <si>
    <t>GP term</t>
  </si>
  <si>
    <t>ptrg</t>
  </si>
  <si>
    <t>P</t>
  </si>
  <si>
    <t>rate</t>
  </si>
  <si>
    <t>GO term</t>
  </si>
  <si>
    <t>gor</t>
  </si>
  <si>
    <t>RPZ</t>
  </si>
  <si>
    <t>giz</t>
  </si>
  <si>
    <t>RPZM</t>
  </si>
  <si>
    <t>Single-Phase Single Rate Credit Meters</t>
  </si>
  <si>
    <t>Fixed Value</t>
  </si>
  <si>
    <t>FV_SRCM</t>
  </si>
  <si>
    <t>TPPMAV</t>
  </si>
  <si>
    <t>TTPMAV</t>
  </si>
  <si>
    <t>Single Rate Key Prepayment Meters (KPPM)</t>
  </si>
  <si>
    <t>KPPMAV</t>
  </si>
  <si>
    <t>Single Rate Smartcard Prepayment Meters</t>
  </si>
  <si>
    <t>SPPMAV</t>
  </si>
  <si>
    <t>Updates for DPCR5</t>
  </si>
  <si>
    <t>PIAL</t>
  </si>
  <si>
    <t>Low carbon networks fund</t>
  </si>
  <si>
    <t>IL</t>
  </si>
  <si>
    <t>Inflation data</t>
  </si>
  <si>
    <t>KIFI</t>
  </si>
  <si>
    <t>IP</t>
  </si>
  <si>
    <t>BR</t>
  </si>
  <si>
    <t>PR</t>
  </si>
  <si>
    <t>Interest Rate</t>
  </si>
  <si>
    <t>Interest Rate Adjustment</t>
  </si>
  <si>
    <t>Combined Allowed Distribution Network Revenue</t>
  </si>
  <si>
    <t>Over/Under b/fwd</t>
  </si>
  <si>
    <t>Site</t>
  </si>
  <si>
    <t>LAG</t>
  </si>
  <si>
    <t>DGV</t>
  </si>
  <si>
    <t>(should not exceed 0.997)</t>
  </si>
  <si>
    <t>Number of sites</t>
  </si>
  <si>
    <t>Total DGV</t>
  </si>
  <si>
    <t>LF</t>
  </si>
  <si>
    <t>Other Miscellaneous Costs</t>
  </si>
  <si>
    <t>Uncertain Costs</t>
  </si>
  <si>
    <t>Allowed Pass Through items</t>
  </si>
  <si>
    <t>PT</t>
  </si>
  <si>
    <t>TP</t>
  </si>
  <si>
    <t>Low Carbon Networks Fund</t>
  </si>
  <si>
    <t>AEV</t>
  </si>
  <si>
    <t>DGA</t>
  </si>
  <si>
    <t>Fixed %</t>
  </si>
  <si>
    <t>LAF</t>
  </si>
  <si>
    <t>Price index adjustment (t)</t>
  </si>
  <si>
    <t>Price index adjustment (t-2)</t>
  </si>
  <si>
    <t>Price index adjustment (t-1)</t>
  </si>
  <si>
    <t>L</t>
  </si>
  <si>
    <t>AL</t>
  </si>
  <si>
    <t>PIAG</t>
  </si>
  <si>
    <t>GI</t>
  </si>
  <si>
    <t>gp</t>
  </si>
  <si>
    <t>GP</t>
  </si>
  <si>
    <t>GO</t>
  </si>
  <si>
    <t>IG</t>
  </si>
  <si>
    <t>Registered Power Zones (RPZ)</t>
  </si>
  <si>
    <t>GL term</t>
  </si>
  <si>
    <t>IEDA term</t>
  </si>
  <si>
    <t>GL</t>
  </si>
  <si>
    <t>IEDA</t>
  </si>
  <si>
    <t>Meter Asset Provision - Derivation of Maximum charge</t>
  </si>
  <si>
    <t xml:space="preserve">Single-Phase Single Rate Credit Meters (SCRM) </t>
  </si>
  <si>
    <t xml:space="preserve">PIT </t>
  </si>
  <si>
    <t>PIT</t>
  </si>
  <si>
    <t>SRCM</t>
  </si>
  <si>
    <t>Single Rate Token Prepayment Meters (TPPM)</t>
  </si>
  <si>
    <t>LT</t>
  </si>
  <si>
    <t>LTW</t>
  </si>
  <si>
    <t>TPPM</t>
  </si>
  <si>
    <t>LK</t>
  </si>
  <si>
    <t>KPPM</t>
  </si>
  <si>
    <t>Single Rate Smartcard Prepayment Meters (SPPM)</t>
  </si>
  <si>
    <t>LS</t>
  </si>
  <si>
    <t>LSW</t>
  </si>
  <si>
    <t>SPPM</t>
  </si>
  <si>
    <t>Other meter Types (MAPPC)</t>
  </si>
  <si>
    <t>MEAP</t>
  </si>
  <si>
    <t>ELA</t>
  </si>
  <si>
    <t>years</t>
  </si>
  <si>
    <t>MAPPC</t>
  </si>
  <si>
    <t>Revenue for MAP</t>
  </si>
  <si>
    <t>MAP</t>
  </si>
  <si>
    <t>Total MAP Revenue</t>
  </si>
  <si>
    <t>AF</t>
  </si>
  <si>
    <t>LKW</t>
  </si>
  <si>
    <t>Rev_OtherMeters</t>
  </si>
  <si>
    <t>IT</t>
  </si>
  <si>
    <t>PIAT</t>
  </si>
  <si>
    <t>LA</t>
  </si>
  <si>
    <t>RA</t>
  </si>
  <si>
    <t>RB</t>
  </si>
  <si>
    <t>MPT</t>
  </si>
  <si>
    <t>MPA</t>
  </si>
  <si>
    <t>SHB</t>
  </si>
  <si>
    <t>PIAH</t>
  </si>
  <si>
    <t>LPSC</t>
  </si>
  <si>
    <r>
      <t>AF</t>
    </r>
    <r>
      <rPr>
        <vertAlign val="subscript"/>
        <sz val="11"/>
        <rFont val="Verdana"/>
        <family val="2"/>
      </rPr>
      <t>t</t>
    </r>
  </si>
  <si>
    <r>
      <t>IQ</t>
    </r>
    <r>
      <rPr>
        <vertAlign val="subscript"/>
        <sz val="10"/>
        <rFont val="Verdana"/>
        <family val="2"/>
      </rPr>
      <t>t</t>
    </r>
  </si>
  <si>
    <r>
      <t>LP</t>
    </r>
    <r>
      <rPr>
        <vertAlign val="subscript"/>
        <sz val="10"/>
        <rFont val="Verdana"/>
        <family val="2"/>
      </rPr>
      <t>t</t>
    </r>
  </si>
  <si>
    <r>
      <t>RP</t>
    </r>
    <r>
      <rPr>
        <vertAlign val="subscript"/>
        <sz val="10"/>
        <rFont val="Verdana"/>
        <family val="2"/>
      </rPr>
      <t>t</t>
    </r>
  </si>
  <si>
    <r>
      <t>MPC</t>
    </r>
    <r>
      <rPr>
        <vertAlign val="subscript"/>
        <sz val="10"/>
        <rFont val="Verdana"/>
        <family val="2"/>
      </rPr>
      <t>t</t>
    </r>
  </si>
  <si>
    <r>
      <t>UNC</t>
    </r>
    <r>
      <rPr>
        <vertAlign val="subscript"/>
        <sz val="10"/>
        <rFont val="Verdana"/>
        <family val="2"/>
      </rPr>
      <t xml:space="preserve">t </t>
    </r>
  </si>
  <si>
    <r>
      <t>HB</t>
    </r>
    <r>
      <rPr>
        <vertAlign val="subscript"/>
        <sz val="10"/>
        <rFont val="Verdana"/>
        <family val="2"/>
      </rPr>
      <t>t</t>
    </r>
  </si>
  <si>
    <r>
      <t>TPC</t>
    </r>
    <r>
      <rPr>
        <vertAlign val="subscript"/>
        <sz val="10"/>
        <rFont val="Verdana"/>
        <family val="2"/>
      </rPr>
      <t>t</t>
    </r>
  </si>
  <si>
    <r>
      <t>LPSF</t>
    </r>
    <r>
      <rPr>
        <vertAlign val="subscript"/>
        <sz val="10"/>
        <rFont val="Verdana"/>
        <family val="2"/>
      </rPr>
      <t>t</t>
    </r>
  </si>
  <si>
    <r>
      <t>EP</t>
    </r>
    <r>
      <rPr>
        <vertAlign val="subscript"/>
        <sz val="10"/>
        <rFont val="Verdana"/>
        <family val="2"/>
      </rPr>
      <t>t</t>
    </r>
  </si>
  <si>
    <r>
      <t>SH</t>
    </r>
    <r>
      <rPr>
        <vertAlign val="subscript"/>
        <sz val="10"/>
        <rFont val="Verdana"/>
        <family val="2"/>
      </rPr>
      <t>t</t>
    </r>
  </si>
  <si>
    <t>Sub-total</t>
  </si>
  <si>
    <t>Incentive Payments - Losses</t>
  </si>
  <si>
    <t>Check cell</t>
  </si>
  <si>
    <t>Incentive Payments - Quality of Service</t>
  </si>
  <si>
    <t>Incentive Payments - IFI</t>
  </si>
  <si>
    <t>Total de minimis revenue</t>
  </si>
  <si>
    <t>fixed value or check cells</t>
  </si>
  <si>
    <t>Total MAP Revenue &amp; Maximum Charge Levied per Meter Type</t>
  </si>
  <si>
    <r>
      <t>LA</t>
    </r>
    <r>
      <rPr>
        <vertAlign val="subscript"/>
        <sz val="10"/>
        <rFont val="Verdana"/>
        <family val="2"/>
      </rPr>
      <t>t</t>
    </r>
  </si>
  <si>
    <r>
      <t>LF</t>
    </r>
    <r>
      <rPr>
        <vertAlign val="subscript"/>
        <sz val="10"/>
        <rFont val="Verdana"/>
        <family val="2"/>
      </rPr>
      <t>t</t>
    </r>
  </si>
  <si>
    <r>
      <t>RA</t>
    </r>
    <r>
      <rPr>
        <vertAlign val="subscript"/>
        <sz val="10"/>
        <rFont val="Verdana"/>
        <family val="2"/>
      </rPr>
      <t>t</t>
    </r>
  </si>
  <si>
    <r>
      <t>RV</t>
    </r>
    <r>
      <rPr>
        <vertAlign val="subscript"/>
        <sz val="10"/>
        <rFont val="Verdana"/>
        <family val="2"/>
      </rPr>
      <t>t</t>
    </r>
  </si>
  <si>
    <r>
      <t>RB</t>
    </r>
    <r>
      <rPr>
        <vertAlign val="subscript"/>
        <sz val="10"/>
        <rFont val="Verdana"/>
        <family val="2"/>
      </rPr>
      <t>t</t>
    </r>
  </si>
  <si>
    <r>
      <t>LPSC</t>
    </r>
    <r>
      <rPr>
        <vertAlign val="subscript"/>
        <sz val="10"/>
        <rFont val="Verdana"/>
        <family val="2"/>
      </rPr>
      <t>t</t>
    </r>
  </si>
  <si>
    <r>
      <t>SHB</t>
    </r>
    <r>
      <rPr>
        <vertAlign val="subscript"/>
        <sz val="10"/>
        <rFont val="Verdana"/>
        <family val="2"/>
      </rPr>
      <t>t</t>
    </r>
  </si>
  <si>
    <r>
      <t>Total MPA</t>
    </r>
    <r>
      <rPr>
        <vertAlign val="subscript"/>
        <sz val="10"/>
        <rFont val="Verdana"/>
        <family val="2"/>
      </rPr>
      <t>t</t>
    </r>
  </si>
  <si>
    <r>
      <t>MPA</t>
    </r>
    <r>
      <rPr>
        <vertAlign val="subscript"/>
        <sz val="10"/>
        <rFont val="Verdana"/>
        <family val="2"/>
      </rPr>
      <t>t</t>
    </r>
  </si>
  <si>
    <r>
      <t>MPT</t>
    </r>
    <r>
      <rPr>
        <b/>
        <vertAlign val="subscript"/>
        <sz val="10"/>
        <rFont val="Verdana"/>
        <family val="2"/>
      </rPr>
      <t>t</t>
    </r>
  </si>
  <si>
    <r>
      <t>UNC</t>
    </r>
    <r>
      <rPr>
        <vertAlign val="subscript"/>
        <sz val="10"/>
        <rFont val="Verdana"/>
        <family val="2"/>
      </rPr>
      <t>t</t>
    </r>
  </si>
  <si>
    <r>
      <t>Total MPT</t>
    </r>
    <r>
      <rPr>
        <b/>
        <vertAlign val="subscript"/>
        <sz val="10"/>
        <rFont val="Verdana"/>
        <family val="2"/>
      </rPr>
      <t>t</t>
    </r>
  </si>
  <si>
    <r>
      <t>Low carbon networks fund adjustment (LCN</t>
    </r>
    <r>
      <rPr>
        <vertAlign val="subscript"/>
        <sz val="10"/>
        <rFont val="Verdana"/>
        <family val="2"/>
      </rPr>
      <t>t</t>
    </r>
    <r>
      <rPr>
        <sz val="10"/>
        <rFont val="Verdana"/>
        <family val="2"/>
      </rPr>
      <t>)</t>
    </r>
  </si>
  <si>
    <r>
      <t>Quality of service Incentive Adjustment (IQ</t>
    </r>
    <r>
      <rPr>
        <vertAlign val="subscript"/>
        <sz val="10"/>
        <rFont val="Verdana"/>
        <family val="2"/>
      </rPr>
      <t>t</t>
    </r>
    <r>
      <rPr>
        <sz val="10"/>
        <rFont val="Verdana"/>
        <family val="2"/>
      </rPr>
      <t>)</t>
    </r>
  </si>
  <si>
    <r>
      <t>Innovation Funding Incentive Adjustment (IFI</t>
    </r>
    <r>
      <rPr>
        <vertAlign val="subscript"/>
        <sz val="10"/>
        <rFont val="Verdana"/>
        <family val="2"/>
      </rPr>
      <t>t</t>
    </r>
    <r>
      <rPr>
        <sz val="10"/>
        <rFont val="Verdana"/>
        <family val="2"/>
      </rPr>
      <t>)</t>
    </r>
  </si>
  <si>
    <r>
      <t xml:space="preserve">IP </t>
    </r>
    <r>
      <rPr>
        <vertAlign val="subscript"/>
        <sz val="10"/>
        <rFont val="Verdana"/>
        <family val="2"/>
      </rPr>
      <t>t</t>
    </r>
  </si>
  <si>
    <r>
      <t>I</t>
    </r>
    <r>
      <rPr>
        <vertAlign val="subscript"/>
        <sz val="10"/>
        <color indexed="8"/>
        <rFont val="Verdana"/>
        <family val="2"/>
      </rPr>
      <t>t</t>
    </r>
  </si>
  <si>
    <r>
      <t>PR</t>
    </r>
    <r>
      <rPr>
        <vertAlign val="subscript"/>
        <sz val="10"/>
        <color indexed="8"/>
        <rFont val="Verdana"/>
        <family val="2"/>
      </rPr>
      <t>t</t>
    </r>
  </si>
  <si>
    <r>
      <t>I</t>
    </r>
    <r>
      <rPr>
        <vertAlign val="subscript"/>
        <sz val="10"/>
        <color indexed="8"/>
        <rFont val="Verdana"/>
        <family val="2"/>
      </rPr>
      <t>t</t>
    </r>
    <r>
      <rPr>
        <sz val="10"/>
        <color theme="1"/>
        <rFont val="Verdana"/>
        <family val="2"/>
      </rPr>
      <t>+PR</t>
    </r>
    <r>
      <rPr>
        <vertAlign val="subscript"/>
        <sz val="10"/>
        <color indexed="8"/>
        <rFont val="Verdana"/>
        <family val="2"/>
      </rPr>
      <t>t</t>
    </r>
  </si>
  <si>
    <r>
      <t>AF</t>
    </r>
    <r>
      <rPr>
        <vertAlign val="subscript"/>
        <sz val="10"/>
        <rFont val="CG Omega"/>
        <family val="2"/>
      </rPr>
      <t>t</t>
    </r>
  </si>
  <si>
    <r>
      <t>AF</t>
    </r>
    <r>
      <rPr>
        <vertAlign val="subscript"/>
        <sz val="10"/>
        <rFont val="Verdana"/>
        <family val="2"/>
      </rPr>
      <t>t</t>
    </r>
  </si>
  <si>
    <t>IFI</t>
  </si>
  <si>
    <t>Current expected life ELAi</t>
  </si>
  <si>
    <r>
      <t>Purchase price MEAP</t>
    </r>
    <r>
      <rPr>
        <b/>
        <vertAlign val="subscript"/>
        <sz val="10"/>
        <rFont val="Verdana"/>
        <family val="2"/>
      </rPr>
      <t>i</t>
    </r>
  </si>
  <si>
    <t>Single Rate Token Prepayment Meters</t>
  </si>
  <si>
    <t>Connection services</t>
  </si>
  <si>
    <t>Diversionary works under an obligation</t>
  </si>
  <si>
    <t>Works required by any alteration of premises</t>
  </si>
  <si>
    <t>Top-up, standby, and enhanced system security</t>
  </si>
  <si>
    <t>Revenue protection services</t>
  </si>
  <si>
    <t>Miscellaneous</t>
  </si>
  <si>
    <t>ES7</t>
  </si>
  <si>
    <t>ALL</t>
  </si>
  <si>
    <t>Second Tier and Reward Funding Mechanism</t>
  </si>
  <si>
    <t>LCN1_exp</t>
  </si>
  <si>
    <t>Initial version provided by Ofgem at start of DPCR5 period</t>
  </si>
  <si>
    <t>Inset Electricity Distributor</t>
  </si>
  <si>
    <t>LCN</t>
  </si>
  <si>
    <t>K</t>
  </si>
  <si>
    <t>Merger adjustment</t>
  </si>
  <si>
    <t>MG</t>
  </si>
  <si>
    <t>Business Rates Adjustment</t>
  </si>
  <si>
    <t>IED</t>
  </si>
  <si>
    <t>UD</t>
  </si>
  <si>
    <t>TIR</t>
  </si>
  <si>
    <t>GIR</t>
  </si>
  <si>
    <t>GOR</t>
  </si>
  <si>
    <t>Combined allowed distribution network revenue (t)</t>
  </si>
  <si>
    <t>RPI indexation term</t>
  </si>
  <si>
    <r>
      <t>K</t>
    </r>
    <r>
      <rPr>
        <vertAlign val="subscript"/>
        <sz val="10"/>
        <color indexed="8"/>
        <rFont val="Verdana"/>
        <family val="2"/>
      </rPr>
      <t>t</t>
    </r>
  </si>
  <si>
    <t>Regulated demand revenue 2009-10</t>
  </si>
  <si>
    <t>Network Generation Revenue 2009-10</t>
  </si>
  <si>
    <t>Allowed demand revenue 2009-10</t>
  </si>
  <si>
    <t>Allowed network generation revenue 2009-10</t>
  </si>
  <si>
    <t>Indexation</t>
  </si>
  <si>
    <t>[Descriptor 6]</t>
  </si>
  <si>
    <t>[Descriptor 7]</t>
  </si>
  <si>
    <t>[Descriptor 8]</t>
  </si>
  <si>
    <t>Other types of meter</t>
  </si>
  <si>
    <t>sub-total of revenue</t>
  </si>
  <si>
    <t>Losses incentive rate indexed to year t-2</t>
  </si>
  <si>
    <t>Sub Total 1</t>
  </si>
  <si>
    <t>Loss adjustment value in year t-2</t>
  </si>
  <si>
    <t>Values for Year t-2</t>
  </si>
  <si>
    <t>SEV</t>
  </si>
  <si>
    <t>Year t-2</t>
  </si>
  <si>
    <t>Ltok</t>
  </si>
  <si>
    <t>UT</t>
  </si>
  <si>
    <t>Adjusted Entry Volumes in year t-2</t>
  </si>
  <si>
    <t>Allowed loss percentage in year t-2</t>
  </si>
  <si>
    <t>ALP year t-2</t>
  </si>
  <si>
    <t>Residual distribution losses incentive</t>
  </si>
  <si>
    <t>Distribution Losses Incentive</t>
  </si>
  <si>
    <t>PPL</t>
  </si>
  <si>
    <t>Benchmark level of losses in year t-2</t>
  </si>
  <si>
    <t>Losses incentive rate</t>
  </si>
  <si>
    <t>Annual upper threshold in year t-2</t>
  </si>
  <si>
    <t>Annual lower threshold in year t-2</t>
  </si>
  <si>
    <t>Upper threshold year t-2</t>
  </si>
  <si>
    <t>Lower threshold year t-2</t>
  </si>
  <si>
    <t>RPI DPCR4 period</t>
  </si>
  <si>
    <t>RPI_DPCR4</t>
  </si>
  <si>
    <t>RPI in DPCR4 period</t>
  </si>
  <si>
    <t>Benchmark losses less adjusted distribution losses</t>
  </si>
  <si>
    <t>Sub Total 2</t>
  </si>
  <si>
    <t>Basic loss incentive adjustment</t>
  </si>
  <si>
    <r>
      <t>Adjusted Distribution Losses (L</t>
    </r>
    <r>
      <rPr>
        <b/>
        <vertAlign val="subscript"/>
        <sz val="10"/>
        <rFont val="Verdana"/>
        <family val="2"/>
      </rPr>
      <t>t</t>
    </r>
    <r>
      <rPr>
        <b/>
        <sz val="10"/>
        <rFont val="Verdana"/>
        <family val="2"/>
      </rPr>
      <t>)</t>
    </r>
  </si>
  <si>
    <t>Interest rate in year t</t>
  </si>
  <si>
    <t>Int_rate</t>
  </si>
  <si>
    <t>Losses incentive prior to annual smoothing</t>
  </si>
  <si>
    <t>Sub Total 3</t>
  </si>
  <si>
    <t>Main Sub Total 5</t>
  </si>
  <si>
    <t>UIL</t>
  </si>
  <si>
    <r>
      <t>Losses Incentive Adjustment (IL</t>
    </r>
    <r>
      <rPr>
        <b/>
        <vertAlign val="subscript"/>
        <sz val="10"/>
        <rFont val="Verdana"/>
        <family val="2"/>
      </rPr>
      <t>t</t>
    </r>
    <r>
      <rPr>
        <b/>
        <sz val="10"/>
        <rFont val="Verdana"/>
        <family val="2"/>
      </rPr>
      <t>)</t>
    </r>
  </si>
  <si>
    <t>Amount to be carried forward</t>
  </si>
  <si>
    <t>Amount brought forward</t>
  </si>
  <si>
    <t>Losses incentive after annual smoothing</t>
  </si>
  <si>
    <t>COL</t>
  </si>
  <si>
    <t>Main Sub Total 6</t>
  </si>
  <si>
    <t>Losses incentive prior to smoothing + amount brought forward from previous year</t>
  </si>
  <si>
    <t>Sub Total 7</t>
  </si>
  <si>
    <t>IS</t>
  </si>
  <si>
    <t>PIALt_1</t>
  </si>
  <si>
    <t>PIALt_2</t>
  </si>
  <si>
    <t>[Carry forward amount if incentive for year + brought forward is nil or positive]</t>
  </si>
  <si>
    <t>[Carry forward amount if incentive for year +brought forward is negative]</t>
  </si>
  <si>
    <t>Transmission Connection Points Allowance</t>
  </si>
  <si>
    <t>Business Rates Allowance (2007-08 prices)</t>
  </si>
  <si>
    <t>Business Rates Allowance (indexed)</t>
  </si>
  <si>
    <t>Business Rates Payments</t>
  </si>
  <si>
    <t xml:space="preserve">Assistance for Areas with High Distribution Costs </t>
  </si>
  <si>
    <t>Inset Electricity Distributor Adjustment</t>
  </si>
  <si>
    <t>Other Pass-Through Items</t>
  </si>
  <si>
    <t>Transmission Connection Point Charges (non-incentivised)</t>
  </si>
  <si>
    <t>Txn Connection Point Allowance (2007-08 prices)</t>
  </si>
  <si>
    <t>TV</t>
  </si>
  <si>
    <t>Txn Connection Point Allowance (indexed)</t>
  </si>
  <si>
    <t>Txn Connection Point Payments</t>
  </si>
  <si>
    <t>Txn Connection Point Adjustment</t>
  </si>
  <si>
    <t>Transmission Connection Point Charges Incentive</t>
  </si>
  <si>
    <t>New Transmission Capacity Charge Payments</t>
  </si>
  <si>
    <t>New Transmission Capacity Charges Incentive Rate</t>
  </si>
  <si>
    <t>Price Index Adjuster</t>
  </si>
  <si>
    <t>New Transmission Capacity Charges Allowance (2007-08 prices)</t>
  </si>
  <si>
    <t>New Transmission Capacity Charges Allowance</t>
  </si>
  <si>
    <t>New Transmission Capacity Charges Adjustment</t>
  </si>
  <si>
    <t>Quality of service Incentive</t>
  </si>
  <si>
    <t>Innovation Funding Incentive</t>
  </si>
  <si>
    <t>Pass Through Factor</t>
  </si>
  <si>
    <t>Total Incentive Adjustment</t>
  </si>
  <si>
    <t>Eligible IFI Expenditure</t>
  </si>
  <si>
    <r>
      <t>IFIE</t>
    </r>
    <r>
      <rPr>
        <vertAlign val="subscript"/>
        <sz val="10"/>
        <rFont val="Verdana"/>
        <family val="2"/>
      </rPr>
      <t>t</t>
    </r>
  </si>
  <si>
    <t xml:space="preserve">Total Incentive Payment </t>
  </si>
  <si>
    <t xml:space="preserve">Incentive Rate </t>
  </si>
  <si>
    <t>GIR term</t>
  </si>
  <si>
    <t>Total Incentivised DG Capacity</t>
  </si>
  <si>
    <t>GC</t>
  </si>
  <si>
    <t>Total Incentive Payment</t>
  </si>
  <si>
    <t>Pass Through Return on Capex</t>
  </si>
  <si>
    <t>Pass Through Rate</t>
  </si>
  <si>
    <t>Use of System Capex in Year</t>
  </si>
  <si>
    <t xml:space="preserve">UoS Capex Passed Through </t>
  </si>
  <si>
    <t>Transferred Capex</t>
  </si>
  <si>
    <t>Capex Remuneration Period</t>
  </si>
  <si>
    <t>Pre Tax Real Cost of Capital</t>
  </si>
  <si>
    <t>GPX</t>
  </si>
  <si>
    <t>GPS</t>
  </si>
  <si>
    <t>PTRG</t>
  </si>
  <si>
    <t>GT</t>
  </si>
  <si>
    <t>R</t>
  </si>
  <si>
    <t>Revenue from Return on</t>
  </si>
  <si>
    <t>Total Pass Through Revenue</t>
  </si>
  <si>
    <t>Operational and Maintenance Cost Adjustment</t>
  </si>
  <si>
    <t>Allowed Rate</t>
  </si>
  <si>
    <t>Previous Price Control Amount</t>
  </si>
  <si>
    <t>GLA</t>
  </si>
  <si>
    <t>Scheduled amount re previous price control</t>
  </si>
  <si>
    <t>Registered Power Zones Adjustment</t>
  </si>
  <si>
    <t>Cap on RPZ Revenue</t>
  </si>
  <si>
    <t>RPZ Incremental Incentive Rate</t>
  </si>
  <si>
    <t>RPZ DG Capacity Connected</t>
  </si>
  <si>
    <t>GCZ</t>
  </si>
  <si>
    <t>GC  (Total Incentivised Capacity of Relevant DG)</t>
  </si>
  <si>
    <t>Overall Incentive Revenue for Distributed Generation</t>
  </si>
  <si>
    <t>LCN2_collect</t>
  </si>
  <si>
    <t>LCN_Allowance</t>
  </si>
  <si>
    <t>Shetland Balancing Allowance included in base revenue</t>
  </si>
  <si>
    <t>LCN Allowance (First Tier)</t>
  </si>
  <si>
    <t>Allowed Pass-Through Items</t>
  </si>
  <si>
    <t>Low Carbon Networks Revenue</t>
  </si>
  <si>
    <t>Distributed Generation Incentive Revenue</t>
  </si>
  <si>
    <t>New transmission capacity charges payable</t>
  </si>
  <si>
    <t>NTC</t>
  </si>
  <si>
    <t>MeterES</t>
  </si>
  <si>
    <t>Business Rates Allowance</t>
  </si>
  <si>
    <t>Regulated Combined Distribution Network Revenue</t>
  </si>
  <si>
    <t>RDt</t>
  </si>
  <si>
    <t>RDt_1_2010-11</t>
  </si>
  <si>
    <t>RPI DPCR3 period</t>
  </si>
  <si>
    <t>0.5% of RDt</t>
  </si>
  <si>
    <t>[Sub-category 1]</t>
  </si>
  <si>
    <t>Sub Categories</t>
  </si>
  <si>
    <t>[Sub-category 2]</t>
  </si>
  <si>
    <t>[Sub-category 3]</t>
  </si>
  <si>
    <t>Balance of Revenue Provision Accounts</t>
  </si>
  <si>
    <t xml:space="preserve">Metering Excluded Services Breakdown </t>
  </si>
  <si>
    <t>Metering Excluded Services (per breakdown on Sheet RR7)</t>
  </si>
  <si>
    <t>Correction Factor (under recovery in previous year shown as negative value)</t>
  </si>
  <si>
    <t>Business rates adjustment</t>
  </si>
  <si>
    <t>Inset electricity distributor adjustment</t>
  </si>
  <si>
    <t>Transmission connection point charges adjustment</t>
  </si>
  <si>
    <t>TA</t>
  </si>
  <si>
    <t>TB</t>
  </si>
  <si>
    <t>Uncertain costs</t>
  </si>
  <si>
    <t>Other pass through items (includes Shetland balancing adjustment)</t>
  </si>
  <si>
    <t>Incentive Adjustments</t>
  </si>
  <si>
    <t>Distribution losses</t>
  </si>
  <si>
    <t>Quality of service</t>
  </si>
  <si>
    <t>New transmission capacity charges</t>
  </si>
  <si>
    <t>Innovation funding</t>
  </si>
  <si>
    <t>Revenue from works where no margin was allowable</t>
  </si>
  <si>
    <t>Revenue from works where a regulated margin was allowed</t>
  </si>
  <si>
    <t>Revenue from works where an unregulated margin was allowed</t>
  </si>
  <si>
    <t>Connections sub total</t>
  </si>
  <si>
    <t>First tier allowable expenditure</t>
  </si>
  <si>
    <t>Second tier (net adjustment to facilitate projects and awards)</t>
  </si>
  <si>
    <t>Incentive amount</t>
  </si>
  <si>
    <t>Return on passed through capex</t>
  </si>
  <si>
    <t>Operation and maintenance amount</t>
  </si>
  <si>
    <t>RPZ adjustment</t>
  </si>
  <si>
    <t>Metering</t>
  </si>
  <si>
    <t>Total Revenue from Charges for Legacy Metering Equipment</t>
  </si>
  <si>
    <t>De Minimis Activity Revenue</t>
  </si>
  <si>
    <t>ES_Total</t>
  </si>
  <si>
    <t>ES_1</t>
  </si>
  <si>
    <t>ES1 Connections</t>
  </si>
  <si>
    <t>ES2 Diversionary works under an obligation</t>
  </si>
  <si>
    <t>ES_2</t>
  </si>
  <si>
    <t>ES3 Works required by any alteration of premises</t>
  </si>
  <si>
    <t>ES_3</t>
  </si>
  <si>
    <t>ES_4</t>
  </si>
  <si>
    <t>ES4 Top-up, standby, and enhanced system security</t>
  </si>
  <si>
    <t>ES_5</t>
  </si>
  <si>
    <t>ES_6</t>
  </si>
  <si>
    <t>ES_7</t>
  </si>
  <si>
    <t>ES5 Revenue protection services</t>
  </si>
  <si>
    <t>ES7 Miscellaneous</t>
  </si>
  <si>
    <t>Total excluded services revenue</t>
  </si>
  <si>
    <t>High cost distribution areas assistance (negative term for SHEPD only)</t>
  </si>
  <si>
    <t>ES6 Metering Excluded Services</t>
  </si>
  <si>
    <t>March 2010</t>
  </si>
  <si>
    <t>Average Specified Rate</t>
  </si>
  <si>
    <t>Relevant DG connected</t>
  </si>
  <si>
    <t>Over/(Under) Recovery to be carried forward</t>
  </si>
  <si>
    <t xml:space="preserve">Revenue from Data Services </t>
  </si>
  <si>
    <t>MPAS and Data Transfer</t>
  </si>
  <si>
    <t>Data Services - MPAS &amp; Data Transfer</t>
  </si>
  <si>
    <t>DS</t>
  </si>
  <si>
    <t>Total Revenue from Data Services</t>
  </si>
  <si>
    <t>Total Revenue from Excluded Services</t>
  </si>
  <si>
    <t>Turnover/Revenue Total from Regulatory Accounts</t>
  </si>
  <si>
    <t>Reconciling Items:</t>
  </si>
  <si>
    <t>Connections Contributions not treated as revenue</t>
  </si>
  <si>
    <t>Revenue Return Total</t>
  </si>
  <si>
    <t>R1 Cover</t>
  </si>
  <si>
    <t>R2 Schematic</t>
  </si>
  <si>
    <t>R3 Version Log</t>
  </si>
  <si>
    <t>R4 Licence Condition Values</t>
  </si>
  <si>
    <t>R5 Input Page</t>
  </si>
  <si>
    <t>R7 Metering Inputs</t>
  </si>
  <si>
    <t>R9 Base Demand Revenue</t>
  </si>
  <si>
    <t>R10 Pass Throughs</t>
  </si>
  <si>
    <t>R12 Incentives</t>
  </si>
  <si>
    <t>R13 Low Carbon Networks</t>
  </si>
  <si>
    <t>R14 Distributed Generation</t>
  </si>
  <si>
    <t>R15 Correction Factor</t>
  </si>
  <si>
    <t>R16 Combined Allowed Distribution Network Revenue</t>
  </si>
  <si>
    <t>R17 Metering</t>
  </si>
  <si>
    <t>R18 Output Summary</t>
  </si>
  <si>
    <t>R19 Forecast Return due by 31 October:</t>
  </si>
  <si>
    <t>#</t>
  </si>
  <si>
    <r>
      <t>IFIE</t>
    </r>
    <r>
      <rPr>
        <vertAlign val="subscript"/>
        <sz val="10"/>
        <rFont val="Verdana"/>
        <family val="2"/>
      </rPr>
      <t>t</t>
    </r>
    <r>
      <rPr>
        <sz val="10"/>
        <rFont val="Verdana"/>
        <family val="2"/>
      </rPr>
      <t xml:space="preserve"> in 2009-10</t>
    </r>
  </si>
  <si>
    <t>Max charge</t>
  </si>
  <si>
    <t>Total revenue</t>
  </si>
  <si>
    <r>
      <t>MAPPC</t>
    </r>
    <r>
      <rPr>
        <vertAlign val="subscript"/>
        <sz val="10"/>
        <rFont val="Verdana"/>
        <family val="2"/>
      </rPr>
      <t>t</t>
    </r>
  </si>
  <si>
    <r>
      <t>MEAP</t>
    </r>
    <r>
      <rPr>
        <vertAlign val="subscript"/>
        <sz val="10"/>
        <rFont val="Verdana"/>
        <family val="2"/>
      </rPr>
      <t>i</t>
    </r>
    <r>
      <rPr>
        <sz val="10"/>
        <rFont val="Verdana"/>
        <family val="2"/>
      </rPr>
      <t xml:space="preserve"> Value</t>
    </r>
  </si>
  <si>
    <r>
      <t>ELA</t>
    </r>
    <r>
      <rPr>
        <vertAlign val="subscript"/>
        <sz val="10"/>
        <rFont val="Verdana"/>
        <family val="2"/>
      </rPr>
      <t>i</t>
    </r>
    <r>
      <rPr>
        <sz val="10"/>
        <rFont val="Verdana"/>
        <family val="2"/>
      </rPr>
      <t xml:space="preserve"> Value</t>
    </r>
  </si>
  <si>
    <t>Sub-total of revenue - other types of meter</t>
  </si>
  <si>
    <t>ES_total</t>
  </si>
  <si>
    <t>RPI_DPCR3</t>
  </si>
  <si>
    <r>
      <t>RD</t>
    </r>
    <r>
      <rPr>
        <vertAlign val="subscript"/>
        <sz val="10"/>
        <color indexed="8"/>
        <rFont val="Verdana"/>
        <family val="2"/>
      </rPr>
      <t>t</t>
    </r>
  </si>
  <si>
    <r>
      <t>RD</t>
    </r>
    <r>
      <rPr>
        <vertAlign val="subscript"/>
        <sz val="10"/>
        <color indexed="8"/>
        <rFont val="Verdana"/>
        <family val="2"/>
      </rPr>
      <t>t-1</t>
    </r>
  </si>
  <si>
    <r>
      <t>0.5 x 0.5% of RD</t>
    </r>
    <r>
      <rPr>
        <vertAlign val="subscript"/>
        <sz val="10"/>
        <rFont val="Verdana"/>
        <family val="2"/>
      </rPr>
      <t>t</t>
    </r>
  </si>
  <si>
    <r>
      <t>0.5 x 0.005 x RD</t>
    </r>
    <r>
      <rPr>
        <vertAlign val="subscript"/>
        <sz val="10"/>
        <rFont val="Verdana"/>
        <family val="2"/>
      </rPr>
      <t>t-1</t>
    </r>
  </si>
  <si>
    <r>
      <t>(0.005 x RD</t>
    </r>
    <r>
      <rPr>
        <vertAlign val="subscript"/>
        <sz val="10"/>
        <rFont val="Verdana"/>
        <family val="2"/>
      </rPr>
      <t>t-1</t>
    </r>
    <r>
      <rPr>
        <sz val="10"/>
        <rFont val="Verdana"/>
        <family val="2"/>
      </rPr>
      <t>)-IFIE</t>
    </r>
    <r>
      <rPr>
        <vertAlign val="subscript"/>
        <sz val="10"/>
        <rFont val="Verdana"/>
        <family val="2"/>
      </rPr>
      <t>t-1</t>
    </r>
  </si>
  <si>
    <r>
      <t>TA</t>
    </r>
    <r>
      <rPr>
        <vertAlign val="subscript"/>
        <sz val="10"/>
        <color indexed="8"/>
        <rFont val="Verdana"/>
        <family val="2"/>
      </rPr>
      <t>t</t>
    </r>
  </si>
  <si>
    <r>
      <t>TP</t>
    </r>
    <r>
      <rPr>
        <vertAlign val="subscript"/>
        <sz val="10"/>
        <color indexed="8"/>
        <rFont val="Verdana"/>
        <family val="2"/>
      </rPr>
      <t>t</t>
    </r>
  </si>
  <si>
    <r>
      <t>TB</t>
    </r>
    <r>
      <rPr>
        <vertAlign val="subscript"/>
        <sz val="10"/>
        <color indexed="8"/>
        <rFont val="Verdana"/>
        <family val="2"/>
      </rPr>
      <t>t</t>
    </r>
  </si>
  <si>
    <r>
      <t>K</t>
    </r>
    <r>
      <rPr>
        <vertAlign val="subscript"/>
        <sz val="10"/>
        <rFont val="Verdana"/>
        <family val="2"/>
      </rPr>
      <t>t</t>
    </r>
  </si>
  <si>
    <r>
      <t>IG</t>
    </r>
    <r>
      <rPr>
        <vertAlign val="subscript"/>
        <sz val="10"/>
        <rFont val="Verdana"/>
        <family val="2"/>
      </rPr>
      <t>t</t>
    </r>
  </si>
  <si>
    <r>
      <t>LCN</t>
    </r>
    <r>
      <rPr>
        <vertAlign val="subscript"/>
        <sz val="10"/>
        <rFont val="Verdana"/>
        <family val="2"/>
      </rPr>
      <t>t</t>
    </r>
  </si>
  <si>
    <r>
      <t>IP</t>
    </r>
    <r>
      <rPr>
        <vertAlign val="subscript"/>
        <sz val="10"/>
        <color indexed="8"/>
        <rFont val="Verdana"/>
        <family val="2"/>
      </rPr>
      <t>t</t>
    </r>
  </si>
  <si>
    <r>
      <t>PT</t>
    </r>
    <r>
      <rPr>
        <vertAlign val="subscript"/>
        <sz val="10"/>
        <color indexed="8"/>
        <rFont val="Verdana"/>
        <family val="2"/>
      </rPr>
      <t>t</t>
    </r>
  </si>
  <si>
    <r>
      <t>BR</t>
    </r>
    <r>
      <rPr>
        <vertAlign val="subscript"/>
        <sz val="10"/>
        <color indexed="8"/>
        <rFont val="Verdana"/>
        <family val="2"/>
      </rPr>
      <t>t</t>
    </r>
  </si>
  <si>
    <r>
      <t>BR</t>
    </r>
    <r>
      <rPr>
        <vertAlign val="subscript"/>
        <sz val="10"/>
        <rFont val="Verdana"/>
        <family val="2"/>
      </rPr>
      <t>t</t>
    </r>
  </si>
  <si>
    <r>
      <t>PT</t>
    </r>
    <r>
      <rPr>
        <b/>
        <vertAlign val="subscript"/>
        <sz val="10"/>
        <rFont val="Verdana"/>
        <family val="2"/>
      </rPr>
      <t>t</t>
    </r>
  </si>
  <si>
    <r>
      <t>IP</t>
    </r>
    <r>
      <rPr>
        <b/>
        <vertAlign val="subscript"/>
        <sz val="10"/>
        <rFont val="Verdana"/>
        <family val="2"/>
      </rPr>
      <t>t</t>
    </r>
  </si>
  <si>
    <r>
      <t>PT</t>
    </r>
    <r>
      <rPr>
        <vertAlign val="subscript"/>
        <sz val="10"/>
        <rFont val="Verdana"/>
        <family val="2"/>
      </rPr>
      <t>t</t>
    </r>
  </si>
  <si>
    <r>
      <t>IP</t>
    </r>
    <r>
      <rPr>
        <vertAlign val="subscript"/>
        <sz val="10"/>
        <rFont val="Verdana"/>
        <family val="2"/>
      </rPr>
      <t>t</t>
    </r>
  </si>
  <si>
    <t>Rev_SRCM</t>
  </si>
  <si>
    <t>MRSPCM</t>
  </si>
  <si>
    <t>PPSRWCM</t>
  </si>
  <si>
    <t>PPMRWCM</t>
  </si>
  <si>
    <t>MRSPPM</t>
  </si>
  <si>
    <t>NHHCTM</t>
  </si>
  <si>
    <t>Chg_SRCM</t>
  </si>
  <si>
    <t>Chg_TPPM</t>
  </si>
  <si>
    <t>Chg_LPPM</t>
  </si>
  <si>
    <t>Chg_SPPM</t>
  </si>
  <si>
    <t>Chg_MRSPCM</t>
  </si>
  <si>
    <t>Chg_MRSPPM</t>
  </si>
  <si>
    <t>Chg_PPSRWCM</t>
  </si>
  <si>
    <t>Chg_PPMRWCM</t>
  </si>
  <si>
    <t>Chg_NHHCTM</t>
  </si>
  <si>
    <t>These check cells show "ok" if the actual charge is less than or equal to the allowed charge, otherwise they show "error".</t>
  </si>
  <si>
    <r>
      <t>RD</t>
    </r>
    <r>
      <rPr>
        <vertAlign val="subscript"/>
        <sz val="10"/>
        <rFont val="Verdana"/>
        <family val="2"/>
      </rPr>
      <t>t-1</t>
    </r>
    <r>
      <rPr>
        <sz val="10"/>
        <rFont val="Verdana"/>
        <family val="2"/>
      </rPr>
      <t xml:space="preserve"> in relation to 2010-11</t>
    </r>
  </si>
  <si>
    <t>Reconciled total revenue</t>
  </si>
  <si>
    <t>Difference</t>
  </si>
  <si>
    <t>Check reconciliation reconciles</t>
  </si>
  <si>
    <r>
      <t>IED</t>
    </r>
    <r>
      <rPr>
        <vertAlign val="subscript"/>
        <sz val="10"/>
        <rFont val="Verdana"/>
        <family val="2"/>
      </rPr>
      <t>t</t>
    </r>
  </si>
  <si>
    <t>PCOLt_1</t>
  </si>
  <si>
    <t>RDt_1</t>
  </si>
  <si>
    <t>RD</t>
  </si>
  <si>
    <r>
      <t xml:space="preserve">[ Miscellaneous Excluded Service </t>
    </r>
    <r>
      <rPr>
        <sz val="10"/>
        <color indexed="23"/>
        <rFont val="Verdana"/>
        <family val="2"/>
      </rPr>
      <t>4</t>
    </r>
    <r>
      <rPr>
        <sz val="10"/>
        <rFont val="Verdana"/>
        <family val="2"/>
      </rPr>
      <t xml:space="preserve"> ]</t>
    </r>
  </si>
  <si>
    <r>
      <t xml:space="preserve">[ Miscellaneous Excluded Service </t>
    </r>
    <r>
      <rPr>
        <sz val="10"/>
        <color indexed="23"/>
        <rFont val="Verdana"/>
        <family val="2"/>
      </rPr>
      <t>5</t>
    </r>
    <r>
      <rPr>
        <sz val="10"/>
        <rFont val="Verdana"/>
        <family val="2"/>
      </rPr>
      <t xml:space="preserve"> ]</t>
    </r>
  </si>
  <si>
    <r>
      <t xml:space="preserve">[ Miscellaneous Excluded Service </t>
    </r>
    <r>
      <rPr>
        <sz val="10"/>
        <color indexed="23"/>
        <rFont val="Verdana"/>
        <family val="2"/>
      </rPr>
      <t>1</t>
    </r>
    <r>
      <rPr>
        <sz val="10"/>
        <rFont val="Verdana"/>
        <family val="2"/>
      </rPr>
      <t xml:space="preserve"> ]</t>
    </r>
  </si>
  <si>
    <r>
      <t xml:space="preserve">[ Miscellaneous Excluded Service </t>
    </r>
    <r>
      <rPr>
        <sz val="10"/>
        <color indexed="23"/>
        <rFont val="Verdana"/>
        <family val="2"/>
      </rPr>
      <t>2</t>
    </r>
    <r>
      <rPr>
        <sz val="10"/>
        <rFont val="Verdana"/>
        <family val="2"/>
      </rPr>
      <t xml:space="preserve"> ]</t>
    </r>
  </si>
  <si>
    <r>
      <t xml:space="preserve">[ Miscellaneous Excluded Service </t>
    </r>
    <r>
      <rPr>
        <sz val="10"/>
        <color indexed="23"/>
        <rFont val="Verdana"/>
        <family val="2"/>
      </rPr>
      <t>3</t>
    </r>
    <r>
      <rPr>
        <sz val="10"/>
        <rFont val="Verdana"/>
        <family val="2"/>
      </rPr>
      <t xml:space="preserve"> ]</t>
    </r>
  </si>
  <si>
    <r>
      <t xml:space="preserve">[ Miscellaneous Excluded Service </t>
    </r>
    <r>
      <rPr>
        <sz val="10"/>
        <color indexed="23"/>
        <rFont val="Verdana"/>
        <family val="2"/>
      </rPr>
      <t>7</t>
    </r>
    <r>
      <rPr>
        <sz val="10"/>
        <rFont val="Verdana"/>
        <family val="2"/>
      </rPr>
      <t xml:space="preserve"> ]</t>
    </r>
  </si>
  <si>
    <r>
      <t xml:space="preserve">[ Miscellaneous Excluded Service </t>
    </r>
    <r>
      <rPr>
        <sz val="10"/>
        <color indexed="23"/>
        <rFont val="Verdana"/>
        <family val="2"/>
      </rPr>
      <t>8</t>
    </r>
    <r>
      <rPr>
        <sz val="10"/>
        <rFont val="Verdana"/>
        <family val="2"/>
      </rPr>
      <t xml:space="preserve"> ]</t>
    </r>
  </si>
  <si>
    <r>
      <t xml:space="preserve">[ Miscellaneous Excluded Service </t>
    </r>
    <r>
      <rPr>
        <sz val="10"/>
        <color indexed="23"/>
        <rFont val="Verdana"/>
        <family val="2"/>
      </rPr>
      <t xml:space="preserve">6 </t>
    </r>
    <r>
      <rPr>
        <sz val="10"/>
        <rFont val="Verdana"/>
        <family val="2"/>
      </rPr>
      <t>]</t>
    </r>
  </si>
  <si>
    <t>Total Miscellaneous</t>
  </si>
  <si>
    <r>
      <t xml:space="preserve">[ Activity - </t>
    </r>
    <r>
      <rPr>
        <sz val="10"/>
        <color indexed="23"/>
        <rFont val="Verdana"/>
        <family val="2"/>
      </rPr>
      <t>1</t>
    </r>
    <r>
      <rPr>
        <sz val="10"/>
        <rFont val="Verdana"/>
        <family val="2"/>
      </rPr>
      <t xml:space="preserve"> ]</t>
    </r>
  </si>
  <si>
    <r>
      <t xml:space="preserve">[ Activity - </t>
    </r>
    <r>
      <rPr>
        <sz val="10"/>
        <color indexed="23"/>
        <rFont val="Verdana"/>
        <family val="2"/>
      </rPr>
      <t>2</t>
    </r>
    <r>
      <rPr>
        <sz val="10"/>
        <rFont val="Verdana"/>
        <family val="2"/>
      </rPr>
      <t xml:space="preserve"> ]</t>
    </r>
  </si>
  <si>
    <r>
      <t xml:space="preserve">[ Activity - </t>
    </r>
    <r>
      <rPr>
        <sz val="10"/>
        <color indexed="23"/>
        <rFont val="Verdana"/>
        <family val="2"/>
      </rPr>
      <t>3</t>
    </r>
    <r>
      <rPr>
        <sz val="10"/>
        <rFont val="Verdana"/>
        <family val="2"/>
      </rPr>
      <t xml:space="preserve"> ]</t>
    </r>
  </si>
  <si>
    <r>
      <t xml:space="preserve">[ Activity - </t>
    </r>
    <r>
      <rPr>
        <sz val="10"/>
        <color indexed="23"/>
        <rFont val="Verdana"/>
        <family val="2"/>
      </rPr>
      <t>4</t>
    </r>
    <r>
      <rPr>
        <sz val="10"/>
        <rFont val="Verdana"/>
        <family val="2"/>
      </rPr>
      <t xml:space="preserve"> ]</t>
    </r>
  </si>
  <si>
    <r>
      <t xml:space="preserve">[ Activity - </t>
    </r>
    <r>
      <rPr>
        <sz val="10"/>
        <color indexed="23"/>
        <rFont val="Verdana"/>
        <family val="2"/>
      </rPr>
      <t>5</t>
    </r>
    <r>
      <rPr>
        <sz val="10"/>
        <rFont val="Verdana"/>
        <family val="2"/>
      </rPr>
      <t xml:space="preserve"> ]</t>
    </r>
  </si>
  <si>
    <r>
      <t xml:space="preserve">[ Activity - </t>
    </r>
    <r>
      <rPr>
        <sz val="10"/>
        <color indexed="23"/>
        <rFont val="Verdana"/>
        <family val="2"/>
      </rPr>
      <t>6</t>
    </r>
    <r>
      <rPr>
        <sz val="10"/>
        <rFont val="Verdana"/>
        <family val="2"/>
      </rPr>
      <t xml:space="preserve"> ]</t>
    </r>
  </si>
  <si>
    <r>
      <t xml:space="preserve">[ Activity - </t>
    </r>
    <r>
      <rPr>
        <sz val="10"/>
        <color indexed="23"/>
        <rFont val="Verdana"/>
        <family val="2"/>
      </rPr>
      <t>8</t>
    </r>
    <r>
      <rPr>
        <sz val="10"/>
        <rFont val="Verdana"/>
        <family val="2"/>
      </rPr>
      <t xml:space="preserve"> ]</t>
    </r>
  </si>
  <si>
    <r>
      <t xml:space="preserve">[ Activity - </t>
    </r>
    <r>
      <rPr>
        <sz val="10"/>
        <color indexed="23"/>
        <rFont val="Verdana"/>
        <family val="2"/>
      </rPr>
      <t>9</t>
    </r>
    <r>
      <rPr>
        <sz val="10"/>
        <rFont val="Verdana"/>
        <family val="2"/>
      </rPr>
      <t xml:space="preserve"> ]</t>
    </r>
  </si>
  <si>
    <r>
      <t xml:space="preserve">[ Activity - </t>
    </r>
    <r>
      <rPr>
        <sz val="10"/>
        <color indexed="23"/>
        <rFont val="Verdana"/>
        <family val="2"/>
      </rPr>
      <t>10</t>
    </r>
    <r>
      <rPr>
        <sz val="10"/>
        <rFont val="Verdana"/>
        <family val="2"/>
      </rPr>
      <t>]</t>
    </r>
  </si>
  <si>
    <r>
      <t xml:space="preserve">[ Activity - </t>
    </r>
    <r>
      <rPr>
        <sz val="10"/>
        <color indexed="23"/>
        <rFont val="Verdana"/>
        <family val="2"/>
      </rPr>
      <t xml:space="preserve">7 </t>
    </r>
    <r>
      <rPr>
        <sz val="10"/>
        <rFont val="Verdana"/>
        <family val="2"/>
      </rPr>
      <t>]</t>
    </r>
  </si>
  <si>
    <r>
      <t xml:space="preserve">Screenshots of the worksheets in this workbook are given in the </t>
    </r>
    <r>
      <rPr>
        <i/>
        <sz val="10"/>
        <rFont val="Verdana"/>
        <family val="2"/>
      </rPr>
      <t>Instructions for completing revenue reporting</t>
    </r>
    <r>
      <rPr>
        <sz val="10"/>
        <rFont val="Verdana"/>
        <family val="2"/>
      </rPr>
      <t xml:space="preserve"> section of the Cost and Revenue Reporting RIGs
Note:  In the event of any inconsistency, the licence conditions and then the RIGs take precedence.  Any inconsistencies with the licence conditions should be reported to Ofgem straight away.</t>
    </r>
  </si>
  <si>
    <r>
      <t>PIAD</t>
    </r>
    <r>
      <rPr>
        <vertAlign val="subscript"/>
        <sz val="10"/>
        <rFont val="Verdana"/>
        <family val="2"/>
      </rPr>
      <t>t</t>
    </r>
  </si>
  <si>
    <t>PIAD</t>
  </si>
  <si>
    <t>PIAB &amp; PIAH</t>
  </si>
  <si>
    <t>PIAB_PIAH</t>
  </si>
  <si>
    <t>PIAP</t>
  </si>
  <si>
    <t>Total excluded services</t>
  </si>
  <si>
    <t>Reporting_year</t>
  </si>
  <si>
    <t xml:space="preserve">This workbook incoporates the detailed and forecast returns referred to in Standard Condition 47 of the Electricity Distribution Licence.  Worksheets R1 to R18 make up 'Template A' and worksheet R19 is 'Template B' 
</t>
  </si>
  <si>
    <t>Over Recovery exceeding 3%</t>
  </si>
  <si>
    <t>Under Recovery exceeding 3%</t>
  </si>
  <si>
    <t>Over Recovery between 0 and 3%</t>
  </si>
  <si>
    <t>Under Recovery between 0 and 3%</t>
  </si>
  <si>
    <t>Business rates payments</t>
  </si>
  <si>
    <t>Miscellaneous pass through</t>
  </si>
  <si>
    <t>Transmission connection point charges</t>
  </si>
  <si>
    <t>Out_Area_UoS</t>
  </si>
  <si>
    <t>Out_Area_Other</t>
  </si>
  <si>
    <t>R8 Reconciliation of Turnover to Regulatory Accounts</t>
  </si>
  <si>
    <t>Interest rate in year t-1</t>
  </si>
  <si>
    <t>Eligible Capex</t>
  </si>
  <si>
    <t>Previous price control period adjustment</t>
  </si>
  <si>
    <t>Net Amount to be Collected by Licensee iaw Authority Direction</t>
  </si>
  <si>
    <t>Row above shows "caution" if allowable expenditure exceeds LCN1 allowance</t>
  </si>
  <si>
    <t>LCN3_unrec</t>
  </si>
  <si>
    <t>First tier non-recoverable deduction</t>
  </si>
  <si>
    <t>Out of Area Networks</t>
  </si>
  <si>
    <t>De Minimis</t>
  </si>
  <si>
    <t>Price Index Adjusters</t>
  </si>
  <si>
    <t>PIAO</t>
  </si>
  <si>
    <t>[Descriptor 5]</t>
  </si>
  <si>
    <t>[Descriptor 4]</t>
  </si>
  <si>
    <t>[Descriptor 3]</t>
  </si>
  <si>
    <t>[Descriptor 1]</t>
  </si>
  <si>
    <t>[Descriptor 2]</t>
  </si>
  <si>
    <t>GIZ</t>
  </si>
  <si>
    <t>Assistance for high-cost distribution areas</t>
  </si>
  <si>
    <t>GT (Amount of Capex transferred from the DG incentive scheme)</t>
  </si>
  <si>
    <t>GPS (Amount of Use of System Capex for DG)</t>
  </si>
  <si>
    <t>GCZ (RPZ DG Capacity)</t>
  </si>
  <si>
    <r>
      <t>I</t>
    </r>
    <r>
      <rPr>
        <vertAlign val="subscript"/>
        <sz val="10"/>
        <rFont val="Verdana"/>
        <family val="2"/>
      </rPr>
      <t>t</t>
    </r>
  </si>
  <si>
    <r>
      <t>Ud</t>
    </r>
    <r>
      <rPr>
        <vertAlign val="subscript"/>
        <sz val="10"/>
        <rFont val="Verdana"/>
        <family val="2"/>
      </rPr>
      <t>t</t>
    </r>
  </si>
  <si>
    <r>
      <t>NTC</t>
    </r>
    <r>
      <rPr>
        <vertAlign val="subscript"/>
        <sz val="10"/>
        <rFont val="Verdana"/>
        <family val="2"/>
      </rPr>
      <t>t</t>
    </r>
  </si>
  <si>
    <r>
      <t>LCN1</t>
    </r>
    <r>
      <rPr>
        <vertAlign val="subscript"/>
        <sz val="10"/>
        <rFont val="Verdana"/>
        <family val="2"/>
      </rPr>
      <t>t</t>
    </r>
  </si>
  <si>
    <r>
      <t>LCN3</t>
    </r>
    <r>
      <rPr>
        <vertAlign val="subscript"/>
        <sz val="10"/>
        <rFont val="Verdana"/>
        <family val="2"/>
      </rPr>
      <t>t</t>
    </r>
  </si>
  <si>
    <r>
      <t>LCN2</t>
    </r>
    <r>
      <rPr>
        <vertAlign val="subscript"/>
        <sz val="10"/>
        <rFont val="Verdana"/>
        <family val="2"/>
      </rPr>
      <t>t</t>
    </r>
  </si>
  <si>
    <r>
      <t>RD</t>
    </r>
    <r>
      <rPr>
        <vertAlign val="subscript"/>
        <sz val="10"/>
        <rFont val="Verdana"/>
        <family val="2"/>
      </rPr>
      <t>t</t>
    </r>
  </si>
  <si>
    <r>
      <t>AR</t>
    </r>
    <r>
      <rPr>
        <vertAlign val="subscript"/>
        <sz val="10"/>
        <color indexed="8"/>
        <rFont val="Verdana"/>
        <family val="2"/>
      </rPr>
      <t>t</t>
    </r>
  </si>
  <si>
    <r>
      <t>AR</t>
    </r>
    <r>
      <rPr>
        <vertAlign val="subscript"/>
        <sz val="10"/>
        <color indexed="8"/>
        <rFont val="Verdana"/>
        <family val="2"/>
      </rPr>
      <t>t-1</t>
    </r>
  </si>
  <si>
    <r>
      <t>AR</t>
    </r>
    <r>
      <rPr>
        <vertAlign val="subscript"/>
        <sz val="10"/>
        <rFont val="Verdana"/>
        <family val="2"/>
      </rPr>
      <t>t-1</t>
    </r>
    <r>
      <rPr>
        <sz val="10"/>
        <rFont val="Verdana"/>
        <family val="2"/>
      </rPr>
      <t xml:space="preserve"> in relation to 2010-11</t>
    </r>
  </si>
  <si>
    <t>ARt_1_2010_11</t>
  </si>
  <si>
    <t>ARt_1</t>
  </si>
  <si>
    <t>AR</t>
  </si>
  <si>
    <t>Connection Activities Adjustments</t>
  </si>
  <si>
    <t>Adjustment for clawback direction sums unpaid after 12 months</t>
  </si>
  <si>
    <t>Adjustment re performance standards payments in excess of exposure cap</t>
  </si>
  <si>
    <r>
      <t>CGSRA</t>
    </r>
    <r>
      <rPr>
        <vertAlign val="subscript"/>
        <sz val="10"/>
        <rFont val="Verdana"/>
        <family val="2"/>
      </rPr>
      <t>t</t>
    </r>
  </si>
  <si>
    <r>
      <t>CGSSP</t>
    </r>
    <r>
      <rPr>
        <vertAlign val="subscript"/>
        <sz val="10"/>
        <rFont val="Verdana"/>
        <family val="2"/>
      </rPr>
      <t>t</t>
    </r>
  </si>
  <si>
    <r>
      <t>AUM</t>
    </r>
    <r>
      <rPr>
        <vertAlign val="subscript"/>
        <sz val="10"/>
        <rFont val="Verdana"/>
        <family val="2"/>
      </rPr>
      <t>t</t>
    </r>
  </si>
  <si>
    <t>AUM</t>
  </si>
  <si>
    <t>CGSSP</t>
  </si>
  <si>
    <t>CGSRA</t>
  </si>
  <si>
    <t>Unpaid Clawback Sums</t>
  </si>
  <si>
    <t>Connection Performance Systems Verification</t>
  </si>
  <si>
    <t>Performance Standards Payments in Excess of Cap</t>
  </si>
  <si>
    <r>
      <t>AR</t>
    </r>
    <r>
      <rPr>
        <b/>
        <vertAlign val="subscript"/>
        <sz val="10"/>
        <color indexed="8"/>
        <rFont val="Verdana"/>
        <family val="2"/>
      </rPr>
      <t>t</t>
    </r>
  </si>
  <si>
    <r>
      <t>AR</t>
    </r>
    <r>
      <rPr>
        <vertAlign val="subscript"/>
        <sz val="10"/>
        <rFont val="Verdana"/>
        <family val="2"/>
      </rPr>
      <t>t</t>
    </r>
  </si>
  <si>
    <t>Maxium charge levied as reported by DNO</t>
  </si>
  <si>
    <t>Chg_KPPM</t>
  </si>
  <si>
    <t>EPt</t>
  </si>
  <si>
    <t>Annual costs of contracts with third party generators</t>
  </si>
  <si>
    <t>Cost of fuel purchased for use by Lerwick Power Station</t>
  </si>
  <si>
    <t>Cost of environmental permits for generation on Shetland</t>
  </si>
  <si>
    <t>Income from units purchased by suppliers re generation on Shetland</t>
  </si>
  <si>
    <t>Total quality of service Incentive</t>
  </si>
  <si>
    <t>Inset Electricity Distributor Revenue (EDFE LPN only)</t>
  </si>
  <si>
    <t>May 2010</t>
  </si>
  <si>
    <t>Version incorporating responses from DPCR5 RIGs consultation</t>
  </si>
  <si>
    <t>Reg Yr ending 31 March:</t>
  </si>
  <si>
    <t>Reg Yr ending 31 Mar:</t>
  </si>
  <si>
    <t>June 2010</t>
  </si>
  <si>
    <t>Formula corrections (R14)</t>
  </si>
  <si>
    <t>LCN Fund Allowable First Tier Expenditure (LCN1)</t>
  </si>
  <si>
    <t>April 2011</t>
  </si>
  <si>
    <t>May 2011</t>
  </si>
  <si>
    <t>RPI and interest rate for 2010-11 (R5)</t>
  </si>
  <si>
    <t>LCN Fund Allowable First Tier Expenditure (LCN1) wording amended (R13)</t>
  </si>
  <si>
    <t>June 2011</t>
  </si>
  <si>
    <t>Ofgem Licence Fee Allowance</t>
  </si>
  <si>
    <t>Shetland Balancing Costs</t>
  </si>
  <si>
    <t>DNO Name</t>
  </si>
  <si>
    <t>LCN Fund Allowable First Tier Expenditure</t>
  </si>
  <si>
    <t>Ofgem Licence fee payments</t>
  </si>
  <si>
    <t>Out of Area Networks - Other</t>
  </si>
  <si>
    <t>R6 Losses DG Adjustment</t>
  </si>
  <si>
    <t>R11 Losses DG Adjustment</t>
  </si>
  <si>
    <t>LCN Fund First Tier Allowance</t>
  </si>
  <si>
    <t>Ofgem Licence fee adjustment</t>
  </si>
  <si>
    <t>Ofgem Licence Fees</t>
  </si>
  <si>
    <t>Ofgem Licence Fee Payments Allowance (2007-08 prices)</t>
  </si>
  <si>
    <t>Ofgem Licence Fee Payments Allowance (indexed)</t>
  </si>
  <si>
    <t>Ofgem Licence Fee Payments</t>
  </si>
  <si>
    <t>Ofgem Licence Fee Adjustment</t>
  </si>
  <si>
    <t>Innovation Funding</t>
  </si>
  <si>
    <t>Revenue from Out of Area Networks - Use of System</t>
  </si>
  <si>
    <t>Revenue from Out of Area Networks - Other</t>
  </si>
  <si>
    <t>Out of Area Networks - Use of System</t>
  </si>
  <si>
    <t>System Entry Volumes in year t-2</t>
  </si>
  <si>
    <t>Units Distributed in year t-2</t>
  </si>
  <si>
    <r>
      <t xml:space="preserve">Units Distributed </t>
    </r>
    <r>
      <rPr>
        <b/>
        <sz val="10"/>
        <rFont val="Verdana"/>
        <family val="2"/>
      </rPr>
      <t>in year t-2</t>
    </r>
  </si>
  <si>
    <r>
      <t xml:space="preserve">System Entry Volumes </t>
    </r>
    <r>
      <rPr>
        <b/>
        <sz val="10"/>
        <rFont val="Verdana"/>
        <family val="2"/>
      </rPr>
      <t>in year t-2</t>
    </r>
  </si>
  <si>
    <t>LCN Fund Unrecoverable First Tier Project Expenditure (LCN3)</t>
  </si>
  <si>
    <r>
      <t xml:space="preserve">LCN Fund Unrecoverable First Tier Project Expenditure </t>
    </r>
    <r>
      <rPr>
        <sz val="9"/>
        <rFont val="Verdana"/>
        <family val="2"/>
      </rPr>
      <t>(amount in Authority Direction as a positive value)</t>
    </r>
  </si>
  <si>
    <t>Changed various category labels for consistency with other RIGS documents - TW</t>
  </si>
  <si>
    <t>Regulatory Year</t>
  </si>
  <si>
    <r>
      <t>Inset Electricity Distributor Amount IEDA</t>
    </r>
    <r>
      <rPr>
        <vertAlign val="subscript"/>
        <sz val="10"/>
        <rFont val="Verdana"/>
        <family val="2"/>
      </rPr>
      <t>t</t>
    </r>
    <r>
      <rPr>
        <sz val="10"/>
        <rFont val="Verdana"/>
        <family val="2"/>
      </rPr>
      <t xml:space="preserve"> (EDFE LPN only)</t>
    </r>
  </si>
  <si>
    <t>Adjustment re failure to provide connection performance systems verification</t>
  </si>
  <si>
    <t>Company Name of Electricity Distribution Network Operator Limited</t>
  </si>
  <si>
    <t>cells containing a value specific to a Licensee</t>
  </si>
  <si>
    <t>Regulatory Year ending 31 March 2012</t>
  </si>
  <si>
    <t>Jan 2012</t>
  </si>
  <si>
    <t>RPI and interest rate for 2011-12 (R5)</t>
  </si>
  <si>
    <t>Feb 2012</t>
  </si>
  <si>
    <t>CTRAt Tax trigger mod in Authority decision doc 147/09 published 7 December 2009</t>
  </si>
  <si>
    <t>Tax Trigger</t>
  </si>
  <si>
    <t>Adjustment under the tax trigger mechanism</t>
  </si>
  <si>
    <t>CTRA</t>
  </si>
  <si>
    <r>
      <t>CTRA</t>
    </r>
    <r>
      <rPr>
        <vertAlign val="subscript"/>
        <sz val="10"/>
        <rFont val="Verdana"/>
        <family val="2"/>
      </rPr>
      <t>t</t>
    </r>
  </si>
  <si>
    <t>Term</t>
  </si>
  <si>
    <t>27 June 2011</t>
  </si>
  <si>
    <t>2.04a</t>
  </si>
  <si>
    <t>Interest Rate Adjustment (PRt) for 2010-11 set for some DNOs in decision letter on relief from penalty interest</t>
  </si>
  <si>
    <t>LCN Fund Second Tier - Royalties</t>
  </si>
  <si>
    <t>LCN Fund Second Tier and Discretionary Funding Mechanism</t>
  </si>
  <si>
    <t xml:space="preserve"> Amounts to be recovered by each DSP as determined by the authority under CRC 13 in relation to:</t>
  </si>
  <si>
    <t>(a) LCN Second Tier - Second Tier Funding</t>
  </si>
  <si>
    <t>LCN2_Funding</t>
  </si>
  <si>
    <t>(b) LCN Second Tier - Discretionary Funding</t>
  </si>
  <si>
    <t>LCN2_Discret</t>
  </si>
  <si>
    <t>(c) LCN Second Tier - Halted Project Revenues</t>
  </si>
  <si>
    <t>LCN2_Halt</t>
  </si>
  <si>
    <t>(d) LCN Second Tier - Disallowed Expenditure</t>
  </si>
  <si>
    <t>LCN2_Disallow</t>
  </si>
  <si>
    <t>(e) LCN Second Tier - Returned LCN Fund Royalties</t>
  </si>
  <si>
    <t>LCN2_Ry_Cus</t>
  </si>
  <si>
    <t>LCN Fund Second Tier and Discretionary Funding Mechanism total</t>
  </si>
  <si>
    <t>LCN Fund Second Tier Royalties</t>
  </si>
  <si>
    <t xml:space="preserve">Memo items </t>
  </si>
  <si>
    <t>see LCN governance document for details</t>
  </si>
  <si>
    <t>LCN Fund Second Tier Royalties: Gross</t>
  </si>
  <si>
    <t>Gross Royalties Project 1 (RRtk)</t>
  </si>
  <si>
    <t>Gross Royalties Project 2 (RRtk)</t>
  </si>
  <si>
    <t>Gross Royalties Project 3 (RRtk)</t>
  </si>
  <si>
    <t>Gross Royalties Project 4 (RRtk)</t>
  </si>
  <si>
    <t>Gross Royalties Project 5 (RRtk)</t>
  </si>
  <si>
    <t>Gross Royalties All Projects</t>
  </si>
  <si>
    <t>LCN Fund Second Tier Royalties: Directly attributable costs</t>
  </si>
  <si>
    <t>Directly attributable costs Project 1 (RRtk)</t>
  </si>
  <si>
    <t>Directly attributable costs Project 2 (RRtk)</t>
  </si>
  <si>
    <t>Directly attributable costs Project 3 (RRtk)</t>
  </si>
  <si>
    <t>Directly attributable costs Project 4 (RRtk)</t>
  </si>
  <si>
    <t>Directly attributable costs Project 5 (RRtk)</t>
  </si>
  <si>
    <t>Directly attributable costs All Projects</t>
  </si>
  <si>
    <t>LCN Fund Second Tier Net Royalties: Net</t>
  </si>
  <si>
    <t>Net Royalties Project 1 (RRtk)</t>
  </si>
  <si>
    <t>Net Royalties Project 2 (RRtk)</t>
  </si>
  <si>
    <t>Net Royalties Project 3 (RRtk)</t>
  </si>
  <si>
    <t>Net Royalties Project 4 (RRtk)</t>
  </si>
  <si>
    <t>Net Royalties Project 5 (RRtk)</t>
  </si>
  <si>
    <t>Net Royalties All Projects</t>
  </si>
  <si>
    <t>Second Tier - share of royalties retained by DNO</t>
  </si>
  <si>
    <t>Second Tier - amount to be returned to all customers</t>
  </si>
  <si>
    <t>Second Tier - amount to be returned to own customers</t>
  </si>
  <si>
    <t>Second Tier - royalties amount paid to other DNOs</t>
  </si>
  <si>
    <t>Second Tier - royalties amount received from other DNOs</t>
  </si>
  <si>
    <t>LCN Second Tier - share of royalties retained by DNO</t>
  </si>
  <si>
    <t>LCN2_Ry_DNO</t>
  </si>
  <si>
    <t>Pass Through items</t>
  </si>
  <si>
    <r>
      <t xml:space="preserve">Pass Through - Shetland balancing </t>
    </r>
    <r>
      <rPr>
        <u/>
        <sz val="10"/>
        <color indexed="8"/>
        <rFont val="Verdana"/>
        <family val="2"/>
      </rPr>
      <t>(SHEPD only)</t>
    </r>
  </si>
  <si>
    <t>Incentive Payments</t>
  </si>
  <si>
    <t>CRC12 Connection Activities Adjustments</t>
  </si>
  <si>
    <r>
      <t>K</t>
    </r>
    <r>
      <rPr>
        <b/>
        <vertAlign val="subscript"/>
        <sz val="10"/>
        <rFont val="Verdana"/>
        <family val="2"/>
      </rPr>
      <t>t</t>
    </r>
  </si>
  <si>
    <r>
      <t>LCN</t>
    </r>
    <r>
      <rPr>
        <b/>
        <vertAlign val="subscript"/>
        <sz val="10"/>
        <rFont val="Verdana"/>
        <family val="2"/>
      </rPr>
      <t>t</t>
    </r>
  </si>
  <si>
    <r>
      <t>IG</t>
    </r>
    <r>
      <rPr>
        <b/>
        <vertAlign val="subscript"/>
        <sz val="10"/>
        <rFont val="Verdana"/>
        <family val="2"/>
      </rPr>
      <t>t</t>
    </r>
  </si>
  <si>
    <r>
      <t>AUM</t>
    </r>
    <r>
      <rPr>
        <b/>
        <vertAlign val="subscript"/>
        <sz val="10"/>
        <rFont val="Verdana"/>
        <family val="2"/>
      </rPr>
      <t>t</t>
    </r>
    <r>
      <rPr>
        <b/>
        <sz val="10"/>
        <rFont val="Verdana"/>
        <family val="2"/>
      </rPr>
      <t xml:space="preserve"> , CGSSP</t>
    </r>
    <r>
      <rPr>
        <b/>
        <vertAlign val="subscript"/>
        <sz val="10"/>
        <rFont val="Verdana"/>
        <family val="2"/>
      </rPr>
      <t>t</t>
    </r>
    <r>
      <rPr>
        <b/>
        <sz val="10"/>
        <rFont val="Verdana"/>
        <family val="2"/>
      </rPr>
      <t xml:space="preserve"> &amp; CGSRA</t>
    </r>
    <r>
      <rPr>
        <b/>
        <vertAlign val="subscript"/>
        <sz val="10"/>
        <rFont val="Verdana"/>
        <family val="2"/>
      </rPr>
      <t>t</t>
    </r>
  </si>
  <si>
    <r>
      <t>CTRA</t>
    </r>
    <r>
      <rPr>
        <b/>
        <vertAlign val="subscript"/>
        <sz val="10"/>
        <rFont val="Verdana"/>
        <family val="2"/>
      </rPr>
      <t>t</t>
    </r>
  </si>
  <si>
    <t>Incentive revenue for distributed Generation</t>
  </si>
  <si>
    <t>Incentive Payments - New Transmission Capacity charges</t>
  </si>
  <si>
    <t xml:space="preserve"> (amount set in a direction given by the Authority in regulatory years commencing on or after 1 April 2012)</t>
  </si>
  <si>
    <t>Mar 2012</t>
  </si>
</sst>
</file>

<file path=xl/styles.xml><?xml version="1.0" encoding="utf-8"?>
<styleSheet xmlns="http://schemas.openxmlformats.org/spreadsheetml/2006/main">
  <numFmts count="11">
    <numFmt numFmtId="43" formatCode="_-* #,##0.00_-;\-* #,##0.00_-;_-* &quot;-&quot;??_-;_-@_-"/>
    <numFmt numFmtId="164" formatCode="_-* #,##0.0000_-;\-* #,##0.0000_-;_-* &quot;-&quot;??_-;_-@_-"/>
    <numFmt numFmtId="165" formatCode="_-* #,##0.0_-;\-* #,##0.0_-;_-* &quot;-&quot;??_-;_-@_-"/>
    <numFmt numFmtId="166" formatCode="#,##0.000000_ ;\-#,##0.000000\ "/>
    <numFmt numFmtId="167" formatCode="#,##0.0;[Red]\-#,##0.0;\-"/>
    <numFmt numFmtId="168" formatCode="#,##0.0;[Red]\-#,##0.0;0"/>
    <numFmt numFmtId="169" formatCode="#,##0.00;[Red]\-#,##0.00;\-"/>
    <numFmt numFmtId="170" formatCode="#,##0.00000;[Red]\-#,##0.00000;0.0000"/>
    <numFmt numFmtId="171" formatCode="#,##0.0;[Red]\-#,##0.0;"/>
    <numFmt numFmtId="172" formatCode="#,##0.00;[Red]\-#,##0.00;0.0"/>
    <numFmt numFmtId="173" formatCode="#,##0.00;[Red]\-#,##0.00;0.00"/>
  </numFmts>
  <fonts count="37">
    <font>
      <sz val="10"/>
      <color theme="1"/>
      <name val="Verdana"/>
      <family val="2"/>
    </font>
    <font>
      <sz val="10"/>
      <name val="Arial"/>
      <family val="2"/>
    </font>
    <font>
      <sz val="10"/>
      <name val="Verdana"/>
      <family val="2"/>
    </font>
    <font>
      <b/>
      <sz val="10"/>
      <name val="Verdana"/>
      <family val="2"/>
    </font>
    <font>
      <vertAlign val="subscript"/>
      <sz val="10"/>
      <color indexed="8"/>
      <name val="Verdana"/>
      <family val="2"/>
    </font>
    <font>
      <b/>
      <sz val="12"/>
      <name val="Verdana"/>
      <family val="2"/>
    </font>
    <font>
      <b/>
      <sz val="14"/>
      <name val="Verdana"/>
      <family val="2"/>
    </font>
    <font>
      <b/>
      <sz val="11"/>
      <name val="Verdana"/>
      <family val="2"/>
    </font>
    <font>
      <sz val="11"/>
      <name val="Verdana"/>
      <family val="2"/>
    </font>
    <font>
      <vertAlign val="subscript"/>
      <sz val="11"/>
      <name val="Verdana"/>
      <family val="2"/>
    </font>
    <font>
      <sz val="8"/>
      <name val="Verdana"/>
      <family val="2"/>
    </font>
    <font>
      <b/>
      <vertAlign val="subscript"/>
      <sz val="10"/>
      <name val="Verdana"/>
      <family val="2"/>
    </font>
    <font>
      <sz val="10"/>
      <color indexed="10"/>
      <name val="Verdana"/>
      <family val="2"/>
    </font>
    <font>
      <sz val="11"/>
      <color indexed="10"/>
      <name val="Verdana"/>
      <family val="2"/>
    </font>
    <font>
      <b/>
      <sz val="10"/>
      <color indexed="10"/>
      <name val="Verdana"/>
      <family val="2"/>
    </font>
    <font>
      <vertAlign val="subscript"/>
      <sz val="10"/>
      <name val="Verdana"/>
      <family val="2"/>
    </font>
    <font>
      <sz val="10"/>
      <color indexed="9"/>
      <name val="Verdana"/>
      <family val="2"/>
    </font>
    <font>
      <vertAlign val="subscript"/>
      <sz val="10"/>
      <name val="CG Omega"/>
      <family val="2"/>
    </font>
    <font>
      <b/>
      <u/>
      <sz val="10"/>
      <name val="Verdana"/>
      <family val="2"/>
    </font>
    <font>
      <b/>
      <vertAlign val="subscript"/>
      <sz val="10"/>
      <color indexed="8"/>
      <name val="Verdana"/>
      <family val="2"/>
    </font>
    <font>
      <sz val="9"/>
      <name val="Verdana"/>
      <family val="2"/>
    </font>
    <font>
      <sz val="10"/>
      <color indexed="23"/>
      <name val="Verdana"/>
      <family val="2"/>
    </font>
    <font>
      <i/>
      <sz val="10"/>
      <name val="Verdana"/>
      <family val="2"/>
    </font>
    <font>
      <sz val="10"/>
      <color theme="1"/>
      <name val="Verdana"/>
      <family val="2"/>
    </font>
    <font>
      <sz val="10"/>
      <color theme="0"/>
      <name val="Verdana"/>
      <family val="2"/>
    </font>
    <font>
      <b/>
      <sz val="10"/>
      <color theme="1"/>
      <name val="Verdana"/>
      <family val="2"/>
    </font>
    <font>
      <sz val="10"/>
      <color rgb="FFFF0000"/>
      <name val="Verdana"/>
      <family val="2"/>
    </font>
    <font>
      <b/>
      <sz val="10"/>
      <color rgb="FFFF0000"/>
      <name val="Verdana"/>
      <family val="2"/>
    </font>
    <font>
      <b/>
      <sz val="10"/>
      <color rgb="FF0070C0"/>
      <name val="Verdana"/>
      <family val="2"/>
    </font>
    <font>
      <sz val="10"/>
      <color rgb="FF7030A0"/>
      <name val="Verdana"/>
      <family val="2"/>
    </font>
    <font>
      <b/>
      <sz val="12"/>
      <color theme="1"/>
      <name val="Verdana"/>
      <family val="2"/>
    </font>
    <font>
      <sz val="9"/>
      <color theme="1"/>
      <name val="Verdana"/>
      <family val="2"/>
    </font>
    <font>
      <sz val="8"/>
      <color theme="1"/>
      <name val="Verdana"/>
      <family val="2"/>
    </font>
    <font>
      <u/>
      <sz val="10"/>
      <color theme="10"/>
      <name val="Verdana"/>
      <family val="2"/>
    </font>
    <font>
      <u/>
      <sz val="10"/>
      <color theme="1"/>
      <name val="Verdana"/>
      <family val="2"/>
    </font>
    <font>
      <u/>
      <sz val="12"/>
      <color theme="1"/>
      <name val="Verdana"/>
      <family val="2"/>
    </font>
    <font>
      <u/>
      <sz val="10"/>
      <color indexed="8"/>
      <name val="Verdana"/>
      <family val="2"/>
    </font>
  </fonts>
  <fills count="10">
    <fill>
      <patternFill patternType="none"/>
    </fill>
    <fill>
      <patternFill patternType="gray125"/>
    </fill>
    <fill>
      <patternFill patternType="solid">
        <fgColor indexed="65"/>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CC99"/>
        <bgColor indexed="64"/>
      </patternFill>
    </fill>
    <fill>
      <patternFill patternType="solid">
        <fgColor rgb="FFCCFFCC"/>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23" fillId="0" borderId="0" applyFont="0" applyFill="0" applyBorder="0" applyAlignment="0" applyProtection="0"/>
    <xf numFmtId="0" fontId="1" fillId="0" borderId="0"/>
    <xf numFmtId="0" fontId="1" fillId="0" borderId="0"/>
    <xf numFmtId="9" fontId="23" fillId="0" borderId="0" applyFont="0" applyFill="0" applyBorder="0" applyAlignment="0" applyProtection="0"/>
    <xf numFmtId="0" fontId="33" fillId="0" borderId="0" applyNumberFormat="0" applyFill="0" applyBorder="0" applyAlignment="0" applyProtection="0">
      <alignment vertical="top"/>
      <protection locked="0"/>
    </xf>
  </cellStyleXfs>
  <cellXfs count="401">
    <xf numFmtId="0" fontId="0" fillId="0" borderId="0" xfId="0"/>
    <xf numFmtId="0" fontId="2" fillId="0" borderId="0" xfId="0" applyFont="1"/>
    <xf numFmtId="0" fontId="2" fillId="0" borderId="0" xfId="0" applyFont="1" applyProtection="1"/>
    <xf numFmtId="0" fontId="0" fillId="3" borderId="0" xfId="0" applyFill="1"/>
    <xf numFmtId="0" fontId="25" fillId="3" borderId="0" xfId="0" applyFont="1" applyFill="1"/>
    <xf numFmtId="0" fontId="2" fillId="4" borderId="0" xfId="0" applyFont="1" applyFill="1"/>
    <xf numFmtId="0" fontId="2" fillId="4" borderId="0" xfId="0" applyFont="1" applyFill="1" applyBorder="1"/>
    <xf numFmtId="0" fontId="6" fillId="4" borderId="0" xfId="0" applyFont="1" applyFill="1"/>
    <xf numFmtId="0" fontId="5" fillId="4" borderId="0" xfId="0" applyFont="1" applyFill="1" applyBorder="1" applyAlignment="1" applyProtection="1">
      <alignment horizontal="left"/>
    </xf>
    <xf numFmtId="0" fontId="0" fillId="0" borderId="0" xfId="0" applyFont="1" applyAlignment="1">
      <alignment vertical="center"/>
    </xf>
    <xf numFmtId="0" fontId="0" fillId="0" borderId="0" xfId="0" applyFont="1"/>
    <xf numFmtId="0" fontId="0" fillId="3" borderId="0" xfId="0" applyFont="1" applyFill="1"/>
    <xf numFmtId="0" fontId="0" fillId="0" borderId="0" xfId="0" applyFont="1" applyFill="1"/>
    <xf numFmtId="0" fontId="0" fillId="0" borderId="0" xfId="0" applyFont="1" applyAlignment="1">
      <alignment horizontal="center"/>
    </xf>
    <xf numFmtId="0" fontId="0" fillId="4" borderId="0" xfId="0" applyFont="1" applyFill="1"/>
    <xf numFmtId="0" fontId="0" fillId="2" borderId="0" xfId="0" applyFont="1" applyFill="1" applyBorder="1"/>
    <xf numFmtId="0" fontId="0" fillId="4" borderId="0" xfId="0" applyFont="1" applyFill="1" applyBorder="1"/>
    <xf numFmtId="0" fontId="0" fillId="0" borderId="0" xfId="0" applyFont="1" applyProtection="1"/>
    <xf numFmtId="0" fontId="13" fillId="4" borderId="0" xfId="0" applyFont="1" applyFill="1" applyBorder="1"/>
    <xf numFmtId="0" fontId="12" fillId="4" borderId="0" xfId="0" applyFont="1" applyFill="1" applyBorder="1" applyAlignment="1">
      <alignment horizontal="left"/>
    </xf>
    <xf numFmtId="0" fontId="2" fillId="4" borderId="0" xfId="0" applyFont="1" applyFill="1" applyAlignment="1">
      <alignment vertical="center"/>
    </xf>
    <xf numFmtId="0" fontId="2" fillId="4" borderId="0" xfId="0" applyFont="1" applyFill="1" applyProtection="1"/>
    <xf numFmtId="0" fontId="2" fillId="4" borderId="0" xfId="0" applyFont="1" applyFill="1" applyAlignment="1" applyProtection="1">
      <alignment horizontal="center" vertical="center"/>
    </xf>
    <xf numFmtId="0" fontId="12" fillId="4" borderId="0" xfId="0" applyFont="1" applyFill="1" applyAlignment="1" applyProtection="1">
      <alignment vertical="center"/>
    </xf>
    <xf numFmtId="0" fontId="5" fillId="4" borderId="0" xfId="0" applyFont="1" applyFill="1" applyBorder="1" applyAlignment="1" applyProtection="1">
      <alignment vertical="center"/>
    </xf>
    <xf numFmtId="0" fontId="2" fillId="4" borderId="0" xfId="0" applyFont="1" applyFill="1" applyAlignment="1" applyProtection="1">
      <alignment horizontal="center"/>
    </xf>
    <xf numFmtId="0" fontId="2" fillId="4" borderId="0" xfId="0" applyFont="1" applyFill="1" applyBorder="1" applyAlignment="1" applyProtection="1">
      <alignment horizontal="center"/>
    </xf>
    <xf numFmtId="0" fontId="2" fillId="4" borderId="0" xfId="0" applyFont="1" applyFill="1" applyBorder="1" applyAlignment="1">
      <alignment horizontal="left"/>
    </xf>
    <xf numFmtId="0" fontId="2" fillId="4" borderId="0" xfId="0" applyFont="1" applyFill="1" applyAlignment="1" applyProtection="1">
      <alignment horizontal="right"/>
    </xf>
    <xf numFmtId="0" fontId="0" fillId="4" borderId="0" xfId="0" applyFont="1" applyFill="1" applyAlignment="1" applyProtection="1">
      <alignment horizontal="center"/>
    </xf>
    <xf numFmtId="0" fontId="12" fillId="4" borderId="0" xfId="0" applyFont="1" applyFill="1" applyProtection="1"/>
    <xf numFmtId="0" fontId="0" fillId="4" borderId="0" xfId="0" applyFont="1" applyFill="1" applyAlignment="1">
      <alignment vertical="center"/>
    </xf>
    <xf numFmtId="0" fontId="25" fillId="4" borderId="0" xfId="0" applyFont="1" applyFill="1"/>
    <xf numFmtId="0" fontId="3" fillId="0" borderId="0" xfId="0" applyFont="1" applyAlignment="1" applyProtection="1">
      <alignment vertical="center" wrapText="1"/>
    </xf>
    <xf numFmtId="0" fontId="2" fillId="0" borderId="0" xfId="0" applyFont="1" applyAlignment="1" applyProtection="1">
      <alignment vertical="center" wrapText="1"/>
    </xf>
    <xf numFmtId="0" fontId="5" fillId="4" borderId="0" xfId="0" applyFont="1" applyFill="1" applyBorder="1" applyAlignment="1" applyProtection="1">
      <alignment horizontal="left" vertical="center" wrapText="1"/>
    </xf>
    <xf numFmtId="0" fontId="2" fillId="4" borderId="0" xfId="0" applyFont="1" applyFill="1" applyAlignment="1">
      <alignment vertical="center" wrapText="1"/>
    </xf>
    <xf numFmtId="0" fontId="0" fillId="4" borderId="0" xfId="0" applyFont="1" applyFill="1" applyAlignment="1">
      <alignment vertical="center" wrapText="1"/>
    </xf>
    <xf numFmtId="0" fontId="2" fillId="0" borderId="0" xfId="0" applyFont="1" applyAlignment="1">
      <alignment vertical="center" wrapText="1"/>
    </xf>
    <xf numFmtId="168" fontId="2" fillId="4" borderId="0" xfId="3" applyNumberFormat="1" applyFont="1" applyFill="1" applyBorder="1" applyAlignment="1" applyProtection="1">
      <alignment horizontal="center" vertical="center"/>
    </xf>
    <xf numFmtId="167" fontId="3" fillId="4" borderId="0" xfId="3" applyNumberFormat="1" applyFont="1" applyFill="1" applyBorder="1" applyAlignment="1" applyProtection="1">
      <alignment horizontal="center" vertical="center"/>
    </xf>
    <xf numFmtId="0" fontId="2" fillId="4" borderId="0" xfId="0" applyFont="1" applyFill="1" applyBorder="1" applyAlignment="1" applyProtection="1">
      <alignment vertical="center" wrapText="1"/>
    </xf>
    <xf numFmtId="0" fontId="3" fillId="4" borderId="0" xfId="0" applyFont="1" applyFill="1" applyAlignment="1" applyProtection="1">
      <alignment vertical="center" wrapText="1"/>
    </xf>
    <xf numFmtId="0" fontId="3"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3" fillId="4" borderId="0" xfId="0" applyFont="1" applyFill="1" applyBorder="1" applyAlignment="1" applyProtection="1">
      <alignment vertical="center" wrapText="1"/>
    </xf>
    <xf numFmtId="0" fontId="2" fillId="4" borderId="0" xfId="0" applyFont="1" applyFill="1" applyAlignment="1" applyProtection="1">
      <alignment horizontal="center" vertical="center" wrapText="1"/>
    </xf>
    <xf numFmtId="0" fontId="8" fillId="4" borderId="0" xfId="0" applyFont="1" applyFill="1" applyAlignment="1" applyProtection="1">
      <alignment vertical="center" wrapText="1"/>
    </xf>
    <xf numFmtId="0" fontId="8" fillId="4" borderId="0" xfId="0" applyFont="1" applyFill="1" applyAlignment="1" applyProtection="1">
      <alignment horizontal="center" vertical="center" wrapText="1"/>
    </xf>
    <xf numFmtId="0" fontId="3" fillId="4" borderId="0" xfId="0" applyFont="1" applyFill="1" applyBorder="1" applyAlignment="1" applyProtection="1">
      <alignment horizontal="center" vertical="center" wrapText="1"/>
    </xf>
    <xf numFmtId="0" fontId="8" fillId="4" borderId="0" xfId="0" applyFont="1" applyFill="1" applyBorder="1" applyAlignment="1" applyProtection="1">
      <alignment vertical="center" wrapText="1"/>
    </xf>
    <xf numFmtId="0" fontId="7" fillId="4" borderId="0" xfId="0" applyFont="1" applyFill="1" applyAlignment="1" applyProtection="1">
      <alignment horizontal="center" vertical="center" wrapText="1"/>
    </xf>
    <xf numFmtId="0" fontId="2" fillId="4" borderId="0" xfId="0" quotePrefix="1" applyFont="1" applyFill="1" applyAlignment="1" applyProtection="1">
      <alignment vertical="center" wrapText="1"/>
    </xf>
    <xf numFmtId="164" fontId="2" fillId="4" borderId="0" xfId="0" applyNumberFormat="1" applyFont="1" applyFill="1" applyAlignment="1" applyProtection="1">
      <alignment vertical="center" wrapText="1"/>
    </xf>
    <xf numFmtId="0" fontId="26" fillId="4" borderId="0" xfId="0" applyFont="1" applyFill="1" applyAlignment="1" applyProtection="1">
      <alignment vertical="center" wrapText="1"/>
    </xf>
    <xf numFmtId="0" fontId="27" fillId="4" borderId="0" xfId="0" applyFont="1" applyFill="1" applyAlignment="1" applyProtection="1">
      <alignment vertical="center" wrapText="1"/>
    </xf>
    <xf numFmtId="0" fontId="7" fillId="4" borderId="0" xfId="0" applyFont="1" applyFill="1" applyAlignment="1" applyProtection="1">
      <alignment vertical="center" wrapText="1"/>
    </xf>
    <xf numFmtId="0" fontId="7" fillId="4" borderId="0" xfId="0" applyFont="1" applyFill="1" applyBorder="1" applyAlignment="1" applyProtection="1">
      <alignment horizontal="center" vertical="center" wrapText="1"/>
    </xf>
    <xf numFmtId="0" fontId="3" fillId="4" borderId="0" xfId="0" applyFont="1" applyFill="1" applyBorder="1" applyAlignment="1">
      <alignment horizontal="center"/>
    </xf>
    <xf numFmtId="0" fontId="2" fillId="4" borderId="0" xfId="0" applyFont="1" applyFill="1" applyBorder="1" applyAlignment="1">
      <alignment horizontal="center"/>
    </xf>
    <xf numFmtId="0" fontId="2" fillId="4" borderId="0" xfId="0" applyFont="1" applyFill="1" applyBorder="1" applyAlignment="1">
      <alignment horizontal="center" vertical="top"/>
    </xf>
    <xf numFmtId="0" fontId="2" fillId="4" borderId="0" xfId="0" applyFont="1" applyFill="1" applyAlignment="1">
      <alignment horizontal="center"/>
    </xf>
    <xf numFmtId="0" fontId="2" fillId="4" borderId="0" xfId="0" applyFont="1" applyFill="1" applyBorder="1" applyAlignment="1">
      <alignment horizontal="right"/>
    </xf>
    <xf numFmtId="0" fontId="2" fillId="4" borderId="0" xfId="0" applyFont="1" applyFill="1" applyAlignment="1">
      <alignment horizontal="right"/>
    </xf>
    <xf numFmtId="0" fontId="2" fillId="4" borderId="1" xfId="0" applyFont="1" applyFill="1" applyBorder="1" applyAlignment="1">
      <alignment horizontal="center"/>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0" fontId="0" fillId="0" borderId="0" xfId="0" applyFont="1" applyAlignment="1">
      <alignment vertical="center" wrapText="1"/>
    </xf>
    <xf numFmtId="0" fontId="3" fillId="4" borderId="0" xfId="0" applyFont="1" applyFill="1" applyAlignment="1">
      <alignment vertical="center" wrapText="1"/>
    </xf>
    <xf numFmtId="0" fontId="3" fillId="4" borderId="0" xfId="0" applyFont="1" applyFill="1" applyAlignment="1">
      <alignment horizontal="center" vertical="center" wrapText="1"/>
    </xf>
    <xf numFmtId="0" fontId="25" fillId="0" borderId="0" xfId="0" applyFont="1" applyAlignment="1">
      <alignment vertical="center" wrapText="1"/>
    </xf>
    <xf numFmtId="0" fontId="0" fillId="0" borderId="0" xfId="0" applyFont="1" applyBorder="1" applyProtection="1"/>
    <xf numFmtId="0" fontId="25" fillId="0" borderId="0" xfId="0" applyFont="1" applyProtection="1"/>
    <xf numFmtId="0" fontId="3" fillId="4" borderId="0" xfId="0" applyFont="1" applyFill="1" applyAlignment="1" applyProtection="1">
      <alignment horizontal="center"/>
    </xf>
    <xf numFmtId="0" fontId="3" fillId="4" borderId="0" xfId="0" applyFont="1" applyFill="1" applyBorder="1" applyAlignment="1" applyProtection="1">
      <alignment horizontal="center"/>
    </xf>
    <xf numFmtId="0" fontId="8" fillId="4" borderId="0" xfId="0" applyFont="1" applyFill="1" applyBorder="1" applyProtection="1"/>
    <xf numFmtId="0" fontId="2" fillId="4" borderId="0" xfId="0" applyFont="1" applyFill="1" applyBorder="1" applyProtection="1"/>
    <xf numFmtId="0" fontId="3" fillId="4" borderId="0" xfId="0" applyFont="1" applyFill="1" applyAlignment="1" applyProtection="1">
      <alignment wrapText="1"/>
    </xf>
    <xf numFmtId="0" fontId="2" fillId="4" borderId="0" xfId="0" applyFont="1" applyFill="1" applyBorder="1" applyAlignment="1" applyProtection="1">
      <alignment horizontal="left"/>
    </xf>
    <xf numFmtId="0" fontId="2" fillId="4" borderId="2" xfId="0" applyFont="1" applyFill="1" applyBorder="1" applyAlignment="1" applyProtection="1">
      <alignment horizontal="center"/>
    </xf>
    <xf numFmtId="0" fontId="3" fillId="4" borderId="0" xfId="0" applyFont="1" applyFill="1" applyBorder="1" applyProtection="1"/>
    <xf numFmtId="0" fontId="2" fillId="4" borderId="0" xfId="0" applyFont="1" applyFill="1" applyAlignment="1" applyProtection="1">
      <alignment wrapText="1"/>
    </xf>
    <xf numFmtId="0" fontId="0" fillId="4" borderId="0" xfId="0" applyFont="1" applyFill="1" applyProtection="1"/>
    <xf numFmtId="0" fontId="2" fillId="4" borderId="0" xfId="0" applyFont="1" applyFill="1" applyBorder="1" applyAlignment="1" applyProtection="1">
      <alignment wrapText="1"/>
    </xf>
    <xf numFmtId="0" fontId="3" fillId="4" borderId="0" xfId="0" applyFont="1" applyFill="1" applyBorder="1" applyAlignment="1" applyProtection="1">
      <alignment wrapText="1"/>
    </xf>
    <xf numFmtId="0" fontId="2" fillId="4" borderId="0" xfId="0" applyFont="1" applyFill="1" applyAlignment="1" applyProtection="1">
      <alignment horizontal="left"/>
    </xf>
    <xf numFmtId="0" fontId="3" fillId="4" borderId="0" xfId="0" applyFont="1" applyFill="1" applyProtection="1"/>
    <xf numFmtId="0" fontId="3" fillId="4" borderId="0" xfId="0" applyFont="1" applyFill="1" applyAlignment="1" applyProtection="1">
      <alignment horizontal="center" vertical="center"/>
    </xf>
    <xf numFmtId="0" fontId="0" fillId="4" borderId="0" xfId="0" applyFont="1" applyFill="1" applyAlignment="1" applyProtection="1">
      <alignment wrapText="1"/>
    </xf>
    <xf numFmtId="0" fontId="12" fillId="4" borderId="0" xfId="0" applyFont="1" applyFill="1" applyBorder="1" applyProtection="1"/>
    <xf numFmtId="0" fontId="28" fillId="4" borderId="0" xfId="0" applyFont="1" applyFill="1" applyAlignment="1" applyProtection="1">
      <alignment horizontal="left"/>
    </xf>
    <xf numFmtId="43" fontId="16" fillId="4" borderId="0" xfId="0" applyNumberFormat="1" applyFont="1" applyFill="1" applyProtection="1"/>
    <xf numFmtId="43" fontId="2" fillId="4" borderId="0" xfId="0" applyNumberFormat="1" applyFont="1" applyFill="1" applyProtection="1"/>
    <xf numFmtId="10" fontId="2" fillId="6" borderId="1" xfId="3" applyNumberFormat="1" applyFont="1" applyFill="1" applyBorder="1" applyAlignment="1" applyProtection="1">
      <alignment horizontal="center" vertical="center"/>
    </xf>
    <xf numFmtId="0" fontId="3" fillId="4" borderId="0" xfId="0" applyFont="1" applyFill="1" applyAlignment="1">
      <alignment horizontal="center"/>
    </xf>
    <xf numFmtId="0" fontId="12" fillId="4" borderId="0" xfId="0" applyFont="1" applyFill="1"/>
    <xf numFmtId="0" fontId="0" fillId="4" borderId="0" xfId="0" applyFont="1" applyFill="1" applyAlignment="1">
      <alignment horizontal="center"/>
    </xf>
    <xf numFmtId="0" fontId="3" fillId="4" borderId="0" xfId="0" applyFont="1" applyFill="1" applyBorder="1" applyAlignment="1">
      <alignment horizontal="left"/>
    </xf>
    <xf numFmtId="0" fontId="3" fillId="4" borderId="0" xfId="0" applyFont="1" applyFill="1" applyBorder="1"/>
    <xf numFmtId="10" fontId="2" fillId="4" borderId="0" xfId="0" applyNumberFormat="1" applyFont="1" applyFill="1" applyBorder="1" applyAlignment="1">
      <alignment horizontal="center"/>
    </xf>
    <xf numFmtId="0" fontId="12" fillId="4" borderId="0" xfId="0" applyFont="1" applyFill="1" applyBorder="1"/>
    <xf numFmtId="0" fontId="2" fillId="2" borderId="0" xfId="0" applyFont="1" applyFill="1" applyBorder="1"/>
    <xf numFmtId="0" fontId="3" fillId="4" borderId="0" xfId="0" applyFont="1" applyFill="1"/>
    <xf numFmtId="0" fontId="25" fillId="4" borderId="0" xfId="0" applyFont="1" applyFill="1" applyBorder="1"/>
    <xf numFmtId="0" fontId="25" fillId="0" borderId="0" xfId="0" applyFont="1"/>
    <xf numFmtId="0" fontId="14" fillId="4" borderId="0" xfId="0" applyFont="1" applyFill="1" applyBorder="1"/>
    <xf numFmtId="0" fontId="0" fillId="4" borderId="0" xfId="0" applyFont="1" applyFill="1" applyBorder="1" applyAlignment="1">
      <alignment horizontal="center"/>
    </xf>
    <xf numFmtId="0" fontId="0" fillId="4" borderId="3" xfId="0" applyFont="1" applyFill="1" applyBorder="1" applyAlignment="1">
      <alignment horizontal="center"/>
    </xf>
    <xf numFmtId="0" fontId="0" fillId="4" borderId="4" xfId="0" applyFont="1" applyFill="1" applyBorder="1" applyAlignment="1">
      <alignment horizontal="center"/>
    </xf>
    <xf numFmtId="0" fontId="0" fillId="4" borderId="5"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0" fillId="4" borderId="8" xfId="0" applyFont="1" applyFill="1" applyBorder="1" applyAlignment="1">
      <alignment horizontal="center"/>
    </xf>
    <xf numFmtId="0" fontId="0" fillId="4" borderId="2" xfId="0" applyFont="1" applyFill="1" applyBorder="1" applyAlignment="1">
      <alignment horizontal="center"/>
    </xf>
    <xf numFmtId="171" fontId="2" fillId="4" borderId="9" xfId="3" applyNumberFormat="1" applyFont="1" applyFill="1" applyBorder="1" applyAlignment="1" applyProtection="1">
      <alignment horizontal="center" vertical="center"/>
    </xf>
    <xf numFmtId="165" fontId="2" fillId="4" borderId="0" xfId="1" applyNumberFormat="1" applyFont="1" applyFill="1"/>
    <xf numFmtId="0" fontId="26" fillId="4" borderId="0" xfId="0" applyFont="1" applyFill="1"/>
    <xf numFmtId="165" fontId="2" fillId="4" borderId="0" xfId="1" applyNumberFormat="1" applyFont="1" applyFill="1" applyBorder="1"/>
    <xf numFmtId="0" fontId="12" fillId="4" borderId="0" xfId="0" applyFont="1" applyFill="1" applyAlignment="1">
      <alignment horizontal="right"/>
    </xf>
    <xf numFmtId="0" fontId="0" fillId="4" borderId="0" xfId="0" applyFill="1"/>
    <xf numFmtId="0" fontId="5" fillId="4" borderId="0" xfId="0" applyFont="1" applyFill="1" applyBorder="1" applyAlignment="1" applyProtection="1">
      <alignment horizontal="left" vertical="center"/>
    </xf>
    <xf numFmtId="0" fontId="2" fillId="0" borderId="0" xfId="0" applyFont="1" applyAlignment="1">
      <alignment vertical="center"/>
    </xf>
    <xf numFmtId="0" fontId="8" fillId="4" borderId="0" xfId="0" applyFont="1" applyFill="1" applyAlignment="1">
      <alignment vertical="center"/>
    </xf>
    <xf numFmtId="0" fontId="0" fillId="4" borderId="0" xfId="0" applyFill="1" applyAlignment="1">
      <alignment vertical="center"/>
    </xf>
    <xf numFmtId="0" fontId="2" fillId="4" borderId="0" xfId="0" applyFont="1" applyFill="1" applyBorder="1" applyAlignment="1">
      <alignment vertical="center"/>
    </xf>
    <xf numFmtId="0" fontId="3" fillId="4" borderId="0"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4" borderId="0" xfId="0" applyFont="1" applyFill="1" applyAlignment="1">
      <alignment horizontal="center" vertical="center"/>
    </xf>
    <xf numFmtId="0" fontId="3" fillId="4" borderId="0" xfId="0" applyFont="1" applyFill="1" applyAlignment="1">
      <alignment horizontal="center" vertical="center"/>
    </xf>
    <xf numFmtId="0" fontId="0" fillId="0" borderId="0" xfId="0" applyFont="1" applyFill="1" applyAlignment="1">
      <alignment vertical="center" wrapText="1"/>
    </xf>
    <xf numFmtId="0" fontId="8" fillId="4" borderId="0" xfId="0" applyFont="1" applyFill="1" applyAlignment="1">
      <alignment vertical="center" wrapText="1"/>
    </xf>
    <xf numFmtId="0" fontId="2" fillId="4" borderId="0" xfId="0" applyFont="1" applyFill="1" applyAlignment="1">
      <alignment horizontal="left" vertical="center" wrapText="1"/>
    </xf>
    <xf numFmtId="0" fontId="3" fillId="4" borderId="0" xfId="0" applyFont="1" applyFill="1" applyBorder="1" applyAlignment="1">
      <alignment horizontal="center" vertical="center" wrapText="1"/>
    </xf>
    <xf numFmtId="166" fontId="2" fillId="4" borderId="0" xfId="1" applyNumberFormat="1" applyFont="1" applyFill="1" applyAlignment="1">
      <alignment vertical="center" wrapText="1"/>
    </xf>
    <xf numFmtId="43" fontId="2" fillId="4" borderId="0" xfId="1" applyNumberFormat="1" applyFont="1" applyFill="1" applyAlignment="1">
      <alignment vertical="center" wrapText="1"/>
    </xf>
    <xf numFmtId="0" fontId="0" fillId="4" borderId="0" xfId="0" applyFont="1" applyFill="1" applyBorder="1" applyAlignment="1">
      <alignment vertical="center"/>
    </xf>
    <xf numFmtId="0" fontId="3" fillId="4" borderId="0" xfId="0" applyFont="1" applyFill="1" applyBorder="1" applyAlignment="1" applyProtection="1">
      <alignment horizontal="center" vertical="center"/>
    </xf>
    <xf numFmtId="0" fontId="12" fillId="4" borderId="0" xfId="0" applyFont="1" applyFill="1" applyAlignment="1">
      <alignment vertical="center"/>
    </xf>
    <xf numFmtId="0" fontId="12" fillId="4" borderId="0" xfId="0" applyFont="1" applyFill="1" applyBorder="1" applyAlignment="1">
      <alignment vertical="center"/>
    </xf>
    <xf numFmtId="0" fontId="0" fillId="4" borderId="0" xfId="0" applyFont="1" applyFill="1" applyBorder="1" applyAlignment="1">
      <alignment vertical="center" wrapText="1"/>
    </xf>
    <xf numFmtId="0" fontId="2" fillId="4" borderId="0" xfId="0" applyFont="1" applyFill="1" applyBorder="1" applyAlignment="1">
      <alignment vertical="center" wrapText="1"/>
    </xf>
    <xf numFmtId="0" fontId="3" fillId="4" borderId="0" xfId="0" applyFont="1" applyFill="1" applyBorder="1" applyAlignment="1">
      <alignment vertical="center" wrapText="1"/>
    </xf>
    <xf numFmtId="0" fontId="6" fillId="4" borderId="0" xfId="0" applyFont="1" applyFill="1" applyBorder="1" applyAlignment="1">
      <alignment vertical="center" wrapText="1"/>
    </xf>
    <xf numFmtId="0" fontId="8" fillId="4" borderId="0" xfId="0" applyFont="1" applyFill="1" applyBorder="1" applyAlignment="1">
      <alignment vertical="center"/>
    </xf>
    <xf numFmtId="0" fontId="10" fillId="4" borderId="0" xfId="0" applyFont="1" applyFill="1" applyBorder="1" applyAlignment="1">
      <alignment vertical="center"/>
    </xf>
    <xf numFmtId="166" fontId="2" fillId="4" borderId="0" xfId="1" applyNumberFormat="1" applyFont="1" applyFill="1" applyBorder="1" applyAlignment="1">
      <alignment vertical="center"/>
    </xf>
    <xf numFmtId="0" fontId="26" fillId="4" borderId="0"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0" borderId="0" xfId="0" applyFont="1" applyAlignment="1">
      <alignment horizontal="center" vertical="center" wrapText="1"/>
    </xf>
    <xf numFmtId="0" fontId="0" fillId="4" borderId="0" xfId="0" applyFill="1" applyBorder="1" applyAlignment="1">
      <alignment vertical="center" wrapText="1"/>
    </xf>
    <xf numFmtId="169" fontId="2" fillId="7" borderId="1" xfId="0" applyNumberFormat="1" applyFont="1" applyFill="1" applyBorder="1" applyAlignment="1" applyProtection="1">
      <alignment horizontal="center"/>
    </xf>
    <xf numFmtId="0" fontId="2" fillId="0" borderId="0" xfId="0" applyFont="1" applyFill="1" applyAlignment="1" applyProtection="1">
      <alignment vertical="center" wrapText="1"/>
    </xf>
    <xf numFmtId="0" fontId="2"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xf>
    <xf numFmtId="0" fontId="2" fillId="4" borderId="0" xfId="0" applyFont="1" applyFill="1" applyAlignment="1">
      <alignment horizontal="center" vertical="center"/>
    </xf>
    <xf numFmtId="0" fontId="25" fillId="4" borderId="0" xfId="0" applyFont="1" applyFill="1" applyProtection="1"/>
    <xf numFmtId="0" fontId="0" fillId="0" borderId="0" xfId="0" applyBorder="1" applyAlignment="1">
      <alignment horizontal="left"/>
    </xf>
    <xf numFmtId="0" fontId="0" fillId="4" borderId="0" xfId="0" applyFill="1" applyBorder="1" applyAlignment="1">
      <alignment horizontal="left"/>
    </xf>
    <xf numFmtId="167" fontId="2" fillId="4" borderId="0" xfId="3" applyNumberFormat="1" applyFont="1" applyFill="1" applyBorder="1" applyAlignment="1" applyProtection="1">
      <alignment horizontal="center" vertical="center"/>
      <protection locked="0"/>
    </xf>
    <xf numFmtId="170" fontId="2" fillId="4" borderId="0" xfId="3" applyNumberFormat="1" applyFont="1" applyFill="1" applyBorder="1" applyAlignment="1" applyProtection="1">
      <alignment horizontal="center" vertical="center"/>
    </xf>
    <xf numFmtId="49" fontId="2" fillId="5" borderId="1" xfId="3" applyNumberFormat="1" applyFont="1" applyFill="1" applyBorder="1" applyAlignment="1" applyProtection="1">
      <alignment horizontal="left" vertical="center"/>
      <protection locked="0"/>
    </xf>
    <xf numFmtId="0" fontId="3" fillId="4" borderId="7" xfId="0" applyFont="1" applyFill="1" applyBorder="1" applyAlignment="1">
      <alignment horizontal="center"/>
    </xf>
    <xf numFmtId="0" fontId="29" fillId="3" borderId="0" xfId="0" applyFont="1" applyFill="1"/>
    <xf numFmtId="0" fontId="3" fillId="4" borderId="7" xfId="0" applyFont="1" applyFill="1" applyBorder="1" applyAlignment="1">
      <alignment horizontal="left"/>
    </xf>
    <xf numFmtId="0" fontId="3" fillId="4" borderId="0" xfId="0" applyFont="1" applyFill="1" applyBorder="1" applyAlignment="1">
      <alignment horizontal="center"/>
    </xf>
    <xf numFmtId="0" fontId="0" fillId="4" borderId="0" xfId="0" applyFill="1" applyAlignment="1">
      <alignment horizontal="center"/>
    </xf>
    <xf numFmtId="10" fontId="24" fillId="4" borderId="0" xfId="0" applyNumberFormat="1" applyFont="1" applyFill="1"/>
    <xf numFmtId="10" fontId="2" fillId="7" borderId="1" xfId="4" applyNumberFormat="1" applyFont="1" applyFill="1" applyBorder="1" applyAlignment="1" applyProtection="1">
      <alignment horizontal="center"/>
    </xf>
    <xf numFmtId="0" fontId="0" fillId="2" borderId="0" xfId="0" applyFont="1" applyFill="1" applyBorder="1" applyAlignment="1">
      <alignment horizontal="center"/>
    </xf>
    <xf numFmtId="0" fontId="25" fillId="4" borderId="0" xfId="0" applyFont="1" applyFill="1" applyBorder="1" applyAlignment="1">
      <alignment horizontal="center"/>
    </xf>
    <xf numFmtId="0" fontId="0" fillId="4" borderId="0" xfId="0" applyFill="1" applyBorder="1"/>
    <xf numFmtId="0" fontId="5" fillId="4" borderId="0" xfId="0" applyFont="1" applyFill="1" applyBorder="1"/>
    <xf numFmtId="172" fontId="2" fillId="4" borderId="4" xfId="3" applyNumberFormat="1" applyFont="1" applyFill="1" applyBorder="1" applyAlignment="1" applyProtection="1">
      <alignment horizontal="center" vertical="center"/>
    </xf>
    <xf numFmtId="172" fontId="2" fillId="4" borderId="7" xfId="3" applyNumberFormat="1" applyFont="1" applyFill="1" applyBorder="1" applyAlignment="1" applyProtection="1">
      <alignment horizontal="center" vertical="center"/>
    </xf>
    <xf numFmtId="0" fontId="5" fillId="4" borderId="0" xfId="0" applyFont="1" applyFill="1"/>
    <xf numFmtId="0" fontId="0" fillId="4" borderId="0" xfId="0" applyFill="1" applyBorder="1" applyAlignment="1">
      <alignment horizontal="center"/>
    </xf>
    <xf numFmtId="0" fontId="0" fillId="2" borderId="0" xfId="0" applyFill="1" applyBorder="1"/>
    <xf numFmtId="0" fontId="0" fillId="4" borderId="0" xfId="0" applyFill="1" applyAlignment="1">
      <alignment vertical="center" wrapText="1"/>
    </xf>
    <xf numFmtId="0" fontId="3" fillId="4" borderId="0" xfId="0" applyFont="1" applyFill="1" applyAlignment="1">
      <alignment horizontal="left" vertical="center" wrapText="1"/>
    </xf>
    <xf numFmtId="0" fontId="12" fillId="4" borderId="0" xfId="0" applyFont="1" applyFill="1" applyAlignment="1">
      <alignment horizontal="left"/>
    </xf>
    <xf numFmtId="0" fontId="0" fillId="4" borderId="0" xfId="0" applyFont="1" applyFill="1" applyAlignment="1">
      <alignment horizontal="left"/>
    </xf>
    <xf numFmtId="0" fontId="12" fillId="4" borderId="0" xfId="0" applyFont="1" applyFill="1" applyAlignment="1">
      <alignment horizontal="left" vertical="center"/>
    </xf>
    <xf numFmtId="169" fontId="2" fillId="6" borderId="1" xfId="3" applyNumberFormat="1" applyFont="1" applyFill="1" applyBorder="1" applyAlignment="1" applyProtection="1">
      <alignment horizontal="left" vertical="center"/>
    </xf>
    <xf numFmtId="0" fontId="3" fillId="4" borderId="0" xfId="0" applyFont="1" applyFill="1" applyBorder="1" applyAlignment="1" applyProtection="1">
      <alignment vertical="center"/>
    </xf>
    <xf numFmtId="2" fontId="3" fillId="4" borderId="0" xfId="0" applyNumberFormat="1" applyFont="1" applyFill="1" applyBorder="1" applyAlignment="1" applyProtection="1">
      <alignment horizontal="center"/>
    </xf>
    <xf numFmtId="0" fontId="0" fillId="0" borderId="0" xfId="0" applyProtection="1"/>
    <xf numFmtId="0" fontId="3" fillId="4" borderId="0" xfId="0" applyFont="1" applyFill="1" applyBorder="1" applyAlignment="1">
      <alignment horizontal="center"/>
    </xf>
    <xf numFmtId="173" fontId="2" fillId="7" borderId="1" xfId="0" applyNumberFormat="1" applyFont="1" applyFill="1" applyBorder="1" applyAlignment="1" applyProtection="1">
      <alignment horizontal="center"/>
    </xf>
    <xf numFmtId="173" fontId="2" fillId="8" borderId="1" xfId="2" applyNumberFormat="1" applyFont="1" applyFill="1" applyBorder="1" applyAlignment="1" applyProtection="1">
      <alignment horizontal="center" vertical="center"/>
    </xf>
    <xf numFmtId="173" fontId="2" fillId="5" borderId="1" xfId="3" applyNumberFormat="1" applyFont="1" applyFill="1" applyBorder="1" applyAlignment="1" applyProtection="1">
      <alignment horizontal="center" vertical="center"/>
      <protection locked="0"/>
    </xf>
    <xf numFmtId="173" fontId="0" fillId="6" borderId="1" xfId="0" applyNumberFormat="1" applyFont="1" applyFill="1" applyBorder="1" applyAlignment="1">
      <alignment horizontal="center"/>
    </xf>
    <xf numFmtId="0" fontId="30" fillId="4" borderId="0" xfId="0" applyFont="1" applyFill="1"/>
    <xf numFmtId="173" fontId="2" fillId="4" borderId="0" xfId="0" applyNumberFormat="1" applyFont="1" applyFill="1" applyBorder="1" applyAlignment="1" applyProtection="1">
      <alignment horizontal="center"/>
    </xf>
    <xf numFmtId="10" fontId="2" fillId="5" borderId="1" xfId="4" applyNumberFormat="1" applyFont="1" applyFill="1" applyBorder="1" applyAlignment="1" applyProtection="1">
      <alignment horizontal="center" vertical="center"/>
      <protection locked="0"/>
    </xf>
    <xf numFmtId="169" fontId="2" fillId="5" borderId="1" xfId="3" applyNumberFormat="1" applyFont="1" applyFill="1" applyBorder="1" applyAlignment="1" applyProtection="1">
      <alignment horizontal="center" vertical="center"/>
      <protection locked="0"/>
    </xf>
    <xf numFmtId="169" fontId="0" fillId="6" borderId="1" xfId="0" applyNumberFormat="1" applyFont="1" applyFill="1" applyBorder="1" applyAlignment="1">
      <alignment horizontal="center"/>
    </xf>
    <xf numFmtId="169" fontId="2" fillId="8" borderId="1" xfId="2" applyNumberFormat="1" applyFont="1" applyFill="1" applyBorder="1" applyAlignment="1" applyProtection="1">
      <alignment horizontal="center" vertical="center"/>
    </xf>
    <xf numFmtId="169" fontId="3" fillId="8" borderId="1" xfId="3" applyNumberFormat="1" applyFont="1" applyFill="1" applyBorder="1" applyAlignment="1" applyProtection="1">
      <alignment horizontal="center" vertical="center"/>
    </xf>
    <xf numFmtId="173" fontId="3" fillId="8" borderId="1" xfId="3" applyNumberFormat="1" applyFont="1" applyFill="1" applyBorder="1" applyAlignment="1" applyProtection="1">
      <alignment horizontal="center" vertical="center"/>
    </xf>
    <xf numFmtId="0" fontId="3" fillId="4" borderId="0" xfId="0" applyFont="1" applyFill="1" applyBorder="1" applyAlignment="1" applyProtection="1">
      <alignment horizontal="left"/>
    </xf>
    <xf numFmtId="0" fontId="12" fillId="4" borderId="0" xfId="0" applyFont="1" applyFill="1" applyAlignment="1">
      <alignment horizontal="center"/>
    </xf>
    <xf numFmtId="10" fontId="23" fillId="6" borderId="1" xfId="4" applyNumberFormat="1" applyFont="1" applyFill="1" applyBorder="1" applyAlignment="1">
      <alignment horizontal="center"/>
    </xf>
    <xf numFmtId="10" fontId="23" fillId="6" borderId="1" xfId="4" applyNumberFormat="1"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10" fontId="2" fillId="4" borderId="0" xfId="0" applyNumberFormat="1" applyFont="1" applyFill="1" applyBorder="1" applyAlignment="1">
      <alignment horizontal="center" vertical="center"/>
    </xf>
    <xf numFmtId="10" fontId="2" fillId="8" borderId="1" xfId="4" applyNumberFormat="1" applyFont="1" applyFill="1" applyBorder="1" applyAlignment="1" applyProtection="1">
      <alignment horizontal="center" vertical="center"/>
    </xf>
    <xf numFmtId="0" fontId="3" fillId="4" borderId="0" xfId="0" applyFont="1" applyFill="1" applyBorder="1" applyAlignment="1">
      <alignment horizontal="center"/>
    </xf>
    <xf numFmtId="0" fontId="2" fillId="4" borderId="0" xfId="0" applyFont="1" applyFill="1" applyAlignment="1">
      <alignment horizontal="left" vertical="center" wrapText="1"/>
    </xf>
    <xf numFmtId="0" fontId="0" fillId="4" borderId="0" xfId="0" applyFont="1" applyFill="1" applyAlignment="1">
      <alignment horizontal="left" vertical="center" wrapText="1"/>
    </xf>
    <xf numFmtId="0" fontId="27" fillId="4" borderId="0" xfId="0" applyFont="1" applyFill="1" applyAlignment="1">
      <alignment horizontal="center" vertical="center" wrapText="1"/>
    </xf>
    <xf numFmtId="0" fontId="0" fillId="4" borderId="0" xfId="0" applyFont="1" applyFill="1" applyAlignment="1">
      <alignment horizontal="center" vertical="center"/>
    </xf>
    <xf numFmtId="0" fontId="0" fillId="0" borderId="0" xfId="0" applyFont="1" applyAlignment="1">
      <alignment horizontal="center" vertical="center"/>
    </xf>
    <xf numFmtId="0" fontId="25" fillId="4" borderId="0" xfId="0" applyFont="1" applyFill="1" applyAlignment="1">
      <alignment horizontal="center"/>
    </xf>
    <xf numFmtId="0" fontId="0" fillId="4" borderId="0" xfId="0" applyFill="1" applyAlignment="1">
      <alignment horizontal="center" vertical="center"/>
    </xf>
    <xf numFmtId="169" fontId="0" fillId="6" borderId="1" xfId="0" applyNumberFormat="1" applyFont="1" applyFill="1" applyBorder="1" applyAlignment="1">
      <alignment horizontal="center" vertical="center"/>
    </xf>
    <xf numFmtId="173" fontId="0" fillId="6" borderId="1" xfId="0" applyNumberFormat="1" applyFont="1" applyFill="1" applyBorder="1" applyAlignment="1">
      <alignment horizontal="center" vertical="center"/>
    </xf>
    <xf numFmtId="0" fontId="6" fillId="4" borderId="0" xfId="0" applyFont="1" applyFill="1" applyAlignment="1">
      <alignment vertical="center" wrapText="1"/>
    </xf>
    <xf numFmtId="0" fontId="6" fillId="4" borderId="0" xfId="0" applyFont="1" applyFill="1" applyAlignment="1">
      <alignment vertical="center"/>
    </xf>
    <xf numFmtId="0" fontId="8" fillId="4" borderId="0" xfId="4" applyNumberFormat="1" applyFont="1" applyFill="1" applyBorder="1" applyAlignment="1">
      <alignment horizontal="center" vertical="center"/>
    </xf>
    <xf numFmtId="43" fontId="8" fillId="4" borderId="0" xfId="0" applyNumberFormat="1" applyFont="1" applyFill="1" applyBorder="1" applyAlignment="1">
      <alignment vertical="center"/>
    </xf>
    <xf numFmtId="0" fontId="2" fillId="4" borderId="0" xfId="0" applyFont="1" applyFill="1" applyAlignment="1">
      <alignment horizontal="left"/>
    </xf>
    <xf numFmtId="0" fontId="3" fillId="0" borderId="0" xfId="0" applyFont="1"/>
    <xf numFmtId="0" fontId="2" fillId="4" borderId="0" xfId="0" applyFont="1" applyFill="1" applyAlignment="1">
      <alignment horizontal="left" vertical="center"/>
    </xf>
    <xf numFmtId="0" fontId="2" fillId="0" borderId="0" xfId="0" applyFont="1" applyAlignment="1">
      <alignment horizontal="center"/>
    </xf>
    <xf numFmtId="0" fontId="2" fillId="4" borderId="0" xfId="0" applyFont="1" applyFill="1" applyAlignment="1">
      <alignment horizontal="center" vertical="center" wrapText="1"/>
    </xf>
    <xf numFmtId="0" fontId="0" fillId="4" borderId="0"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0" xfId="0" applyFont="1" applyFill="1" applyBorder="1" applyAlignment="1">
      <alignment horizontal="center" vertical="center"/>
    </xf>
    <xf numFmtId="0" fontId="6" fillId="4" borderId="0" xfId="0" applyFont="1" applyFill="1" applyAlignment="1">
      <alignment horizontal="center" vertical="center" wrapText="1"/>
    </xf>
    <xf numFmtId="0" fontId="8" fillId="4" borderId="0" xfId="0" applyFont="1" applyFill="1" applyAlignment="1">
      <alignment horizontal="center" vertical="center" wrapText="1"/>
    </xf>
    <xf numFmtId="0" fontId="0" fillId="0" borderId="0" xfId="0" applyFont="1" applyAlignment="1">
      <alignment horizontal="center" vertical="center" wrapText="1"/>
    </xf>
    <xf numFmtId="0" fontId="25" fillId="4" borderId="0" xfId="0" applyFont="1" applyFill="1" applyAlignment="1">
      <alignment horizontal="center" vertical="center" wrapText="1"/>
    </xf>
    <xf numFmtId="0" fontId="0" fillId="0" borderId="0" xfId="0" applyAlignment="1">
      <alignment horizontal="center"/>
    </xf>
    <xf numFmtId="0" fontId="8" fillId="4" borderId="0" xfId="0" applyFont="1" applyFill="1" applyBorder="1" applyAlignment="1" applyProtection="1">
      <alignment horizontal="center"/>
    </xf>
    <xf numFmtId="0" fontId="0" fillId="0" borderId="0" xfId="0" applyFont="1" applyAlignment="1" applyProtection="1">
      <alignment horizontal="center"/>
    </xf>
    <xf numFmtId="0" fontId="2" fillId="0" borderId="0" xfId="0" applyFont="1" applyAlignment="1" applyProtection="1">
      <alignment horizontal="center" vertical="center" wrapText="1"/>
    </xf>
    <xf numFmtId="0" fontId="30" fillId="4" borderId="0" xfId="0" applyFont="1" applyFill="1" applyAlignment="1">
      <alignment horizontal="center"/>
    </xf>
    <xf numFmtId="173" fontId="2" fillId="7" borderId="1" xfId="0" applyNumberFormat="1" applyFont="1" applyFill="1" applyBorder="1" applyAlignment="1" applyProtection="1">
      <alignment horizontal="center" vertical="center"/>
    </xf>
    <xf numFmtId="0" fontId="30" fillId="4" borderId="0" xfId="0" applyFont="1" applyFill="1" applyAlignment="1">
      <alignment vertical="center"/>
    </xf>
    <xf numFmtId="0" fontId="7" fillId="4" borderId="0" xfId="0" applyFont="1" applyFill="1" applyAlignment="1" applyProtection="1">
      <alignment vertical="center"/>
    </xf>
    <xf numFmtId="169" fontId="3" fillId="4" borderId="0" xfId="3" applyNumberFormat="1" applyFont="1" applyFill="1" applyBorder="1" applyAlignment="1" applyProtection="1">
      <alignment horizontal="center" vertical="center"/>
    </xf>
    <xf numFmtId="169" fontId="3" fillId="8" borderId="1" xfId="2" applyNumberFormat="1" applyFont="1" applyFill="1" applyBorder="1" applyAlignment="1" applyProtection="1">
      <alignment horizontal="center" vertical="center"/>
    </xf>
    <xf numFmtId="169" fontId="0" fillId="4" borderId="0" xfId="0" applyNumberFormat="1" applyFont="1" applyFill="1"/>
    <xf numFmtId="0" fontId="30" fillId="4" borderId="0" xfId="0" applyFont="1" applyFill="1" applyProtection="1"/>
    <xf numFmtId="0" fontId="6" fillId="4" borderId="0" xfId="0" applyFont="1" applyFill="1" applyProtection="1"/>
    <xf numFmtId="0" fontId="7" fillId="4" borderId="0" xfId="0" applyFont="1" applyFill="1" applyBorder="1" applyProtection="1"/>
    <xf numFmtId="0" fontId="7" fillId="4" borderId="0" xfId="0" applyFont="1" applyFill="1" applyBorder="1" applyAlignment="1" applyProtection="1">
      <alignment horizontal="center"/>
    </xf>
    <xf numFmtId="17" fontId="7" fillId="4" borderId="0" xfId="0" quotePrefix="1" applyNumberFormat="1" applyFont="1" applyFill="1" applyBorder="1" applyProtection="1"/>
    <xf numFmtId="173" fontId="2" fillId="5" borderId="1" xfId="3" applyNumberFormat="1" applyFont="1" applyFill="1" applyBorder="1" applyAlignment="1" applyProtection="1">
      <alignment horizontal="center" vertical="center"/>
    </xf>
    <xf numFmtId="173" fontId="0" fillId="6" borderId="1" xfId="0" applyNumberFormat="1" applyFont="1" applyFill="1" applyBorder="1" applyAlignment="1" applyProtection="1">
      <alignment horizontal="center"/>
    </xf>
    <xf numFmtId="0" fontId="2" fillId="0" borderId="0" xfId="0" applyFont="1" applyAlignment="1" applyProtection="1">
      <alignment horizontal="center"/>
    </xf>
    <xf numFmtId="0" fontId="0" fillId="2" borderId="0" xfId="0" applyFill="1" applyBorder="1" applyAlignment="1">
      <alignment horizontal="center"/>
    </xf>
    <xf numFmtId="169" fontId="2" fillId="4" borderId="0" xfId="2" applyNumberFormat="1" applyFont="1" applyFill="1" applyBorder="1" applyAlignment="1" applyProtection="1">
      <alignment horizontal="center" vertical="center"/>
    </xf>
    <xf numFmtId="0" fontId="2" fillId="4" borderId="0" xfId="0" applyFont="1" applyFill="1" applyAlignment="1">
      <alignment horizontal="left" vertical="center" wrapText="1"/>
    </xf>
    <xf numFmtId="173" fontId="0" fillId="4" borderId="10" xfId="0" applyNumberFormat="1" applyFont="1" applyFill="1" applyBorder="1" applyAlignment="1" applyProtection="1">
      <alignment horizontal="center" vertical="center"/>
    </xf>
    <xf numFmtId="0" fontId="2" fillId="4" borderId="0" xfId="0" applyFont="1" applyFill="1" applyAlignment="1" applyProtection="1">
      <alignment horizontal="left" vertical="center" wrapText="1"/>
    </xf>
    <xf numFmtId="0" fontId="2" fillId="4" borderId="0" xfId="0" applyFont="1" applyFill="1" applyAlignment="1" applyProtection="1">
      <alignment horizontal="left" vertical="center"/>
    </xf>
    <xf numFmtId="10" fontId="23" fillId="6" borderId="1" xfId="4" applyNumberFormat="1" applyFont="1" applyFill="1" applyBorder="1" applyAlignment="1" applyProtection="1">
      <alignment horizontal="center" vertical="center"/>
      <protection locked="0"/>
    </xf>
    <xf numFmtId="169" fontId="0" fillId="6" borderId="1" xfId="0" applyNumberFormat="1" applyFont="1" applyFill="1" applyBorder="1" applyAlignment="1" applyProtection="1">
      <alignment horizontal="center" vertical="center"/>
      <protection locked="0"/>
    </xf>
    <xf numFmtId="173" fontId="0" fillId="6" borderId="1" xfId="0" applyNumberFormat="1" applyFont="1" applyFill="1" applyBorder="1" applyAlignment="1" applyProtection="1">
      <alignment horizontal="center" vertical="center"/>
      <protection locked="0"/>
    </xf>
    <xf numFmtId="0" fontId="31" fillId="4" borderId="0" xfId="0" applyFont="1" applyFill="1" applyAlignment="1">
      <alignment horizontal="center"/>
    </xf>
    <xf numFmtId="0" fontId="32" fillId="4" borderId="0" xfId="0" applyFont="1" applyFill="1" applyAlignment="1">
      <alignment horizontal="left"/>
    </xf>
    <xf numFmtId="0" fontId="32" fillId="0" borderId="0" xfId="0" applyFont="1" applyAlignment="1">
      <alignment horizontal="left"/>
    </xf>
    <xf numFmtId="0" fontId="0" fillId="4" borderId="0" xfId="0" applyFill="1" applyBorder="1" applyAlignment="1">
      <alignment horizontal="center" vertical="center"/>
    </xf>
    <xf numFmtId="17" fontId="2" fillId="7" borderId="1" xfId="0" quotePrefix="1" applyNumberFormat="1" applyFont="1" applyFill="1" applyBorder="1" applyAlignment="1" applyProtection="1">
      <alignment horizontal="center"/>
    </xf>
    <xf numFmtId="173" fontId="2" fillId="7" borderId="1" xfId="0" applyNumberFormat="1" applyFont="1" applyFill="1" applyBorder="1" applyAlignment="1" applyProtection="1">
      <alignment horizontal="left"/>
    </xf>
    <xf numFmtId="173" fontId="2" fillId="7" borderId="1" xfId="0" quotePrefix="1" applyNumberFormat="1" applyFont="1" applyFill="1" applyBorder="1" applyAlignment="1" applyProtection="1">
      <alignment horizontal="center"/>
    </xf>
    <xf numFmtId="0" fontId="2" fillId="4" borderId="0" xfId="0" applyFont="1" applyFill="1" applyAlignment="1" applyProtection="1">
      <alignment vertical="center" wrapText="1"/>
    </xf>
    <xf numFmtId="0" fontId="2" fillId="4" borderId="0" xfId="0" applyFont="1" applyFill="1" applyBorder="1" applyAlignment="1" applyProtection="1">
      <alignment horizontal="left"/>
    </xf>
    <xf numFmtId="0" fontId="2" fillId="4" borderId="0" xfId="0" applyFont="1" applyFill="1" applyAlignment="1" applyProtection="1">
      <alignment horizontal="right" vertical="center"/>
    </xf>
    <xf numFmtId="0" fontId="2" fillId="4" borderId="0" xfId="0" applyFont="1" applyFill="1" applyBorder="1" applyAlignment="1" applyProtection="1">
      <alignment horizontal="right" vertical="center" wrapText="1"/>
    </xf>
    <xf numFmtId="0" fontId="2" fillId="4" borderId="0" xfId="0" applyFont="1" applyFill="1" applyAlignment="1" applyProtection="1">
      <alignment vertical="center" wrapText="1"/>
    </xf>
    <xf numFmtId="0" fontId="31" fillId="4" borderId="0" xfId="0" applyFont="1" applyFill="1" applyProtection="1"/>
    <xf numFmtId="173" fontId="0" fillId="6" borderId="1" xfId="0" applyNumberFormat="1" applyFont="1" applyFill="1" applyBorder="1" applyAlignment="1">
      <alignment horizontal="left"/>
    </xf>
    <xf numFmtId="0" fontId="5" fillId="4" borderId="0" xfId="0" applyFont="1" applyFill="1" applyBorder="1" applyAlignment="1" applyProtection="1">
      <alignment horizontal="left" wrapText="1"/>
    </xf>
    <xf numFmtId="0" fontId="25" fillId="4" borderId="0" xfId="0" applyFont="1" applyFill="1" applyAlignment="1" applyProtection="1">
      <alignment wrapText="1"/>
    </xf>
    <xf numFmtId="0" fontId="2" fillId="0" borderId="0" xfId="0" applyFont="1" applyAlignment="1" applyProtection="1">
      <alignment wrapText="1"/>
    </xf>
    <xf numFmtId="0" fontId="2" fillId="4" borderId="0" xfId="0" applyFont="1" applyFill="1" applyAlignment="1">
      <alignment wrapText="1"/>
    </xf>
    <xf numFmtId="0" fontId="5" fillId="4" borderId="0" xfId="0" applyFont="1" applyFill="1" applyBorder="1" applyAlignment="1" applyProtection="1">
      <alignment vertical="center" wrapText="1"/>
    </xf>
    <xf numFmtId="0" fontId="2" fillId="4" borderId="0" xfId="0" applyFont="1" applyFill="1" applyAlignment="1" applyProtection="1">
      <alignment vertical="top" wrapText="1"/>
    </xf>
    <xf numFmtId="0" fontId="30" fillId="4" borderId="0" xfId="0" applyFont="1" applyFill="1" applyAlignment="1">
      <alignment vertical="top"/>
    </xf>
    <xf numFmtId="0" fontId="2" fillId="4" borderId="0" xfId="0" applyFont="1" applyFill="1" applyAlignment="1" applyProtection="1">
      <alignment vertical="top"/>
    </xf>
    <xf numFmtId="0" fontId="2" fillId="4" borderId="0" xfId="0" applyFont="1" applyFill="1" applyAlignment="1" applyProtection="1">
      <alignment horizontal="center" vertical="top"/>
    </xf>
    <xf numFmtId="0" fontId="25" fillId="4" borderId="0" xfId="0" applyFont="1" applyFill="1" applyAlignment="1" applyProtection="1">
      <alignment vertical="top"/>
    </xf>
    <xf numFmtId="0" fontId="3" fillId="4" borderId="0" xfId="0" applyFont="1" applyFill="1" applyAlignment="1" applyProtection="1">
      <alignment horizontal="center" vertical="top"/>
    </xf>
    <xf numFmtId="0" fontId="12" fillId="4" borderId="0" xfId="0" applyFont="1" applyFill="1" applyAlignment="1" applyProtection="1">
      <alignment vertical="top"/>
    </xf>
    <xf numFmtId="0" fontId="0" fillId="4" borderId="0" xfId="0" applyFont="1" applyFill="1" applyAlignment="1" applyProtection="1">
      <alignment vertical="top"/>
    </xf>
    <xf numFmtId="0" fontId="2" fillId="4" borderId="0" xfId="0" applyFont="1" applyFill="1" applyAlignment="1" applyProtection="1">
      <alignment horizontal="center" vertical="top" wrapText="1"/>
    </xf>
    <xf numFmtId="10" fontId="2" fillId="7" borderId="1" xfId="4" applyNumberFormat="1" applyFont="1" applyFill="1" applyBorder="1" applyAlignment="1" applyProtection="1">
      <alignment horizontal="center" vertical="top"/>
    </xf>
    <xf numFmtId="0" fontId="2" fillId="3" borderId="0" xfId="0" applyFont="1" applyFill="1" applyAlignment="1" applyProtection="1">
      <alignment vertical="top" wrapText="1"/>
    </xf>
    <xf numFmtId="0" fontId="2" fillId="0" borderId="0" xfId="0" applyFont="1" applyAlignment="1" applyProtection="1">
      <alignment vertical="top" wrapText="1"/>
    </xf>
    <xf numFmtId="0" fontId="2" fillId="4" borderId="0" xfId="0" applyFont="1" applyFill="1" applyAlignment="1">
      <alignment vertical="top"/>
    </xf>
    <xf numFmtId="0" fontId="0" fillId="4" borderId="0" xfId="0" applyFont="1" applyFill="1" applyAlignment="1">
      <alignment horizontal="center" vertical="top"/>
    </xf>
    <xf numFmtId="0" fontId="0" fillId="4" borderId="0" xfId="0" applyFont="1" applyFill="1" applyAlignment="1">
      <alignment vertical="top"/>
    </xf>
    <xf numFmtId="0" fontId="12" fillId="4" borderId="0" xfId="0" applyFont="1" applyFill="1" applyBorder="1" applyAlignment="1">
      <alignment vertical="top"/>
    </xf>
    <xf numFmtId="0" fontId="2" fillId="4" borderId="0" xfId="0" applyFont="1" applyFill="1" applyAlignment="1">
      <alignment horizontal="center" vertical="top"/>
    </xf>
    <xf numFmtId="0" fontId="3" fillId="4" borderId="0" xfId="0" applyFont="1" applyFill="1" applyAlignment="1">
      <alignment horizontal="center" vertical="top"/>
    </xf>
    <xf numFmtId="0" fontId="0" fillId="4" borderId="0" xfId="0" applyFill="1" applyAlignment="1">
      <alignment horizontal="center" vertical="top"/>
    </xf>
    <xf numFmtId="0" fontId="8" fillId="4" borderId="0" xfId="0" applyFont="1" applyFill="1" applyAlignment="1" applyProtection="1">
      <alignment vertical="top"/>
    </xf>
    <xf numFmtId="0" fontId="8" fillId="4" borderId="0" xfId="0" applyFont="1" applyFill="1" applyAlignment="1" applyProtection="1">
      <alignment horizontal="center" vertical="top"/>
    </xf>
    <xf numFmtId="169" fontId="2" fillId="7" borderId="1" xfId="0" applyNumberFormat="1" applyFont="1" applyFill="1" applyBorder="1" applyAlignment="1" applyProtection="1">
      <alignment horizontal="center" vertical="top"/>
    </xf>
    <xf numFmtId="0" fontId="0" fillId="4" borderId="0" xfId="0" applyFont="1" applyFill="1" applyAlignment="1" applyProtection="1">
      <alignment horizontal="center" vertical="top"/>
    </xf>
    <xf numFmtId="0" fontId="2" fillId="4" borderId="0" xfId="0" applyFont="1" applyFill="1" applyBorder="1" applyAlignment="1" applyProtection="1">
      <alignment horizontal="center" vertical="top"/>
    </xf>
    <xf numFmtId="0" fontId="2" fillId="4" borderId="0" xfId="0" quotePrefix="1" applyFont="1" applyFill="1" applyAlignment="1" applyProtection="1">
      <alignment vertical="top"/>
    </xf>
    <xf numFmtId="0" fontId="0" fillId="4" borderId="0" xfId="0" applyFont="1" applyFill="1" applyBorder="1" applyAlignment="1" applyProtection="1">
      <alignment horizontal="center" vertical="top"/>
    </xf>
    <xf numFmtId="0" fontId="18" fillId="4" borderId="0" xfId="0" applyFont="1" applyFill="1" applyAlignment="1" applyProtection="1">
      <alignment vertical="top"/>
    </xf>
    <xf numFmtId="0" fontId="0" fillId="4" borderId="0" xfId="0" applyFill="1" applyAlignment="1" applyProtection="1">
      <alignment vertical="top"/>
    </xf>
    <xf numFmtId="0" fontId="0" fillId="4" borderId="0" xfId="0" applyFill="1" applyBorder="1" applyAlignment="1" applyProtection="1">
      <alignment horizontal="center" vertical="top"/>
    </xf>
    <xf numFmtId="173" fontId="2" fillId="7" borderId="1" xfId="0" applyNumberFormat="1" applyFont="1" applyFill="1" applyBorder="1" applyAlignment="1" applyProtection="1">
      <alignment horizontal="center" vertical="top"/>
    </xf>
    <xf numFmtId="0" fontId="8" fillId="4" borderId="0" xfId="0" applyFont="1" applyFill="1" applyAlignment="1">
      <alignment vertical="top"/>
    </xf>
    <xf numFmtId="0" fontId="8" fillId="4" borderId="0" xfId="0" applyFont="1" applyFill="1" applyAlignment="1">
      <alignment horizontal="center" vertical="top"/>
    </xf>
    <xf numFmtId="0" fontId="13" fillId="4" borderId="0" xfId="0" applyFont="1" applyFill="1" applyAlignment="1">
      <alignment horizontal="center" vertical="top"/>
    </xf>
    <xf numFmtId="0" fontId="0" fillId="0" borderId="0" xfId="0" applyFont="1" applyAlignment="1">
      <alignment vertical="top"/>
    </xf>
    <xf numFmtId="0" fontId="5" fillId="4" borderId="0" xfId="0" applyFont="1" applyFill="1" applyBorder="1" applyAlignment="1" applyProtection="1">
      <alignment vertical="top"/>
    </xf>
    <xf numFmtId="0" fontId="12" fillId="4" borderId="0" xfId="0" applyFont="1" applyFill="1" applyAlignment="1">
      <alignment horizontal="center" vertical="top"/>
    </xf>
    <xf numFmtId="10" fontId="2" fillId="7" borderId="1" xfId="0" applyNumberFormat="1" applyFont="1" applyFill="1" applyBorder="1" applyAlignment="1" applyProtection="1">
      <alignment horizontal="center" vertical="top"/>
    </xf>
    <xf numFmtId="0" fontId="2" fillId="4" borderId="0" xfId="0" applyFont="1" applyFill="1" applyAlignment="1" applyProtection="1">
      <alignment horizontal="right" vertical="top"/>
    </xf>
    <xf numFmtId="0" fontId="2" fillId="0" borderId="0" xfId="0" applyFont="1" applyAlignment="1" applyProtection="1">
      <alignment vertical="top"/>
    </xf>
    <xf numFmtId="0" fontId="2" fillId="0" borderId="0" xfId="0" applyFont="1" applyAlignment="1" applyProtection="1">
      <alignment horizontal="right" vertical="top"/>
    </xf>
    <xf numFmtId="0" fontId="0" fillId="0" borderId="0" xfId="0" applyFont="1" applyAlignment="1" applyProtection="1">
      <alignment vertical="top"/>
    </xf>
    <xf numFmtId="169" fontId="2" fillId="9" borderId="1" xfId="0" applyNumberFormat="1" applyFont="1" applyFill="1" applyBorder="1" applyAlignment="1" applyProtection="1">
      <alignment horizontal="center" vertical="top"/>
    </xf>
    <xf numFmtId="173" fontId="2" fillId="9" borderId="1" xfId="0" applyNumberFormat="1" applyFont="1" applyFill="1" applyBorder="1" applyAlignment="1" applyProtection="1">
      <alignment horizontal="center"/>
    </xf>
    <xf numFmtId="10" fontId="2" fillId="9" borderId="1" xfId="4" applyNumberFormat="1" applyFont="1" applyFill="1" applyBorder="1" applyAlignment="1" applyProtection="1">
      <alignment horizontal="center" vertical="top"/>
    </xf>
    <xf numFmtId="0" fontId="2" fillId="4" borderId="0" xfId="0" applyFont="1" applyFill="1" applyAlignment="1" applyProtection="1">
      <alignment vertical="center" wrapText="1"/>
    </xf>
    <xf numFmtId="0" fontId="2" fillId="4" borderId="0" xfId="0" applyFont="1" applyFill="1" applyAlignment="1">
      <alignment horizontal="left"/>
    </xf>
    <xf numFmtId="173" fontId="33" fillId="7" borderId="1" xfId="5" applyNumberFormat="1" applyFill="1" applyBorder="1" applyAlignment="1" applyProtection="1">
      <alignment horizontal="left"/>
    </xf>
    <xf numFmtId="0" fontId="2" fillId="4" borderId="0" xfId="0" applyFont="1" applyFill="1" applyAlignment="1" applyProtection="1">
      <alignment vertical="center" wrapText="1"/>
    </xf>
    <xf numFmtId="0" fontId="26" fillId="0" borderId="0" xfId="0" applyFont="1"/>
    <xf numFmtId="169" fontId="2" fillId="8" borderId="1" xfId="3" applyNumberFormat="1" applyFont="1" applyFill="1" applyBorder="1" applyAlignment="1" applyProtection="1">
      <alignment horizontal="center" vertical="center"/>
      <protection locked="0"/>
    </xf>
    <xf numFmtId="0" fontId="2" fillId="4" borderId="0" xfId="0" applyFont="1" applyFill="1" applyAlignment="1" applyProtection="1">
      <alignment vertical="center" wrapText="1"/>
    </xf>
    <xf numFmtId="169" fontId="0" fillId="6" borderId="1" xfId="0" applyNumberFormat="1" applyFont="1" applyFill="1" applyBorder="1" applyAlignment="1" applyProtection="1">
      <alignment horizontal="center"/>
    </xf>
    <xf numFmtId="0" fontId="3" fillId="4" borderId="0" xfId="0" applyFont="1" applyFill="1" applyAlignment="1" applyProtection="1">
      <alignment vertical="center"/>
    </xf>
    <xf numFmtId="0" fontId="2" fillId="4" borderId="0" xfId="0" applyFont="1" applyFill="1" applyAlignment="1" applyProtection="1">
      <alignment horizontal="left" vertical="center" wrapText="1" indent="2"/>
    </xf>
    <xf numFmtId="0" fontId="35" fillId="4" borderId="0" xfId="0" applyFont="1" applyFill="1" applyAlignment="1">
      <alignment horizontal="left" vertical="center" indent="1"/>
    </xf>
    <xf numFmtId="0" fontId="2" fillId="4" borderId="0" xfId="0" applyFont="1" applyFill="1" applyAlignment="1" applyProtection="1">
      <alignment horizontal="left" vertical="center" wrapText="1" indent="1"/>
    </xf>
    <xf numFmtId="0" fontId="3" fillId="4" borderId="0" xfId="0" applyFont="1" applyFill="1" applyAlignment="1" applyProtection="1">
      <alignment horizontal="left" vertical="center" wrapText="1" indent="1"/>
    </xf>
    <xf numFmtId="0" fontId="2" fillId="4" borderId="0" xfId="0" applyFont="1" applyFill="1" applyAlignment="1">
      <alignment horizontal="left" vertical="center" indent="1"/>
    </xf>
    <xf numFmtId="0" fontId="2" fillId="4" borderId="0" xfId="0" applyFont="1" applyFill="1" applyAlignment="1">
      <alignment horizontal="left" vertical="center" wrapText="1" indent="1"/>
    </xf>
    <xf numFmtId="0" fontId="34" fillId="0" borderId="0" xfId="0" applyFont="1" applyAlignment="1">
      <alignment horizontal="left" indent="1"/>
    </xf>
    <xf numFmtId="0" fontId="0" fillId="0" borderId="0" xfId="0" applyAlignment="1">
      <alignment horizontal="left" indent="1"/>
    </xf>
    <xf numFmtId="0" fontId="2" fillId="4" borderId="0" xfId="0" applyFont="1" applyFill="1" applyAlignment="1">
      <alignment horizontal="left" vertical="center" wrapText="1" indent="2"/>
    </xf>
    <xf numFmtId="0" fontId="0" fillId="0" borderId="0" xfId="0" applyAlignment="1">
      <alignment horizontal="left" wrapText="1" indent="1"/>
    </xf>
    <xf numFmtId="0" fontId="0" fillId="0" borderId="0" xfId="0" applyAlignment="1">
      <alignment horizontal="left" indent="2"/>
    </xf>
    <xf numFmtId="0" fontId="0" fillId="0" borderId="0" xfId="0" applyFont="1" applyAlignment="1">
      <alignment horizontal="left" indent="2"/>
    </xf>
    <xf numFmtId="0" fontId="2" fillId="4" borderId="0" xfId="0" applyFont="1" applyFill="1" applyAlignment="1">
      <alignment horizontal="left" indent="2"/>
    </xf>
    <xf numFmtId="0" fontId="2" fillId="4" borderId="0" xfId="0" applyFont="1" applyFill="1" applyAlignment="1">
      <alignment horizontal="left" indent="1"/>
    </xf>
    <xf numFmtId="0" fontId="2" fillId="4" borderId="0" xfId="0" applyFont="1" applyFill="1" applyBorder="1" applyAlignment="1" applyProtection="1">
      <alignment horizontal="left" vertical="center" wrapText="1" indent="2"/>
    </xf>
    <xf numFmtId="0" fontId="25" fillId="4" borderId="0" xfId="0" applyFont="1" applyFill="1" applyAlignment="1">
      <alignment horizontal="left" vertical="center" indent="1"/>
    </xf>
    <xf numFmtId="0" fontId="30" fillId="4" borderId="0" xfId="0" applyFont="1" applyFill="1" applyAlignment="1">
      <alignment horizontal="left" vertical="center"/>
    </xf>
    <xf numFmtId="0" fontId="5" fillId="4" borderId="0" xfId="0" applyFont="1" applyFill="1" applyAlignment="1" applyProtection="1">
      <alignment vertical="center" wrapText="1"/>
    </xf>
    <xf numFmtId="0" fontId="2" fillId="4" borderId="0" xfId="0" applyFont="1" applyFill="1" applyAlignment="1" applyProtection="1">
      <alignment horizontal="left" vertical="center" indent="2"/>
    </xf>
    <xf numFmtId="0" fontId="2" fillId="4" borderId="0" xfId="0" applyFont="1" applyFill="1" applyBorder="1" applyAlignment="1" applyProtection="1">
      <alignment horizontal="left" vertical="center" wrapText="1" indent="1"/>
    </xf>
    <xf numFmtId="167" fontId="2" fillId="5" borderId="11" xfId="0" applyNumberFormat="1" applyFont="1" applyFill="1" applyBorder="1" applyAlignment="1" applyProtection="1">
      <alignment vertical="center"/>
    </xf>
    <xf numFmtId="167" fontId="2" fillId="5" borderId="10" xfId="0" applyNumberFormat="1" applyFont="1" applyFill="1" applyBorder="1" applyAlignment="1" applyProtection="1">
      <alignment vertical="center"/>
    </xf>
    <xf numFmtId="167" fontId="2" fillId="5" borderId="12" xfId="0" applyNumberFormat="1" applyFont="1" applyFill="1" applyBorder="1" applyAlignment="1" applyProtection="1">
      <alignment vertical="center"/>
    </xf>
    <xf numFmtId="169" fontId="2" fillId="7" borderId="1" xfId="3" applyNumberFormat="1" applyFont="1" applyFill="1" applyBorder="1" applyAlignment="1" applyProtection="1">
      <alignment horizontal="center" vertical="center"/>
    </xf>
    <xf numFmtId="173" fontId="2" fillId="7" borderId="1" xfId="3" applyNumberFormat="1" applyFont="1" applyFill="1" applyBorder="1" applyAlignment="1" applyProtection="1">
      <alignment horizontal="center" vertical="center"/>
    </xf>
    <xf numFmtId="49" fontId="2" fillId="5" borderId="1" xfId="3" applyNumberFormat="1" applyFont="1" applyFill="1" applyBorder="1" applyAlignment="1" applyProtection="1">
      <alignment horizontal="left" vertical="center" indent="1"/>
      <protection locked="0"/>
    </xf>
    <xf numFmtId="49" fontId="2" fillId="7" borderId="1" xfId="3" applyNumberFormat="1" applyFont="1" applyFill="1" applyBorder="1" applyAlignment="1" applyProtection="1">
      <alignment horizontal="left" vertical="center"/>
    </xf>
    <xf numFmtId="167" fontId="2" fillId="5" borderId="1" xfId="3" applyNumberFormat="1" applyFont="1" applyFill="1" applyBorder="1" applyAlignment="1" applyProtection="1">
      <alignment horizontal="left" vertical="center" wrapText="1" indent="2"/>
      <protection locked="0"/>
    </xf>
    <xf numFmtId="167" fontId="2" fillId="5" borderId="1" xfId="3" applyNumberFormat="1" applyFont="1" applyFill="1" applyBorder="1" applyAlignment="1" applyProtection="1">
      <alignment horizontal="left" vertical="center" wrapText="1" indent="1"/>
      <protection locked="0"/>
    </xf>
    <xf numFmtId="49" fontId="2" fillId="5" borderId="1" xfId="3" applyNumberFormat="1" applyFont="1" applyFill="1" applyBorder="1" applyAlignment="1" applyProtection="1">
      <alignment horizontal="left" vertical="center" wrapText="1"/>
      <protection locked="0"/>
    </xf>
    <xf numFmtId="0" fontId="2" fillId="4" borderId="0" xfId="0" applyFont="1" applyFill="1" applyAlignment="1" applyProtection="1">
      <alignment horizontal="left" vertical="top"/>
    </xf>
    <xf numFmtId="0" fontId="0" fillId="0" borderId="0" xfId="0" applyAlignment="1">
      <alignment horizontal="left" vertical="top"/>
    </xf>
    <xf numFmtId="0" fontId="2" fillId="5" borderId="11" xfId="4" applyNumberFormat="1" applyFont="1" applyFill="1" applyBorder="1" applyAlignment="1" applyProtection="1">
      <alignment horizontal="left" vertical="center"/>
      <protection locked="0"/>
    </xf>
    <xf numFmtId="0" fontId="2" fillId="5" borderId="10" xfId="4" applyNumberFormat="1" applyFont="1" applyFill="1" applyBorder="1" applyAlignment="1" applyProtection="1">
      <alignment horizontal="left" vertical="center"/>
      <protection locked="0"/>
    </xf>
    <xf numFmtId="0" fontId="2" fillId="5" borderId="12" xfId="4" applyNumberFormat="1" applyFont="1" applyFill="1" applyBorder="1" applyAlignment="1" applyProtection="1">
      <alignment horizontal="left" vertical="center"/>
      <protection locked="0"/>
    </xf>
    <xf numFmtId="0" fontId="2" fillId="4" borderId="0" xfId="0" applyFont="1" applyFill="1" applyAlignment="1" applyProtection="1">
      <alignment vertical="center" wrapText="1"/>
    </xf>
    <xf numFmtId="0" fontId="3" fillId="4" borderId="0" xfId="0" applyFont="1" applyFill="1" applyBorder="1" applyAlignment="1">
      <alignment horizontal="center"/>
    </xf>
    <xf numFmtId="0" fontId="2" fillId="4" borderId="0" xfId="0" applyFont="1" applyFill="1" applyAlignment="1"/>
    <xf numFmtId="0" fontId="0" fillId="0" borderId="0" xfId="0" applyAlignment="1"/>
    <xf numFmtId="0" fontId="2" fillId="4" borderId="0" xfId="0" applyFont="1" applyFill="1" applyBorder="1" applyAlignment="1" applyProtection="1"/>
    <xf numFmtId="0" fontId="0" fillId="4" borderId="0" xfId="0" applyFill="1" applyAlignment="1">
      <alignment horizontal="left"/>
    </xf>
    <xf numFmtId="0" fontId="0" fillId="4" borderId="0" xfId="0" applyFont="1" applyFill="1" applyAlignment="1">
      <alignment horizontal="left"/>
    </xf>
    <xf numFmtId="0" fontId="2" fillId="4" borderId="0" xfId="0" applyFont="1" applyFill="1" applyAlignment="1">
      <alignment horizontal="left"/>
    </xf>
    <xf numFmtId="0" fontId="2" fillId="4" borderId="0" xfId="0" applyFont="1" applyFill="1" applyBorder="1" applyAlignment="1"/>
    <xf numFmtId="0" fontId="0" fillId="0" borderId="0" xfId="0" applyFont="1" applyBorder="1" applyAlignment="1"/>
    <xf numFmtId="0" fontId="3" fillId="4" borderId="3" xfId="0" applyFont="1" applyFill="1" applyBorder="1" applyAlignment="1">
      <alignment horizontal="center"/>
    </xf>
    <xf numFmtId="0" fontId="25" fillId="0" borderId="4" xfId="0" applyFont="1" applyBorder="1" applyAlignment="1">
      <alignment horizontal="center"/>
    </xf>
    <xf numFmtId="0" fontId="25" fillId="0" borderId="5" xfId="0" applyFont="1" applyBorder="1" applyAlignment="1">
      <alignment horizontal="center"/>
    </xf>
    <xf numFmtId="0" fontId="2" fillId="4"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5" fillId="3" borderId="0" xfId="0" applyFont="1" applyFill="1" applyAlignment="1">
      <alignment vertical="center" wrapText="1"/>
    </xf>
    <xf numFmtId="0" fontId="0" fillId="4" borderId="0" xfId="0" applyFill="1" applyAlignment="1"/>
    <xf numFmtId="0" fontId="0" fillId="4" borderId="0" xfId="0" applyFont="1" applyFill="1" applyAlignment="1"/>
    <xf numFmtId="0" fontId="31" fillId="4" borderId="0" xfId="0" applyFont="1" applyFill="1" applyAlignment="1">
      <alignment horizontal="center"/>
    </xf>
    <xf numFmtId="0" fontId="31" fillId="0" borderId="0" xfId="0" applyFont="1" applyAlignment="1">
      <alignment horizontal="center"/>
    </xf>
    <xf numFmtId="0" fontId="2" fillId="4" borderId="0" xfId="0" applyFont="1" applyFill="1" applyBorder="1" applyAlignment="1" applyProtection="1">
      <alignment horizontal="left"/>
    </xf>
    <xf numFmtId="0" fontId="0" fillId="0" borderId="0" xfId="0" applyFont="1" applyAlignment="1">
      <alignment horizontal="left"/>
    </xf>
    <xf numFmtId="0" fontId="2" fillId="4" borderId="0" xfId="0" applyFont="1" applyFill="1" applyBorder="1" applyAlignment="1" applyProtection="1">
      <alignment horizontal="left" vertical="center" wrapText="1"/>
    </xf>
    <xf numFmtId="0" fontId="3" fillId="4" borderId="0" xfId="0" applyFont="1" applyFill="1" applyAlignment="1">
      <alignment horizontal="left" vertical="center" wrapText="1"/>
    </xf>
    <xf numFmtId="0" fontId="25" fillId="0" borderId="0" xfId="0" applyFont="1" applyAlignment="1">
      <alignment vertical="center" wrapText="1"/>
    </xf>
    <xf numFmtId="0" fontId="2" fillId="4" borderId="0" xfId="0" applyFont="1" applyFill="1" applyAlignment="1">
      <alignment horizontal="left" vertical="center" wrapText="1"/>
    </xf>
    <xf numFmtId="0" fontId="0" fillId="0" borderId="0" xfId="0" applyAlignment="1">
      <alignment vertical="center" wrapText="1"/>
    </xf>
    <xf numFmtId="0" fontId="2" fillId="4" borderId="0" xfId="0" applyFont="1" applyFill="1" applyBorder="1" applyAlignment="1">
      <alignment horizontal="left" vertical="center"/>
    </xf>
    <xf numFmtId="173" fontId="20" fillId="4" borderId="4" xfId="0" applyNumberFormat="1" applyFont="1" applyFill="1" applyBorder="1" applyAlignment="1" applyProtection="1">
      <alignment horizontal="left" vertical="center" wrapText="1"/>
    </xf>
    <xf numFmtId="173" fontId="20" fillId="4" borderId="4" xfId="0" applyNumberFormat="1" applyFont="1" applyFill="1" applyBorder="1" applyAlignment="1" applyProtection="1">
      <alignment horizontal="center" vertical="center" wrapText="1"/>
    </xf>
    <xf numFmtId="0" fontId="2" fillId="4" borderId="0" xfId="0" applyFont="1" applyFill="1" applyAlignment="1">
      <alignment vertical="center"/>
    </xf>
    <xf numFmtId="0" fontId="2" fillId="4" borderId="0" xfId="0" applyFont="1" applyFill="1" applyAlignment="1" applyProtection="1"/>
  </cellXfs>
  <cellStyles count="6">
    <cellStyle name="Comma" xfId="1" builtinId="3"/>
    <cellStyle name="Hyperlink" xfId="5" builtinId="8"/>
    <cellStyle name="Normal" xfId="0" builtinId="0"/>
    <cellStyle name="Normal 3" xfId="2"/>
    <cellStyle name="Normal_risk table" xfId="3"/>
    <cellStyle name="Percent" xfId="4" builtinId="5"/>
  </cellStyles>
  <dxfs count="0"/>
  <tableStyles count="0" defaultTableStyle="TableStyleMedium9" defaultPivotStyle="PivotStyleLight16"/>
  <colors>
    <mruColors>
      <color rgb="FFFFFFCC"/>
      <color rgb="FFFF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3</xdr:row>
      <xdr:rowOff>0</xdr:rowOff>
    </xdr:from>
    <xdr:to>
      <xdr:col>9</xdr:col>
      <xdr:colOff>323850</xdr:colOff>
      <xdr:row>28</xdr:row>
      <xdr:rowOff>47625</xdr:rowOff>
    </xdr:to>
    <xdr:pic>
      <xdr:nvPicPr>
        <xdr:cNvPr id="307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23875" y="619125"/>
          <a:ext cx="6838950" cy="4095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409575</xdr:colOff>
      <xdr:row>25</xdr:row>
      <xdr:rowOff>85725</xdr:rowOff>
    </xdr:from>
    <xdr:to>
      <xdr:col>12</xdr:col>
      <xdr:colOff>180975</xdr:colOff>
      <xdr:row>25</xdr:row>
      <xdr:rowOff>87313</xdr:rowOff>
    </xdr:to>
    <xdr:cxnSp macro="">
      <xdr:nvCxnSpPr>
        <xdr:cNvPr id="3" name="Straight Arrow Connector 2"/>
        <xdr:cNvCxnSpPr/>
      </xdr:nvCxnSpPr>
      <xdr:spPr>
        <a:xfrm rot="10800000">
          <a:off x="7867650" y="4219575"/>
          <a:ext cx="1181100" cy="1588"/>
        </a:xfrm>
        <a:prstGeom prst="straightConnector1">
          <a:avLst/>
        </a:prstGeom>
        <a:ln w="63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400050</xdr:colOff>
      <xdr:row>26</xdr:row>
      <xdr:rowOff>76200</xdr:rowOff>
    </xdr:from>
    <xdr:to>
      <xdr:col>12</xdr:col>
      <xdr:colOff>171450</xdr:colOff>
      <xdr:row>26</xdr:row>
      <xdr:rowOff>77788</xdr:rowOff>
    </xdr:to>
    <xdr:cxnSp macro="">
      <xdr:nvCxnSpPr>
        <xdr:cNvPr id="5" name="Straight Arrow Connector 4"/>
        <xdr:cNvCxnSpPr/>
      </xdr:nvCxnSpPr>
      <xdr:spPr>
        <a:xfrm rot="10800000">
          <a:off x="7858125" y="4533900"/>
          <a:ext cx="1181100" cy="1588"/>
        </a:xfrm>
        <a:prstGeom prst="straightConnector1">
          <a:avLst/>
        </a:prstGeom>
        <a:ln w="63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409575</xdr:colOff>
      <xdr:row>27</xdr:row>
      <xdr:rowOff>76200</xdr:rowOff>
    </xdr:from>
    <xdr:to>
      <xdr:col>12</xdr:col>
      <xdr:colOff>180975</xdr:colOff>
      <xdr:row>27</xdr:row>
      <xdr:rowOff>77788</xdr:rowOff>
    </xdr:to>
    <xdr:cxnSp macro="">
      <xdr:nvCxnSpPr>
        <xdr:cNvPr id="6" name="Straight Arrow Connector 5"/>
        <xdr:cNvCxnSpPr/>
      </xdr:nvCxnSpPr>
      <xdr:spPr>
        <a:xfrm rot="10800000">
          <a:off x="7867650" y="4695825"/>
          <a:ext cx="1181100" cy="1588"/>
        </a:xfrm>
        <a:prstGeom prst="straightConnector1">
          <a:avLst/>
        </a:prstGeom>
        <a:ln w="63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33</xdr:row>
      <xdr:rowOff>76200</xdr:rowOff>
    </xdr:from>
    <xdr:to>
      <xdr:col>11</xdr:col>
      <xdr:colOff>666750</xdr:colOff>
      <xdr:row>33</xdr:row>
      <xdr:rowOff>77788</xdr:rowOff>
    </xdr:to>
    <xdr:cxnSp macro="">
      <xdr:nvCxnSpPr>
        <xdr:cNvPr id="2" name="Straight Arrow Connector 1"/>
        <xdr:cNvCxnSpPr/>
      </xdr:nvCxnSpPr>
      <xdr:spPr>
        <a:xfrm rot="10800000">
          <a:off x="8810625" y="2495550"/>
          <a:ext cx="1181100" cy="1588"/>
        </a:xfrm>
        <a:prstGeom prst="straightConnector1">
          <a:avLst/>
        </a:prstGeom>
        <a:ln w="63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31</xdr:row>
      <xdr:rowOff>104775</xdr:rowOff>
    </xdr:from>
    <xdr:to>
      <xdr:col>11</xdr:col>
      <xdr:colOff>676275</xdr:colOff>
      <xdr:row>31</xdr:row>
      <xdr:rowOff>106363</xdr:rowOff>
    </xdr:to>
    <xdr:cxnSp macro="">
      <xdr:nvCxnSpPr>
        <xdr:cNvPr id="3" name="Straight Arrow Connector 2"/>
        <xdr:cNvCxnSpPr/>
      </xdr:nvCxnSpPr>
      <xdr:spPr>
        <a:xfrm rot="10800000">
          <a:off x="8820150" y="2200275"/>
          <a:ext cx="1181100" cy="1588"/>
        </a:xfrm>
        <a:prstGeom prst="straightConnector1">
          <a:avLst/>
        </a:prstGeom>
        <a:ln w="63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fgem.gov.uk/Pages/MoreInformation.aspx?docid=54&amp;refer=NETWORKS/ELECDIST/POLICY" TargetMode="External"/><Relationship Id="rId1" Type="http://schemas.openxmlformats.org/officeDocument/2006/relationships/hyperlink" Target="http://www.ofgem.gov.uk/Pages/MoreInformation.aspx?docid=184&amp;refer=Licensing/Work/Notices/ModNotic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FFC000"/>
    <pageSetUpPr fitToPage="1"/>
  </sheetPr>
  <dimension ref="A1:I25"/>
  <sheetViews>
    <sheetView showGridLines="0" tabSelected="1" view="pageBreakPreview" zoomScaleNormal="100" zoomScaleSheetLayoutView="100" workbookViewId="0">
      <pane ySplit="3" topLeftCell="A4" activePane="bottomLeft" state="frozen"/>
      <selection pane="bottomLeft" activeCell="D7" sqref="D7"/>
    </sheetView>
  </sheetViews>
  <sheetFormatPr defaultColWidth="0" defaultRowHeight="12.75" zeroHeight="1"/>
  <cols>
    <col min="1" max="1" width="2.625" style="2" customWidth="1"/>
    <col min="2" max="2" width="13.5" style="2" bestFit="1" customWidth="1"/>
    <col min="3" max="3" width="65.25" style="2" customWidth="1"/>
    <col min="4" max="4" width="13.75" style="2" customWidth="1"/>
    <col min="5" max="5" width="26.75" style="2" bestFit="1" customWidth="1"/>
    <col min="6" max="6" width="9" style="251" hidden="1" customWidth="1"/>
    <col min="7" max="9" width="9" style="2" hidden="1" customWidth="1"/>
    <col min="10" max="16384" width="9" style="2" hidden="1"/>
  </cols>
  <sheetData>
    <row r="1" spans="2:9" s="21" customFormat="1" ht="18">
      <c r="B1" s="244" t="s">
        <v>479</v>
      </c>
      <c r="D1" s="245"/>
      <c r="F1" s="25"/>
    </row>
    <row r="2" spans="2:9" s="21" customFormat="1" ht="18">
      <c r="B2" s="244" t="str">
        <f>COMPNAME</f>
        <v>Company Name of Electricity Distribution Network Operator Limited</v>
      </c>
      <c r="D2" s="245"/>
      <c r="F2" s="25"/>
    </row>
    <row r="3" spans="2:9" s="21" customFormat="1">
      <c r="B3" s="155" t="str">
        <f>'R5 Input page'!K8</f>
        <v>Regulatory Year ending 31 March 2012</v>
      </c>
      <c r="F3" s="25"/>
    </row>
    <row r="4" spans="2:9" ht="15">
      <c r="B4" s="244"/>
      <c r="C4" s="21"/>
      <c r="D4" s="21"/>
      <c r="E4" s="21"/>
      <c r="F4" s="25"/>
      <c r="G4" s="21"/>
      <c r="H4" s="21"/>
      <c r="I4" s="21"/>
    </row>
    <row r="5" spans="2:9" ht="15">
      <c r="B5" s="244" t="s">
        <v>0</v>
      </c>
      <c r="C5" s="76"/>
      <c r="D5" s="76"/>
      <c r="E5" s="246"/>
      <c r="F5" s="247"/>
      <c r="G5" s="248"/>
      <c r="H5" s="76"/>
      <c r="I5" s="76"/>
    </row>
    <row r="6" spans="2:9" ht="14.25">
      <c r="B6" s="246"/>
      <c r="C6" s="76"/>
      <c r="D6" s="76"/>
      <c r="E6" s="76"/>
      <c r="F6" s="247"/>
      <c r="G6" s="246"/>
      <c r="H6" s="246"/>
      <c r="I6" s="21"/>
    </row>
    <row r="7" spans="2:9" ht="63.75">
      <c r="B7" s="21"/>
      <c r="C7" s="41" t="s">
        <v>575</v>
      </c>
      <c r="D7" s="76"/>
      <c r="E7" s="76"/>
      <c r="F7" s="26"/>
      <c r="G7" s="76"/>
      <c r="H7" s="76"/>
      <c r="I7" s="21"/>
    </row>
    <row r="8" spans="2:9" ht="89.25">
      <c r="B8" s="21"/>
      <c r="C8" s="81" t="s">
        <v>567</v>
      </c>
      <c r="D8" s="76"/>
      <c r="E8" s="76"/>
      <c r="F8" s="26"/>
      <c r="G8" s="76"/>
      <c r="H8" s="76"/>
      <c r="I8" s="21"/>
    </row>
    <row r="9" spans="2:9" ht="14.25">
      <c r="B9" s="246"/>
      <c r="C9" s="76"/>
      <c r="D9" s="76"/>
      <c r="E9" s="76"/>
      <c r="F9" s="26"/>
      <c r="G9" s="76"/>
      <c r="H9" s="76"/>
      <c r="I9" s="76"/>
    </row>
    <row r="10" spans="2:9">
      <c r="B10" s="188"/>
      <c r="C10" s="76" t="s">
        <v>2</v>
      </c>
      <c r="D10" s="249"/>
      <c r="E10" s="76" t="s">
        <v>1</v>
      </c>
      <c r="F10" s="25"/>
      <c r="G10" s="76"/>
      <c r="H10" s="76"/>
      <c r="I10" s="76"/>
    </row>
    <row r="11" spans="2:9">
      <c r="B11" s="187"/>
      <c r="C11" s="76" t="s">
        <v>233</v>
      </c>
      <c r="D11" s="250"/>
      <c r="E11" s="76" t="s">
        <v>3</v>
      </c>
      <c r="F11" s="25"/>
      <c r="G11" s="76"/>
      <c r="H11" s="76"/>
      <c r="I11" s="76"/>
    </row>
    <row r="12" spans="2:9">
      <c r="B12" s="322"/>
      <c r="C12" s="76" t="s">
        <v>685</v>
      </c>
      <c r="D12" s="76"/>
      <c r="E12" s="76"/>
      <c r="F12" s="26"/>
      <c r="G12" s="76"/>
      <c r="H12" s="76"/>
      <c r="I12" s="76"/>
    </row>
    <row r="13" spans="2:9" hidden="1">
      <c r="B13" s="21"/>
      <c r="C13" s="21"/>
      <c r="D13" s="21"/>
      <c r="E13" s="21"/>
      <c r="F13" s="25"/>
      <c r="G13" s="21"/>
      <c r="H13" s="21"/>
      <c r="I13" s="21"/>
    </row>
    <row r="14" spans="2:9" hidden="1"/>
    <row r="15" spans="2:9" hidden="1"/>
    <row r="16" spans="2:9" hidden="1"/>
    <row r="17" spans="2:5" hidden="1"/>
    <row r="18" spans="2:5" hidden="1"/>
    <row r="19" spans="2:5" hidden="1"/>
    <row r="20" spans="2:5" hidden="1"/>
    <row r="21" spans="2:5" hidden="1"/>
    <row r="22" spans="2:5" hidden="1"/>
    <row r="23" spans="2:5" hidden="1"/>
    <row r="24" spans="2:5" hidden="1"/>
    <row r="25" spans="2:5">
      <c r="B25" s="76"/>
      <c r="C25" s="76"/>
      <c r="D25" s="76"/>
      <c r="E25" s="76"/>
    </row>
  </sheetData>
  <sheetProtection password="E1CD" sheet="1" objects="1" scenarios="1" formatCells="0" formatColumns="0" formatRows="0" insertHyperlinks="0" autoFilter="0" pivotTables="0"/>
  <pageMargins left="0.31496062992125984" right="0.31496062992125984" top="0.59055118110236227" bottom="0.59055118110236227" header="0.11811023622047245" footer="0.11811023622047245"/>
  <pageSetup paperSize="9" orientation="landscape" r:id="rId1"/>
  <headerFooter>
    <oddHeader>&amp;C&amp;A</oddHeader>
    <oddFooter>&amp;L&amp;D &amp;T&amp;C&amp;12&amp;Z&amp;R&amp;F</oddFooter>
  </headerFooter>
</worksheet>
</file>

<file path=xl/worksheets/sheet10.xml><?xml version="1.0" encoding="utf-8"?>
<worksheet xmlns="http://schemas.openxmlformats.org/spreadsheetml/2006/main" xmlns:r="http://schemas.openxmlformats.org/officeDocument/2006/relationships">
  <sheetPr codeName="Sheet13">
    <tabColor rgb="FFCCFFCC"/>
    <pageSetUpPr fitToPage="1"/>
  </sheetPr>
  <dimension ref="A1:T127"/>
  <sheetViews>
    <sheetView view="pageBreakPreview" zoomScaleNormal="100" zoomScaleSheetLayoutView="100" workbookViewId="0">
      <pane xSplit="3" ySplit="5" topLeftCell="D12" activePane="bottomRight" state="frozen"/>
      <selection pane="topRight" activeCell="D1" sqref="D1"/>
      <selection pane="bottomLeft" activeCell="A6" sqref="A6"/>
      <selection pane="bottomRight" activeCell="I20" sqref="I20"/>
    </sheetView>
  </sheetViews>
  <sheetFormatPr defaultColWidth="0" defaultRowHeight="14.25" zeroHeight="1"/>
  <cols>
    <col min="1" max="1" width="45.75" style="14" bestFit="1" customWidth="1"/>
    <col min="2" max="2" width="11.625" style="14" customWidth="1"/>
    <col min="3" max="4" width="0.875" style="14" customWidth="1"/>
    <col min="5" max="5" width="5.75" style="96" bestFit="1" customWidth="1"/>
    <col min="6" max="10" width="6.625" style="14" customWidth="1"/>
    <col min="11" max="11" width="9.625" style="14" bestFit="1" customWidth="1"/>
    <col min="12" max="15" width="8.625" style="14" customWidth="1"/>
    <col min="16" max="16" width="11" style="18" bestFit="1" customWidth="1"/>
    <col min="17" max="17" width="28.625" style="14" hidden="1" customWidth="1"/>
    <col min="18" max="18" width="39.25" style="14" hidden="1" customWidth="1"/>
    <col min="19" max="19" width="9" style="14" hidden="1"/>
    <col min="20" max="20" width="18.25" style="14" hidden="1" customWidth="1"/>
    <col min="21" max="16384" width="0" style="14" hidden="1"/>
  </cols>
  <sheetData>
    <row r="1" spans="1:17" s="5" customFormat="1" ht="15">
      <c r="A1" s="8" t="s">
        <v>486</v>
      </c>
      <c r="E1" s="61"/>
      <c r="Q1" s="14"/>
    </row>
    <row r="2" spans="1:17" s="5" customFormat="1" ht="15">
      <c r="A2" s="8" t="str">
        <f>COMPNAME</f>
        <v>Company Name of Electricity Distribution Network Operator Limited</v>
      </c>
      <c r="E2" s="61"/>
      <c r="Q2" s="14"/>
    </row>
    <row r="3" spans="1:17" s="10" customFormat="1" ht="12.75">
      <c r="A3" s="155" t="str">
        <f>'R5 Input page'!K8</f>
        <v>Regulatory Year ending 31 March 2012</v>
      </c>
      <c r="B3" s="14"/>
      <c r="C3" s="14"/>
      <c r="D3" s="14"/>
      <c r="E3" s="96"/>
      <c r="F3" s="94"/>
      <c r="G3" s="94"/>
      <c r="H3" s="94"/>
      <c r="I3" s="94"/>
      <c r="J3" s="94"/>
      <c r="K3" s="375" t="s">
        <v>646</v>
      </c>
      <c r="L3" s="375"/>
      <c r="M3" s="375"/>
      <c r="N3" s="94"/>
      <c r="O3" s="94"/>
      <c r="P3" s="19"/>
      <c r="Q3" s="14"/>
    </row>
    <row r="4" spans="1:17" s="10" customFormat="1" ht="12.75">
      <c r="A4" s="14"/>
      <c r="B4" s="14"/>
      <c r="C4" s="14"/>
      <c r="D4" s="14"/>
      <c r="E4" s="213" t="s">
        <v>5</v>
      </c>
      <c r="F4" s="94">
        <v>2006</v>
      </c>
      <c r="G4" s="94">
        <v>2007</v>
      </c>
      <c r="H4" s="94">
        <v>2008</v>
      </c>
      <c r="I4" s="94">
        <v>2009</v>
      </c>
      <c r="J4" s="94">
        <v>2010</v>
      </c>
      <c r="K4" s="94">
        <v>2011</v>
      </c>
      <c r="L4" s="94">
        <v>2012</v>
      </c>
      <c r="M4" s="94">
        <v>2013</v>
      </c>
      <c r="N4" s="94">
        <v>2014</v>
      </c>
      <c r="O4" s="94">
        <v>2015</v>
      </c>
      <c r="P4" s="19" t="s">
        <v>6</v>
      </c>
      <c r="Q4" s="14"/>
    </row>
    <row r="5" spans="1:17" s="10" customFormat="1" ht="5.0999999999999996" customHeight="1">
      <c r="A5" s="14"/>
      <c r="B5" s="14"/>
      <c r="C5" s="14"/>
      <c r="D5" s="14"/>
      <c r="E5" s="96"/>
      <c r="F5" s="58"/>
      <c r="G5" s="58"/>
      <c r="H5" s="58"/>
      <c r="I5" s="58"/>
      <c r="J5" s="58"/>
      <c r="K5" s="58"/>
      <c r="L5" s="58"/>
      <c r="M5" s="58"/>
      <c r="N5" s="58"/>
      <c r="O5" s="58"/>
      <c r="P5" s="100"/>
      <c r="Q5" s="14"/>
    </row>
    <row r="6" spans="1:17" ht="12.75">
      <c r="A6" s="27" t="s">
        <v>7</v>
      </c>
      <c r="C6" s="27"/>
      <c r="D6" s="27"/>
      <c r="E6" s="96" t="s">
        <v>8</v>
      </c>
      <c r="K6" s="93">
        <f>RPI</f>
        <v>-3.8999999999999998E-3</v>
      </c>
      <c r="L6" s="93">
        <f>RPI</f>
        <v>4.6899999999999997E-2</v>
      </c>
      <c r="M6" s="93">
        <f>RPI</f>
        <v>5.1799999999999999E-2</v>
      </c>
      <c r="N6" s="93">
        <f>RPI</f>
        <v>0</v>
      </c>
      <c r="O6" s="93">
        <f>RPI</f>
        <v>0</v>
      </c>
      <c r="P6" s="100" t="s">
        <v>7</v>
      </c>
    </row>
    <row r="7" spans="1:17" ht="12.75">
      <c r="B7" s="5"/>
      <c r="C7" s="5"/>
      <c r="D7" s="5"/>
      <c r="P7" s="100"/>
    </row>
    <row r="8" spans="1:17" ht="12.75">
      <c r="A8" s="5" t="s">
        <v>315</v>
      </c>
      <c r="B8" s="5"/>
      <c r="C8" s="5"/>
      <c r="D8" s="5"/>
      <c r="E8" s="96" t="s">
        <v>8</v>
      </c>
      <c r="F8" s="93">
        <f>RPI_DPCR4</f>
        <v>3.2500000000000001E-2</v>
      </c>
      <c r="G8" s="93">
        <f>RPI_DPCR4</f>
        <v>2.58E-2</v>
      </c>
      <c r="H8" s="93">
        <f>RPI_DPCR4</f>
        <v>3.7199999999999997E-2</v>
      </c>
      <c r="I8" s="93">
        <f>RPI_DPCR4</f>
        <v>4.07E-2</v>
      </c>
      <c r="J8" s="93">
        <f>RPI_DPCR4</f>
        <v>3.8199999999999998E-2</v>
      </c>
      <c r="P8" s="100" t="s">
        <v>316</v>
      </c>
    </row>
    <row r="9" spans="1:17"/>
    <row r="10" spans="1:17" ht="12.75">
      <c r="B10" s="5"/>
      <c r="C10" s="5"/>
      <c r="D10" s="5"/>
      <c r="E10" s="61"/>
      <c r="F10" s="5"/>
      <c r="G10" s="5"/>
      <c r="H10" s="5"/>
      <c r="I10" s="5"/>
      <c r="J10" s="96"/>
      <c r="K10" s="94">
        <v>2001</v>
      </c>
      <c r="L10" s="94">
        <v>2002</v>
      </c>
      <c r="M10" s="94">
        <v>2003</v>
      </c>
      <c r="N10" s="94">
        <v>2004</v>
      </c>
      <c r="O10" s="94">
        <v>2005</v>
      </c>
      <c r="P10" s="100"/>
    </row>
    <row r="11" spans="1:17" ht="12.75">
      <c r="A11" s="5" t="s">
        <v>413</v>
      </c>
      <c r="B11" s="5"/>
      <c r="C11" s="5"/>
      <c r="D11" s="5"/>
      <c r="E11" s="165" t="s">
        <v>8</v>
      </c>
      <c r="F11" s="5"/>
      <c r="G11" s="5"/>
      <c r="H11" s="5"/>
      <c r="I11" s="5"/>
      <c r="K11" s="93">
        <f>RPI_DPCR3</f>
        <v>1.3100000000000001E-2</v>
      </c>
      <c r="L11" s="93">
        <f>RPI_DPCR3</f>
        <v>3.1399999999999997E-2</v>
      </c>
      <c r="M11" s="93">
        <f>RPI_DPCR3</f>
        <v>1.4200000000000001E-2</v>
      </c>
      <c r="N11" s="93">
        <f>RPI_DPCR3</f>
        <v>2.0400000000000001E-2</v>
      </c>
      <c r="O11" s="93">
        <f>RPI_DPCR3</f>
        <v>2.7900000000000001E-2</v>
      </c>
      <c r="P11" s="100" t="s">
        <v>504</v>
      </c>
    </row>
    <row r="12" spans="1:17" ht="12.75">
      <c r="A12" s="5"/>
      <c r="B12" s="5"/>
      <c r="C12" s="5"/>
      <c r="D12" s="5"/>
      <c r="F12" s="5"/>
      <c r="G12" s="5"/>
      <c r="H12" s="5"/>
      <c r="I12" s="5"/>
      <c r="P12" s="100"/>
    </row>
    <row r="13" spans="1:17" ht="12.75">
      <c r="A13" s="32" t="s">
        <v>289</v>
      </c>
      <c r="B13" s="27"/>
      <c r="C13" s="6"/>
      <c r="D13" s="6"/>
      <c r="K13" s="94">
        <v>2011</v>
      </c>
      <c r="L13" s="94">
        <v>2012</v>
      </c>
      <c r="M13" s="94">
        <v>2013</v>
      </c>
      <c r="N13" s="94">
        <v>2014</v>
      </c>
      <c r="O13" s="94">
        <v>2015</v>
      </c>
      <c r="P13" s="100"/>
    </row>
    <row r="14" spans="1:17" ht="12.75">
      <c r="B14" s="176" t="s">
        <v>570</v>
      </c>
      <c r="C14" s="101"/>
      <c r="D14" s="101"/>
      <c r="E14" s="168" t="s">
        <v>8</v>
      </c>
      <c r="G14" s="6"/>
      <c r="K14" s="201">
        <f>(1+RPI)*(1+J8)*(1+I8)</f>
        <v>1.0762409665139998</v>
      </c>
      <c r="L14" s="206">
        <f>(1+RPI)*K14</f>
        <v>1.1267166678435063</v>
      </c>
      <c r="M14" s="206">
        <f>(1+RPI)*L14</f>
        <v>1.1850805912378</v>
      </c>
      <c r="N14" s="206">
        <f>(1+RPI)*M14</f>
        <v>1.1850805912378</v>
      </c>
      <c r="O14" s="206">
        <f>(1+RPI)*N14</f>
        <v>1.1850805912378</v>
      </c>
      <c r="P14" s="100" t="s">
        <v>571</v>
      </c>
    </row>
    <row r="15" spans="1:17" ht="12.75">
      <c r="B15" s="176" t="s">
        <v>572</v>
      </c>
      <c r="C15" s="101"/>
      <c r="D15" s="101"/>
      <c r="E15" s="252" t="s">
        <v>8</v>
      </c>
      <c r="G15" s="6"/>
      <c r="K15" s="201">
        <f>PIT</f>
        <v>1.2400697066439257</v>
      </c>
      <c r="L15" s="201">
        <f>PIT</f>
        <v>1.2982289758855257</v>
      </c>
      <c r="M15" s="201">
        <f>PIT</f>
        <v>1.3654772368363959</v>
      </c>
      <c r="N15" s="201">
        <f>PIT</f>
        <v>1.3654772368363959</v>
      </c>
      <c r="O15" s="201">
        <f>PIT</f>
        <v>1.3654772368363959</v>
      </c>
      <c r="P15" s="100" t="s">
        <v>572</v>
      </c>
    </row>
    <row r="16" spans="1:17" ht="12.75">
      <c r="A16" s="16"/>
      <c r="B16" s="16"/>
      <c r="C16" s="6"/>
      <c r="D16" s="6"/>
      <c r="G16" s="6"/>
      <c r="K16" s="172"/>
      <c r="L16" s="172"/>
      <c r="M16" s="172"/>
      <c r="N16" s="172"/>
      <c r="O16" s="172"/>
      <c r="P16" s="100"/>
    </row>
    <row r="17" spans="1:18" ht="15">
      <c r="A17" s="171" t="s">
        <v>665</v>
      </c>
      <c r="B17" s="16"/>
      <c r="C17" s="6"/>
      <c r="D17" s="6"/>
      <c r="G17" s="6"/>
      <c r="K17" s="173"/>
      <c r="L17" s="173"/>
      <c r="M17" s="173"/>
      <c r="N17" s="173"/>
      <c r="O17" s="173"/>
      <c r="P17" s="100"/>
    </row>
    <row r="18" spans="1:18" ht="12.75">
      <c r="A18" s="119" t="s">
        <v>666</v>
      </c>
      <c r="B18" s="15" t="s">
        <v>105</v>
      </c>
      <c r="C18" s="101"/>
      <c r="D18" s="101"/>
      <c r="E18" s="168" t="s">
        <v>12</v>
      </c>
      <c r="G18" s="6"/>
      <c r="K18" s="195">
        <f>PF</f>
        <v>0</v>
      </c>
      <c r="L18" s="195">
        <f>PF</f>
        <v>0</v>
      </c>
      <c r="M18" s="195">
        <f>PF</f>
        <v>0</v>
      </c>
      <c r="N18" s="195">
        <f>PF</f>
        <v>0</v>
      </c>
      <c r="O18" s="195">
        <f>PF</f>
        <v>0</v>
      </c>
      <c r="P18" s="100" t="s">
        <v>105</v>
      </c>
    </row>
    <row r="19" spans="1:18">
      <c r="A19" s="170" t="s">
        <v>667</v>
      </c>
      <c r="B19" s="15" t="s">
        <v>235</v>
      </c>
      <c r="C19" s="101"/>
      <c r="D19" s="101"/>
      <c r="E19" s="168" t="s">
        <v>12</v>
      </c>
      <c r="G19" s="6"/>
      <c r="K19" s="196">
        <f>PF*PIAB_PIAH</f>
        <v>0</v>
      </c>
      <c r="L19" s="196">
        <f>PF*PIAB_PIAH</f>
        <v>0</v>
      </c>
      <c r="M19" s="196">
        <f>PF*PIAB_PIAH</f>
        <v>0</v>
      </c>
      <c r="N19" s="196">
        <f>PF*PIAB_PIAH</f>
        <v>0</v>
      </c>
      <c r="O19" s="196">
        <f>PF*PIAB_PIAH</f>
        <v>0</v>
      </c>
      <c r="P19" s="100" t="s">
        <v>208</v>
      </c>
    </row>
    <row r="20" spans="1:18">
      <c r="A20" s="119" t="s">
        <v>668</v>
      </c>
      <c r="B20" s="15" t="s">
        <v>218</v>
      </c>
      <c r="C20" s="101"/>
      <c r="D20" s="101"/>
      <c r="E20" s="168" t="s">
        <v>12</v>
      </c>
      <c r="G20" s="6"/>
      <c r="K20" s="195">
        <f>LP</f>
        <v>0</v>
      </c>
      <c r="L20" s="195">
        <f>LP</f>
        <v>0</v>
      </c>
      <c r="M20" s="195">
        <f>LP</f>
        <v>0</v>
      </c>
      <c r="N20" s="195">
        <f>LP</f>
        <v>0</v>
      </c>
      <c r="O20" s="195">
        <f>LP</f>
        <v>0</v>
      </c>
      <c r="P20" s="100" t="s">
        <v>17</v>
      </c>
    </row>
    <row r="21" spans="1:18">
      <c r="A21" s="103" t="s">
        <v>669</v>
      </c>
      <c r="B21" s="15" t="s">
        <v>236</v>
      </c>
      <c r="C21" s="101"/>
      <c r="D21" s="101"/>
      <c r="E21" s="168" t="s">
        <v>12</v>
      </c>
      <c r="G21" s="6"/>
      <c r="K21" s="196">
        <f>LP-LA</f>
        <v>0</v>
      </c>
      <c r="L21" s="196">
        <f>LP-LA</f>
        <v>0</v>
      </c>
      <c r="M21" s="196">
        <f>LP-LA</f>
        <v>0</v>
      </c>
      <c r="N21" s="196">
        <f>LP-LA</f>
        <v>0</v>
      </c>
      <c r="O21" s="196">
        <f>LP-LA</f>
        <v>0</v>
      </c>
      <c r="P21" s="100" t="s">
        <v>153</v>
      </c>
    </row>
    <row r="22" spans="1:18" ht="12.75">
      <c r="A22" s="103"/>
      <c r="B22" s="15"/>
      <c r="C22" s="101"/>
      <c r="D22" s="101"/>
      <c r="E22" s="168"/>
      <c r="G22" s="6"/>
      <c r="L22" s="6"/>
      <c r="M22" s="6"/>
      <c r="N22" s="6"/>
      <c r="O22" s="6"/>
      <c r="P22" s="100"/>
    </row>
    <row r="23" spans="1:18" ht="15">
      <c r="A23" s="171" t="s">
        <v>106</v>
      </c>
      <c r="L23" s="6"/>
      <c r="M23" s="6"/>
      <c r="N23" s="6"/>
      <c r="O23" s="6"/>
      <c r="P23" s="100"/>
    </row>
    <row r="24" spans="1:18">
      <c r="A24" s="119" t="s">
        <v>342</v>
      </c>
      <c r="B24" s="16" t="s">
        <v>238</v>
      </c>
      <c r="C24" s="6"/>
      <c r="D24" s="6"/>
      <c r="E24" s="106" t="s">
        <v>12</v>
      </c>
      <c r="G24" s="6"/>
      <c r="K24" s="195">
        <f>RV</f>
        <v>0</v>
      </c>
      <c r="L24" s="195">
        <f>RV</f>
        <v>0</v>
      </c>
      <c r="M24" s="195">
        <f>RV</f>
        <v>0</v>
      </c>
      <c r="N24" s="195">
        <f>RV</f>
        <v>0</v>
      </c>
      <c r="O24" s="195">
        <f>RV</f>
        <v>0</v>
      </c>
      <c r="P24" s="100" t="s">
        <v>107</v>
      </c>
    </row>
    <row r="25" spans="1:18">
      <c r="A25" s="119" t="s">
        <v>343</v>
      </c>
      <c r="B25" s="16" t="s">
        <v>237</v>
      </c>
      <c r="C25" s="6"/>
      <c r="D25" s="6"/>
      <c r="E25" s="106" t="s">
        <v>12</v>
      </c>
      <c r="G25" s="6"/>
      <c r="K25" s="196">
        <f>RV*PIAB_PIAH</f>
        <v>0</v>
      </c>
      <c r="L25" s="196">
        <f>RV*PIAB_PIAH</f>
        <v>0</v>
      </c>
      <c r="M25" s="196">
        <f>RV*PIAB_PIAH</f>
        <v>0</v>
      </c>
      <c r="N25" s="196">
        <f>RV*PIAB_PIAH</f>
        <v>0</v>
      </c>
      <c r="O25" s="196">
        <f>RV*PIAB_PIAH</f>
        <v>0</v>
      </c>
      <c r="P25" s="100" t="s">
        <v>209</v>
      </c>
    </row>
    <row r="26" spans="1:18">
      <c r="A26" s="119" t="s">
        <v>344</v>
      </c>
      <c r="B26" s="16" t="s">
        <v>219</v>
      </c>
      <c r="C26" s="6"/>
      <c r="D26" s="6"/>
      <c r="E26" s="106" t="s">
        <v>12</v>
      </c>
      <c r="G26" s="6"/>
      <c r="K26" s="195">
        <f>RP</f>
        <v>0</v>
      </c>
      <c r="L26" s="195">
        <f>RP</f>
        <v>0</v>
      </c>
      <c r="M26" s="195">
        <f>RP</f>
        <v>0</v>
      </c>
      <c r="N26" s="195">
        <f>RP</f>
        <v>0</v>
      </c>
      <c r="O26" s="195">
        <f>RP</f>
        <v>0</v>
      </c>
      <c r="P26" s="100" t="s">
        <v>18</v>
      </c>
    </row>
    <row r="27" spans="1:18" s="10" customFormat="1">
      <c r="A27" s="32" t="s">
        <v>276</v>
      </c>
      <c r="B27" s="16" t="s">
        <v>239</v>
      </c>
      <c r="C27" s="6"/>
      <c r="D27" s="6"/>
      <c r="E27" s="106" t="s">
        <v>12</v>
      </c>
      <c r="F27" s="14"/>
      <c r="G27" s="6"/>
      <c r="H27" s="14"/>
      <c r="I27" s="14"/>
      <c r="J27" s="14"/>
      <c r="K27" s="196">
        <f>RP-RA</f>
        <v>0</v>
      </c>
      <c r="L27" s="196">
        <f>RP-RA</f>
        <v>0</v>
      </c>
      <c r="M27" s="196">
        <f>RP-RA</f>
        <v>0</v>
      </c>
      <c r="N27" s="196">
        <f>RP-RA</f>
        <v>0</v>
      </c>
      <c r="O27" s="196">
        <f>RP-RA</f>
        <v>0</v>
      </c>
      <c r="P27" s="100" t="s">
        <v>210</v>
      </c>
      <c r="Q27" s="14"/>
      <c r="R27" s="14"/>
    </row>
    <row r="28" spans="1:18" s="10" customFormat="1" ht="12.75">
      <c r="A28" s="32"/>
      <c r="B28" s="16"/>
      <c r="C28" s="6"/>
      <c r="D28" s="6"/>
      <c r="E28" s="106"/>
      <c r="F28" s="14"/>
      <c r="G28" s="6"/>
      <c r="H28" s="14"/>
      <c r="I28" s="14"/>
      <c r="J28" s="14"/>
      <c r="K28" s="6"/>
      <c r="L28" s="6"/>
      <c r="M28" s="6"/>
      <c r="N28" s="6"/>
      <c r="O28" s="6"/>
      <c r="P28" s="100"/>
      <c r="Q28" s="14"/>
      <c r="R28" s="14"/>
    </row>
    <row r="29" spans="1:18" s="10" customFormat="1" ht="15">
      <c r="A29" s="174" t="s">
        <v>345</v>
      </c>
      <c r="B29" s="6"/>
      <c r="C29" s="6"/>
      <c r="D29" s="6"/>
      <c r="E29" s="96"/>
      <c r="F29" s="14"/>
      <c r="G29" s="6"/>
      <c r="H29" s="14"/>
      <c r="I29" s="14"/>
      <c r="J29" s="14"/>
      <c r="K29" s="6"/>
      <c r="L29" s="6"/>
      <c r="M29" s="6"/>
      <c r="N29" s="6"/>
      <c r="O29" s="6"/>
      <c r="P29" s="100"/>
      <c r="Q29" s="14"/>
      <c r="R29" s="14"/>
    </row>
    <row r="30" spans="1:18" s="10" customFormat="1">
      <c r="B30" s="6" t="s">
        <v>222</v>
      </c>
      <c r="C30" s="6"/>
      <c r="D30" s="6"/>
      <c r="E30" s="106" t="s">
        <v>12</v>
      </c>
      <c r="F30" s="14"/>
      <c r="G30" s="6"/>
      <c r="H30" s="14"/>
      <c r="I30" s="14"/>
      <c r="J30" s="14"/>
      <c r="K30" s="195">
        <f>HB</f>
        <v>0</v>
      </c>
      <c r="L30" s="195">
        <f>HB</f>
        <v>0</v>
      </c>
      <c r="M30" s="195">
        <f>HB</f>
        <v>0</v>
      </c>
      <c r="N30" s="195">
        <f>HB</f>
        <v>0</v>
      </c>
      <c r="O30" s="195">
        <f>HB</f>
        <v>0</v>
      </c>
      <c r="P30" s="100" t="s">
        <v>21</v>
      </c>
      <c r="Q30" s="14"/>
      <c r="R30" s="14"/>
    </row>
    <row r="31" spans="1:18" s="10" customFormat="1" ht="12.75">
      <c r="A31" s="14"/>
      <c r="B31" s="6"/>
      <c r="C31" s="6"/>
      <c r="D31" s="6"/>
      <c r="E31" s="106"/>
      <c r="F31" s="14"/>
      <c r="G31" s="6"/>
      <c r="H31" s="14"/>
      <c r="I31" s="14"/>
      <c r="J31" s="14"/>
      <c r="K31" s="5"/>
      <c r="L31" s="5"/>
      <c r="M31" s="5"/>
      <c r="N31" s="5"/>
      <c r="O31" s="5"/>
      <c r="P31" s="100"/>
      <c r="Q31" s="14"/>
      <c r="R31" s="14"/>
    </row>
    <row r="32" spans="1:18" s="10" customFormat="1" ht="15">
      <c r="A32" s="174" t="s">
        <v>346</v>
      </c>
      <c r="B32" s="6"/>
      <c r="C32" s="6"/>
      <c r="D32" s="6"/>
      <c r="E32" s="106"/>
      <c r="F32" s="14"/>
      <c r="G32" s="6"/>
      <c r="H32" s="14"/>
      <c r="I32" s="14"/>
      <c r="J32" s="14"/>
      <c r="K32" s="5"/>
      <c r="L32" s="5"/>
      <c r="M32" s="5"/>
      <c r="N32" s="5"/>
      <c r="O32" s="5"/>
      <c r="P32" s="100"/>
      <c r="Q32" s="14"/>
      <c r="R32" s="14"/>
    </row>
    <row r="33" spans="1:18" s="10" customFormat="1" ht="15.75">
      <c r="A33" s="174"/>
      <c r="B33" s="6" t="s">
        <v>544</v>
      </c>
      <c r="C33" s="6"/>
      <c r="D33" s="6"/>
      <c r="E33" s="175" t="s">
        <v>12</v>
      </c>
      <c r="F33" s="14"/>
      <c r="G33" s="6"/>
      <c r="H33" s="14"/>
      <c r="I33" s="14"/>
      <c r="J33" s="14"/>
      <c r="K33" s="195">
        <f>IED</f>
        <v>0</v>
      </c>
      <c r="L33" s="195">
        <f>IED</f>
        <v>0</v>
      </c>
      <c r="M33" s="195">
        <f>IED</f>
        <v>0</v>
      </c>
      <c r="N33" s="195">
        <f>IED</f>
        <v>0</v>
      </c>
      <c r="O33" s="195">
        <f>IED</f>
        <v>0</v>
      </c>
      <c r="P33" s="100" t="s">
        <v>277</v>
      </c>
      <c r="Q33" s="14"/>
      <c r="R33" s="14"/>
    </row>
    <row r="34" spans="1:18" s="10" customFormat="1" ht="12.75">
      <c r="A34" s="14"/>
      <c r="B34" s="5"/>
      <c r="C34" s="5"/>
      <c r="D34" s="5"/>
      <c r="E34" s="96"/>
      <c r="F34" s="14"/>
      <c r="G34" s="5"/>
      <c r="H34" s="14"/>
      <c r="I34" s="14"/>
      <c r="J34" s="14"/>
      <c r="K34" s="5"/>
      <c r="L34" s="5"/>
      <c r="M34" s="5"/>
      <c r="N34" s="5"/>
      <c r="O34" s="5"/>
      <c r="P34" s="100"/>
      <c r="Q34" s="14"/>
      <c r="R34" s="14"/>
    </row>
    <row r="35" spans="1:18" s="10" customFormat="1" ht="15">
      <c r="A35" s="174" t="s">
        <v>347</v>
      </c>
      <c r="B35" s="6"/>
      <c r="C35" s="6"/>
      <c r="D35" s="6"/>
      <c r="E35" s="96"/>
      <c r="F35" s="14"/>
      <c r="G35" s="6"/>
      <c r="H35" s="14"/>
      <c r="I35" s="14"/>
      <c r="J35" s="14"/>
      <c r="K35" s="6"/>
      <c r="L35" s="6"/>
      <c r="M35" s="6"/>
      <c r="N35" s="6"/>
      <c r="O35" s="6"/>
      <c r="P35" s="100"/>
      <c r="Q35" s="14"/>
      <c r="R35" s="14"/>
    </row>
    <row r="36" spans="1:18" s="10" customFormat="1">
      <c r="A36" s="14" t="s">
        <v>154</v>
      </c>
      <c r="B36" s="6" t="s">
        <v>220</v>
      </c>
      <c r="C36" s="14"/>
      <c r="D36" s="14"/>
      <c r="E36" s="106" t="s">
        <v>12</v>
      </c>
      <c r="F36" s="14"/>
      <c r="G36" s="6"/>
      <c r="H36" s="14"/>
      <c r="I36" s="14"/>
      <c r="J36" s="14"/>
      <c r="K36" s="195">
        <f>MPC</f>
        <v>0</v>
      </c>
      <c r="L36" s="195">
        <f>MPC</f>
        <v>0</v>
      </c>
      <c r="M36" s="195">
        <f>MPC</f>
        <v>0</v>
      </c>
      <c r="N36" s="195">
        <f>MPC</f>
        <v>0</v>
      </c>
      <c r="O36" s="195">
        <f>MPC</f>
        <v>0</v>
      </c>
      <c r="P36" s="100" t="s">
        <v>19</v>
      </c>
      <c r="Q36" s="14"/>
      <c r="R36" s="14"/>
    </row>
    <row r="37" spans="1:18" s="10" customFormat="1" ht="12.75">
      <c r="A37" s="14"/>
      <c r="B37" s="6"/>
      <c r="C37" s="14"/>
      <c r="D37" s="14"/>
      <c r="E37" s="96"/>
      <c r="F37" s="14"/>
      <c r="G37" s="6"/>
      <c r="H37" s="14"/>
      <c r="I37" s="14"/>
      <c r="J37" s="14"/>
      <c r="K37" s="6"/>
      <c r="L37" s="6"/>
      <c r="M37" s="6"/>
      <c r="N37" s="6"/>
      <c r="O37" s="6"/>
      <c r="P37" s="100"/>
      <c r="Q37" s="14"/>
      <c r="R37" s="14"/>
    </row>
    <row r="38" spans="1:18" s="10" customFormat="1">
      <c r="A38" s="170" t="s">
        <v>656</v>
      </c>
      <c r="B38" s="16" t="s">
        <v>223</v>
      </c>
      <c r="C38" s="14"/>
      <c r="D38" s="14"/>
      <c r="E38" s="106" t="s">
        <v>12</v>
      </c>
      <c r="F38" s="14"/>
      <c r="G38" s="6"/>
      <c r="H38" s="14"/>
      <c r="I38" s="14"/>
      <c r="J38" s="14"/>
      <c r="K38" s="195">
        <f>TPC</f>
        <v>0</v>
      </c>
      <c r="L38" s="195">
        <f>TPC</f>
        <v>0</v>
      </c>
      <c r="M38" s="195">
        <f>TPC</f>
        <v>0</v>
      </c>
      <c r="N38" s="195">
        <f>TPC</f>
        <v>0</v>
      </c>
      <c r="O38" s="195">
        <f>TPC</f>
        <v>0</v>
      </c>
      <c r="P38" s="100" t="s">
        <v>22</v>
      </c>
      <c r="Q38" s="14"/>
      <c r="R38" s="14"/>
    </row>
    <row r="39" spans="1:18" s="10" customFormat="1">
      <c r="A39" s="14"/>
      <c r="B39" s="16" t="s">
        <v>224</v>
      </c>
      <c r="C39" s="14"/>
      <c r="D39" s="14"/>
      <c r="E39" s="106" t="s">
        <v>12</v>
      </c>
      <c r="F39" s="14"/>
      <c r="G39" s="6"/>
      <c r="H39" s="14"/>
      <c r="I39" s="14"/>
      <c r="J39" s="14"/>
      <c r="K39" s="195">
        <f>LPSF</f>
        <v>0</v>
      </c>
      <c r="L39" s="195">
        <f>LPSF</f>
        <v>0</v>
      </c>
      <c r="M39" s="195">
        <f>LPSF</f>
        <v>0</v>
      </c>
      <c r="N39" s="195">
        <f>LPSF</f>
        <v>0</v>
      </c>
      <c r="O39" s="195">
        <f>LPSF</f>
        <v>0</v>
      </c>
      <c r="P39" s="100" t="s">
        <v>23</v>
      </c>
      <c r="Q39" s="14"/>
      <c r="R39" s="14"/>
    </row>
    <row r="40" spans="1:18" s="10" customFormat="1" ht="12.75">
      <c r="A40" s="14"/>
      <c r="B40" s="16" t="s">
        <v>108</v>
      </c>
      <c r="C40" s="14"/>
      <c r="D40" s="14"/>
      <c r="E40" s="106" t="s">
        <v>12</v>
      </c>
      <c r="F40" s="14"/>
      <c r="G40" s="6"/>
      <c r="H40" s="14"/>
      <c r="I40" s="14"/>
      <c r="J40" s="14"/>
      <c r="K40" s="195">
        <f>LPSA</f>
        <v>0</v>
      </c>
      <c r="L40" s="195">
        <f>LPSA</f>
        <v>0</v>
      </c>
      <c r="M40" s="195">
        <f>LPSA</f>
        <v>0</v>
      </c>
      <c r="N40" s="195">
        <f>LPSA</f>
        <v>0</v>
      </c>
      <c r="O40" s="195">
        <f>LPSA</f>
        <v>0</v>
      </c>
      <c r="P40" s="100" t="s">
        <v>108</v>
      </c>
      <c r="Q40" s="14"/>
      <c r="R40" s="14"/>
    </row>
    <row r="41" spans="1:18" s="10" customFormat="1" ht="12.75">
      <c r="A41" s="14"/>
      <c r="B41" s="170" t="s">
        <v>289</v>
      </c>
      <c r="C41" s="14"/>
      <c r="D41" s="14"/>
      <c r="E41" s="175" t="s">
        <v>8</v>
      </c>
      <c r="F41" s="14"/>
      <c r="G41" s="6"/>
      <c r="H41" s="14"/>
      <c r="I41" s="14"/>
      <c r="J41" s="14"/>
      <c r="K41" s="206">
        <f>(1+K6)*(1+J8)*(1+I8)*(1+H8)*(1+G8)*(1+F8)*(1+O11)*(1+N11)</f>
        <v>1.2400697066439257</v>
      </c>
      <c r="L41" s="206">
        <f>(1+RPI)*K41</f>
        <v>1.2982289758855257</v>
      </c>
      <c r="M41" s="206">
        <f>(1+RPI)*L41</f>
        <v>1.3654772368363959</v>
      </c>
      <c r="N41" s="206">
        <f>(1+RPI)*M41</f>
        <v>1.3654772368363959</v>
      </c>
      <c r="O41" s="206">
        <f>(1+RPI)*N41</f>
        <v>1.3654772368363959</v>
      </c>
      <c r="P41" s="100" t="s">
        <v>214</v>
      </c>
      <c r="Q41" s="14"/>
      <c r="R41" s="14"/>
    </row>
    <row r="42" spans="1:18" s="10" customFormat="1">
      <c r="A42" s="14"/>
      <c r="B42" s="16" t="s">
        <v>240</v>
      </c>
      <c r="C42" s="6"/>
      <c r="D42" s="6"/>
      <c r="E42" s="106" t="s">
        <v>12</v>
      </c>
      <c r="F42" s="14"/>
      <c r="G42" s="6"/>
      <c r="H42" s="14"/>
      <c r="I42" s="14"/>
      <c r="J42" s="14"/>
      <c r="K42" s="196">
        <f>LPSA*K15</f>
        <v>0</v>
      </c>
      <c r="L42" s="196">
        <f>LPSA*L15</f>
        <v>0</v>
      </c>
      <c r="M42" s="196">
        <f>LPSA*M15</f>
        <v>0</v>
      </c>
      <c r="N42" s="196">
        <f>LPSA*N15</f>
        <v>0</v>
      </c>
      <c r="O42" s="196">
        <f>LPSA*O15</f>
        <v>0</v>
      </c>
      <c r="P42" s="100" t="s">
        <v>215</v>
      </c>
      <c r="Q42" s="14"/>
      <c r="R42" s="14"/>
    </row>
    <row r="43" spans="1:18" s="10" customFormat="1">
      <c r="A43" s="14"/>
      <c r="B43" s="16" t="s">
        <v>225</v>
      </c>
      <c r="C43" s="6"/>
      <c r="D43" s="6"/>
      <c r="E43" s="106" t="s">
        <v>12</v>
      </c>
      <c r="F43" s="14"/>
      <c r="G43" s="6"/>
      <c r="H43" s="14"/>
      <c r="I43" s="14"/>
      <c r="J43" s="14"/>
      <c r="K43" s="195">
        <f>EP</f>
        <v>0</v>
      </c>
      <c r="L43" s="195">
        <f>EP</f>
        <v>0</v>
      </c>
      <c r="M43" s="195">
        <f>EP</f>
        <v>0</v>
      </c>
      <c r="N43" s="195">
        <f>EP</f>
        <v>0</v>
      </c>
      <c r="O43" s="195">
        <f>EP</f>
        <v>0</v>
      </c>
      <c r="P43" s="100" t="s">
        <v>24</v>
      </c>
      <c r="Q43" s="14"/>
      <c r="R43" s="14"/>
    </row>
    <row r="44" spans="1:18" s="10" customFormat="1">
      <c r="A44" s="14"/>
      <c r="B44" s="16" t="s">
        <v>226</v>
      </c>
      <c r="C44" s="6"/>
      <c r="D44" s="6"/>
      <c r="E44" s="106" t="s">
        <v>12</v>
      </c>
      <c r="F44" s="14"/>
      <c r="G44" s="6"/>
      <c r="H44" s="14"/>
      <c r="I44" s="14"/>
      <c r="J44" s="14"/>
      <c r="K44" s="195">
        <f>SH</f>
        <v>0</v>
      </c>
      <c r="L44" s="195">
        <f>SH</f>
        <v>0</v>
      </c>
      <c r="M44" s="195">
        <f>SH</f>
        <v>0</v>
      </c>
      <c r="N44" s="195">
        <f>SH</f>
        <v>0</v>
      </c>
      <c r="O44" s="195">
        <f>SH</f>
        <v>0</v>
      </c>
      <c r="P44" s="100" t="s">
        <v>25</v>
      </c>
      <c r="Q44" s="14"/>
      <c r="R44" s="14"/>
    </row>
    <row r="45" spans="1:18" s="10" customFormat="1" ht="12.75">
      <c r="A45" s="14"/>
      <c r="B45" s="16" t="s">
        <v>109</v>
      </c>
      <c r="C45" s="6"/>
      <c r="D45" s="6"/>
      <c r="E45" s="106" t="s">
        <v>12</v>
      </c>
      <c r="F45" s="14"/>
      <c r="G45" s="6"/>
      <c r="H45" s="14"/>
      <c r="I45" s="14"/>
      <c r="J45" s="14"/>
      <c r="K45" s="195">
        <f>SHA</f>
        <v>0</v>
      </c>
      <c r="L45" s="195">
        <f>SHA</f>
        <v>0</v>
      </c>
      <c r="M45" s="195">
        <f>SHA</f>
        <v>0</v>
      </c>
      <c r="N45" s="195">
        <f>SHA</f>
        <v>0</v>
      </c>
      <c r="O45" s="195">
        <f>SHA</f>
        <v>0</v>
      </c>
      <c r="P45" s="100" t="s">
        <v>109</v>
      </c>
      <c r="Q45" s="14"/>
      <c r="R45" s="14"/>
    </row>
    <row r="46" spans="1:18" s="10" customFormat="1">
      <c r="A46" s="14"/>
      <c r="B46" s="16" t="s">
        <v>241</v>
      </c>
      <c r="C46" s="6"/>
      <c r="D46" s="6"/>
      <c r="E46" s="106" t="s">
        <v>12</v>
      </c>
      <c r="F46" s="14"/>
      <c r="G46" s="6"/>
      <c r="H46" s="14"/>
      <c r="I46" s="14"/>
      <c r="J46" s="14"/>
      <c r="K46" s="196">
        <f>SHA*PIAB_PIAH</f>
        <v>0</v>
      </c>
      <c r="L46" s="196">
        <f>SHA*PIAB_PIAH</f>
        <v>0</v>
      </c>
      <c r="M46" s="196">
        <f>SHA*PIAB_PIAH</f>
        <v>0</v>
      </c>
      <c r="N46" s="196">
        <f>SHA*PIAB_PIAH</f>
        <v>0</v>
      </c>
      <c r="O46" s="196">
        <f>SHA*PIAB_PIAH</f>
        <v>0</v>
      </c>
      <c r="P46" s="100" t="s">
        <v>213</v>
      </c>
      <c r="Q46" s="14"/>
      <c r="R46" s="14"/>
    </row>
    <row r="47" spans="1:18" s="10" customFormat="1">
      <c r="A47" s="14" t="s">
        <v>242</v>
      </c>
      <c r="B47" s="16" t="s">
        <v>243</v>
      </c>
      <c r="C47" s="6"/>
      <c r="D47" s="6"/>
      <c r="E47" s="106" t="s">
        <v>12</v>
      </c>
      <c r="F47" s="14"/>
      <c r="G47" s="6"/>
      <c r="H47" s="14"/>
      <c r="I47" s="14"/>
      <c r="J47" s="14"/>
      <c r="K47" s="196">
        <f>TPC+LPSF+LPSC+EP-SH-SHB</f>
        <v>0</v>
      </c>
      <c r="L47" s="196">
        <f>TPC+LPSF+LPSC+EP-SH-SHB</f>
        <v>0</v>
      </c>
      <c r="M47" s="196">
        <f>TPC+LPSF+LPSC+EP-SH-SHB</f>
        <v>0</v>
      </c>
      <c r="N47" s="196">
        <f>TPC+LPSF+LPSC+EP-SH-SHB</f>
        <v>0</v>
      </c>
      <c r="O47" s="196">
        <f>TPC+LPSF+LPSC+EP-SH-SHB</f>
        <v>0</v>
      </c>
      <c r="P47" s="100" t="s">
        <v>212</v>
      </c>
      <c r="Q47" s="14"/>
      <c r="R47" s="14"/>
    </row>
    <row r="48" spans="1:18" s="104" customFormat="1">
      <c r="A48" s="32" t="s">
        <v>246</v>
      </c>
      <c r="B48" s="98" t="s">
        <v>244</v>
      </c>
      <c r="C48" s="98"/>
      <c r="D48" s="98"/>
      <c r="E48" s="169" t="s">
        <v>12</v>
      </c>
      <c r="F48" s="32"/>
      <c r="G48" s="98"/>
      <c r="H48" s="32"/>
      <c r="I48" s="32"/>
      <c r="J48" s="32"/>
      <c r="K48" s="197">
        <f>MPC+MPA</f>
        <v>0</v>
      </c>
      <c r="L48" s="197">
        <f>MPC+MPA</f>
        <v>0</v>
      </c>
      <c r="M48" s="197">
        <f>MPC+MPA</f>
        <v>0</v>
      </c>
      <c r="N48" s="197">
        <f>MPC+MPA</f>
        <v>0</v>
      </c>
      <c r="O48" s="197">
        <f>MPC+MPA</f>
        <v>0</v>
      </c>
      <c r="P48" s="105" t="s">
        <v>211</v>
      </c>
      <c r="Q48" s="14"/>
      <c r="R48" s="32"/>
    </row>
    <row r="49" spans="1:18" s="10" customFormat="1" ht="12.75">
      <c r="A49" s="16"/>
      <c r="B49" s="5"/>
      <c r="C49" s="5"/>
      <c r="D49" s="5"/>
      <c r="E49" s="96"/>
      <c r="F49" s="14"/>
      <c r="G49" s="5"/>
      <c r="H49" s="14"/>
      <c r="I49" s="14"/>
      <c r="J49" s="14"/>
      <c r="K49" s="6"/>
      <c r="L49" s="6"/>
      <c r="M49" s="6"/>
      <c r="N49" s="6"/>
      <c r="O49" s="6"/>
      <c r="P49" s="100"/>
      <c r="Q49" s="14"/>
      <c r="R49" s="14"/>
    </row>
    <row r="50" spans="1:18" s="10" customFormat="1" ht="15">
      <c r="A50" s="171" t="s">
        <v>348</v>
      </c>
      <c r="B50" s="14"/>
      <c r="C50" s="14"/>
      <c r="D50" s="14"/>
      <c r="E50" s="96"/>
      <c r="F50" s="14"/>
      <c r="G50" s="14"/>
      <c r="H50" s="14"/>
      <c r="I50" s="14"/>
      <c r="J50" s="14"/>
      <c r="K50" s="14"/>
      <c r="L50" s="14"/>
      <c r="M50" s="14"/>
      <c r="N50" s="14"/>
      <c r="O50" s="14"/>
      <c r="P50" s="100"/>
      <c r="Q50" s="14"/>
      <c r="R50" s="14"/>
    </row>
    <row r="51" spans="1:18" s="10" customFormat="1" ht="12.75">
      <c r="A51" s="119" t="s">
        <v>349</v>
      </c>
      <c r="B51" s="119" t="s">
        <v>350</v>
      </c>
      <c r="C51" s="14"/>
      <c r="D51" s="14"/>
      <c r="E51" s="168" t="s">
        <v>12</v>
      </c>
      <c r="F51" s="14"/>
      <c r="G51" s="14"/>
      <c r="H51" s="14"/>
      <c r="I51" s="14"/>
      <c r="J51" s="14"/>
      <c r="K51" s="195">
        <f>TV</f>
        <v>0</v>
      </c>
      <c r="L51" s="195">
        <f>TV</f>
        <v>0</v>
      </c>
      <c r="M51" s="195">
        <f>TV</f>
        <v>0</v>
      </c>
      <c r="N51" s="195">
        <f>TV</f>
        <v>0</v>
      </c>
      <c r="O51" s="195">
        <f>TV</f>
        <v>0</v>
      </c>
      <c r="P51" s="100" t="s">
        <v>350</v>
      </c>
      <c r="Q51" s="14"/>
      <c r="R51" s="14"/>
    </row>
    <row r="52" spans="1:18" s="10" customFormat="1">
      <c r="A52" s="119" t="s">
        <v>351</v>
      </c>
      <c r="B52" s="119" t="s">
        <v>510</v>
      </c>
      <c r="C52" s="14"/>
      <c r="D52" s="14"/>
      <c r="E52" s="168" t="s">
        <v>12</v>
      </c>
      <c r="F52" s="14"/>
      <c r="G52" s="14"/>
      <c r="H52" s="14"/>
      <c r="I52" s="14"/>
      <c r="J52" s="14"/>
      <c r="K52" s="196">
        <f>TV*PIAB_PIAH</f>
        <v>0</v>
      </c>
      <c r="L52" s="196">
        <f>TV*PIAB_PIAH</f>
        <v>0</v>
      </c>
      <c r="M52" s="196">
        <f>TV*PIAB_PIAH</f>
        <v>0</v>
      </c>
      <c r="N52" s="196">
        <f>TV*PIAB_PIAH</f>
        <v>0</v>
      </c>
      <c r="O52" s="196">
        <f>TV*PIAB_PIAH</f>
        <v>0</v>
      </c>
      <c r="P52" s="100" t="s">
        <v>426</v>
      </c>
      <c r="Q52" s="14"/>
      <c r="R52" s="14"/>
    </row>
    <row r="53" spans="1:18" s="10" customFormat="1">
      <c r="A53" s="119" t="s">
        <v>352</v>
      </c>
      <c r="B53" s="119" t="s">
        <v>511</v>
      </c>
      <c r="C53" s="14"/>
      <c r="D53" s="14"/>
      <c r="E53" s="168" t="s">
        <v>12</v>
      </c>
      <c r="F53" s="14"/>
      <c r="G53" s="14"/>
      <c r="H53" s="14"/>
      <c r="I53" s="14"/>
      <c r="J53" s="14"/>
      <c r="K53" s="195">
        <f>TP</f>
        <v>0</v>
      </c>
      <c r="L53" s="195">
        <f>TP</f>
        <v>0</v>
      </c>
      <c r="M53" s="195">
        <f>TP</f>
        <v>0</v>
      </c>
      <c r="N53" s="195">
        <f>TP</f>
        <v>0</v>
      </c>
      <c r="O53" s="195">
        <f>TP</f>
        <v>0</v>
      </c>
      <c r="P53" s="100" t="s">
        <v>158</v>
      </c>
      <c r="Q53" s="14"/>
      <c r="R53" s="14"/>
    </row>
    <row r="54" spans="1:18" s="10" customFormat="1">
      <c r="A54" s="32" t="s">
        <v>353</v>
      </c>
      <c r="B54" s="119" t="s">
        <v>512</v>
      </c>
      <c r="C54" s="14"/>
      <c r="D54" s="14"/>
      <c r="E54" s="168" t="s">
        <v>12</v>
      </c>
      <c r="F54" s="14"/>
      <c r="G54" s="14"/>
      <c r="H54" s="14"/>
      <c r="I54" s="14"/>
      <c r="J54" s="14"/>
      <c r="K54" s="196">
        <f>TP-TA</f>
        <v>0</v>
      </c>
      <c r="L54" s="196">
        <f>TP-TA</f>
        <v>0</v>
      </c>
      <c r="M54" s="196">
        <f>TP-TA</f>
        <v>0</v>
      </c>
      <c r="N54" s="196">
        <f>TP-TA</f>
        <v>0</v>
      </c>
      <c r="O54" s="196">
        <f>TP-TA</f>
        <v>0</v>
      </c>
      <c r="P54" s="100" t="s">
        <v>427</v>
      </c>
      <c r="Q54" s="14"/>
      <c r="R54" s="14"/>
    </row>
    <row r="55" spans="1:18" s="10" customFormat="1" ht="12.75">
      <c r="A55" s="16"/>
      <c r="B55" s="5"/>
      <c r="C55" s="5"/>
      <c r="D55" s="5"/>
      <c r="E55" s="96"/>
      <c r="F55" s="14"/>
      <c r="G55" s="5"/>
      <c r="H55" s="14"/>
      <c r="I55" s="14"/>
      <c r="J55" s="14"/>
      <c r="K55" s="6"/>
      <c r="L55" s="6"/>
      <c r="M55" s="6"/>
      <c r="N55" s="6"/>
      <c r="O55" s="6"/>
      <c r="P55" s="100"/>
      <c r="Q55" s="14"/>
      <c r="R55" s="14"/>
    </row>
    <row r="56" spans="1:18" s="10" customFormat="1">
      <c r="A56" s="98" t="s">
        <v>155</v>
      </c>
      <c r="B56" s="16" t="s">
        <v>245</v>
      </c>
      <c r="C56" s="6"/>
      <c r="D56" s="6"/>
      <c r="E56" s="106" t="s">
        <v>12</v>
      </c>
      <c r="F56" s="14"/>
      <c r="G56" s="6"/>
      <c r="H56" s="14"/>
      <c r="I56" s="14"/>
      <c r="J56" s="14"/>
      <c r="K56" s="195">
        <f>UNC</f>
        <v>0</v>
      </c>
      <c r="L56" s="195">
        <f>UNC</f>
        <v>0</v>
      </c>
      <c r="M56" s="195">
        <f>UNC</f>
        <v>0</v>
      </c>
      <c r="N56" s="195">
        <f>UNC</f>
        <v>0</v>
      </c>
      <c r="O56" s="195">
        <f>UNC</f>
        <v>0</v>
      </c>
      <c r="P56" s="100" t="s">
        <v>20</v>
      </c>
      <c r="Q56" s="14"/>
      <c r="R56" s="14"/>
    </row>
    <row r="57" spans="1:18" ht="12.75">
      <c r="P57" s="14"/>
    </row>
    <row r="58" spans="1:18" s="104" customFormat="1" ht="12.75">
      <c r="A58" s="102" t="s">
        <v>156</v>
      </c>
      <c r="B58" s="102" t="s">
        <v>157</v>
      </c>
      <c r="C58" s="102"/>
      <c r="D58" s="102"/>
      <c r="E58" s="169" t="s">
        <v>12</v>
      </c>
      <c r="F58" s="32"/>
      <c r="G58" s="102"/>
      <c r="H58" s="32"/>
      <c r="I58" s="32"/>
      <c r="J58" s="32"/>
      <c r="K58" s="197">
        <f>LF+RB-HB-IED+MPT+TB+UNC</f>
        <v>0</v>
      </c>
      <c r="L58" s="197">
        <f>LF+RB-HB-IED+MPT+TB+UNC</f>
        <v>0</v>
      </c>
      <c r="M58" s="197">
        <f>LF+RB-HB-IED+MPT+TB+UNC</f>
        <v>0</v>
      </c>
      <c r="N58" s="197">
        <f>LF+RB-HB-IED+MPT+TB+UNC</f>
        <v>0</v>
      </c>
      <c r="O58" s="197">
        <f>LF+RB-HB-IED+MPT+TB+UNC</f>
        <v>0</v>
      </c>
      <c r="P58" s="100" t="s">
        <v>157</v>
      </c>
      <c r="Q58" s="14"/>
      <c r="R58" s="103"/>
    </row>
    <row r="59" spans="1:18" s="10" customFormat="1" ht="12.75">
      <c r="A59" s="14"/>
      <c r="B59" s="14"/>
      <c r="C59" s="14"/>
      <c r="D59" s="14"/>
      <c r="E59" s="96"/>
      <c r="F59" s="14"/>
      <c r="G59" s="14"/>
      <c r="H59" s="14"/>
      <c r="I59" s="14"/>
      <c r="J59" s="14"/>
      <c r="K59" s="14"/>
      <c r="L59" s="14"/>
      <c r="M59" s="14"/>
      <c r="N59" s="14"/>
      <c r="O59" s="14"/>
      <c r="P59" s="100"/>
      <c r="Q59" s="14"/>
      <c r="R59" s="16"/>
    </row>
    <row r="60" spans="1:18" s="10" customFormat="1" hidden="1">
      <c r="E60" s="13"/>
      <c r="J60" s="14"/>
      <c r="P60" s="18"/>
      <c r="Q60" s="14"/>
    </row>
    <row r="61" spans="1:18" s="10" customFormat="1" hidden="1">
      <c r="E61" s="13"/>
      <c r="J61" s="14"/>
      <c r="P61" s="18"/>
      <c r="Q61" s="14"/>
    </row>
    <row r="62" spans="1:18" s="10" customFormat="1" hidden="1">
      <c r="E62" s="13"/>
      <c r="J62" s="14"/>
      <c r="P62" s="18"/>
      <c r="Q62" s="14"/>
    </row>
    <row r="63" spans="1:18" s="10" customFormat="1" hidden="1">
      <c r="E63" s="13"/>
      <c r="J63" s="14"/>
      <c r="P63" s="18"/>
      <c r="Q63" s="14"/>
    </row>
    <row r="64" spans="1:18" s="10" customFormat="1" hidden="1">
      <c r="E64" s="13"/>
      <c r="J64" s="14"/>
      <c r="P64" s="18"/>
      <c r="Q64" s="14"/>
    </row>
    <row r="65" spans="5:17" s="10" customFormat="1" hidden="1">
      <c r="E65" s="13"/>
      <c r="J65" s="14"/>
      <c r="P65" s="18"/>
      <c r="Q65" s="14"/>
    </row>
    <row r="66" spans="5:17" s="10" customFormat="1" hidden="1">
      <c r="E66" s="13"/>
      <c r="J66" s="14"/>
      <c r="P66" s="18"/>
      <c r="Q66" s="14"/>
    </row>
    <row r="67" spans="5:17" s="10" customFormat="1" hidden="1">
      <c r="E67" s="13"/>
      <c r="J67" s="14"/>
      <c r="P67" s="18"/>
      <c r="Q67" s="14"/>
    </row>
    <row r="68" spans="5:17" s="10" customFormat="1" hidden="1">
      <c r="E68" s="13"/>
      <c r="J68" s="14"/>
      <c r="P68" s="18"/>
      <c r="Q68" s="14"/>
    </row>
    <row r="69" spans="5:17" s="10" customFormat="1" hidden="1">
      <c r="E69" s="13"/>
      <c r="J69" s="14"/>
      <c r="P69" s="18"/>
      <c r="Q69" s="14"/>
    </row>
    <row r="70" spans="5:17" s="10" customFormat="1" hidden="1">
      <c r="E70" s="13"/>
      <c r="J70" s="14"/>
      <c r="P70" s="18"/>
      <c r="Q70" s="14"/>
    </row>
    <row r="71" spans="5:17" s="10" customFormat="1" hidden="1">
      <c r="E71" s="13"/>
      <c r="J71" s="14"/>
      <c r="P71" s="18"/>
      <c r="Q71" s="14"/>
    </row>
    <row r="72" spans="5:17" s="10" customFormat="1" hidden="1">
      <c r="E72" s="13"/>
      <c r="J72" s="14"/>
      <c r="P72" s="18"/>
      <c r="Q72" s="14"/>
    </row>
    <row r="73" spans="5:17" s="10" customFormat="1" hidden="1">
      <c r="E73" s="13"/>
      <c r="J73" s="14"/>
      <c r="P73" s="18"/>
      <c r="Q73" s="14"/>
    </row>
    <row r="74" spans="5:17" s="10" customFormat="1" hidden="1">
      <c r="E74" s="13"/>
      <c r="J74" s="14"/>
      <c r="P74" s="18"/>
      <c r="Q74" s="14"/>
    </row>
    <row r="75" spans="5:17" s="10" customFormat="1" hidden="1">
      <c r="E75" s="13"/>
      <c r="J75" s="14"/>
      <c r="P75" s="18"/>
      <c r="Q75" s="14"/>
    </row>
    <row r="76" spans="5:17" s="10" customFormat="1" hidden="1">
      <c r="E76" s="13"/>
      <c r="J76" s="14"/>
      <c r="P76" s="18"/>
      <c r="Q76" s="14"/>
    </row>
    <row r="77" spans="5:17" s="10" customFormat="1" hidden="1">
      <c r="E77" s="13"/>
      <c r="J77" s="14"/>
      <c r="P77" s="18"/>
      <c r="Q77" s="14"/>
    </row>
    <row r="78" spans="5:17" s="10" customFormat="1" hidden="1">
      <c r="E78" s="13"/>
      <c r="J78" s="14"/>
      <c r="P78" s="18"/>
      <c r="Q78" s="14"/>
    </row>
    <row r="79" spans="5:17" s="10" customFormat="1" hidden="1">
      <c r="E79" s="13"/>
      <c r="J79" s="14"/>
      <c r="P79" s="18"/>
      <c r="Q79" s="14"/>
    </row>
    <row r="80" spans="5:17" s="10" customFormat="1" hidden="1">
      <c r="E80" s="13"/>
      <c r="J80" s="14"/>
      <c r="P80" s="18"/>
      <c r="Q80" s="14"/>
    </row>
    <row r="81" spans="5:17" s="10" customFormat="1" hidden="1">
      <c r="E81" s="13"/>
      <c r="J81" s="14"/>
      <c r="P81" s="18"/>
      <c r="Q81" s="14"/>
    </row>
    <row r="82" spans="5:17" s="10" customFormat="1" hidden="1">
      <c r="E82" s="13"/>
      <c r="J82" s="14"/>
      <c r="P82" s="18"/>
      <c r="Q82" s="14"/>
    </row>
    <row r="83" spans="5:17" s="10" customFormat="1" hidden="1">
      <c r="E83" s="13"/>
      <c r="J83" s="14"/>
      <c r="P83" s="18"/>
      <c r="Q83" s="14"/>
    </row>
    <row r="84" spans="5:17" s="10" customFormat="1" hidden="1">
      <c r="E84" s="13"/>
      <c r="J84" s="14"/>
      <c r="P84" s="18"/>
      <c r="Q84" s="14"/>
    </row>
    <row r="85" spans="5:17" s="10" customFormat="1" hidden="1">
      <c r="E85" s="13"/>
      <c r="J85" s="14"/>
      <c r="P85" s="18"/>
      <c r="Q85" s="14"/>
    </row>
    <row r="86" spans="5:17" s="10" customFormat="1" hidden="1">
      <c r="E86" s="13"/>
      <c r="J86" s="14"/>
      <c r="P86" s="18"/>
      <c r="Q86" s="14"/>
    </row>
    <row r="87" spans="5:17" s="10" customFormat="1" hidden="1">
      <c r="E87" s="13"/>
      <c r="J87" s="14"/>
      <c r="P87" s="18"/>
      <c r="Q87" s="14"/>
    </row>
    <row r="88" spans="5:17" s="10" customFormat="1" hidden="1">
      <c r="E88" s="13"/>
      <c r="J88" s="14"/>
      <c r="P88" s="18"/>
      <c r="Q88" s="14"/>
    </row>
    <row r="89" spans="5:17" s="10" customFormat="1" hidden="1">
      <c r="E89" s="13"/>
      <c r="J89" s="14"/>
      <c r="P89" s="18"/>
      <c r="Q89" s="14"/>
    </row>
    <row r="90" spans="5:17" s="10" customFormat="1" hidden="1">
      <c r="E90" s="13"/>
      <c r="J90" s="14"/>
      <c r="P90" s="18"/>
      <c r="Q90" s="14"/>
    </row>
    <row r="91" spans="5:17" s="10" customFormat="1" hidden="1">
      <c r="E91" s="13"/>
      <c r="J91" s="14"/>
      <c r="P91" s="18"/>
      <c r="Q91" s="14"/>
    </row>
    <row r="92" spans="5:17" s="10" customFormat="1" hidden="1">
      <c r="E92" s="13"/>
      <c r="J92" s="14"/>
      <c r="P92" s="18"/>
      <c r="Q92" s="14"/>
    </row>
    <row r="93" spans="5:17" s="10" customFormat="1" hidden="1">
      <c r="E93" s="13"/>
      <c r="J93" s="14"/>
      <c r="P93" s="18"/>
      <c r="Q93" s="14"/>
    </row>
    <row r="94" spans="5:17" s="10" customFormat="1" hidden="1">
      <c r="E94" s="13"/>
      <c r="J94" s="14"/>
      <c r="P94" s="18"/>
      <c r="Q94" s="14"/>
    </row>
    <row r="95" spans="5:17" s="10" customFormat="1" hidden="1">
      <c r="E95" s="13"/>
      <c r="J95" s="14"/>
      <c r="P95" s="18"/>
      <c r="Q95" s="14"/>
    </row>
    <row r="96" spans="5:17" s="10" customFormat="1" hidden="1">
      <c r="E96" s="13"/>
      <c r="J96" s="14"/>
      <c r="P96" s="18"/>
      <c r="Q96" s="14"/>
    </row>
    <row r="97" spans="5:17" s="10" customFormat="1" hidden="1">
      <c r="E97" s="13"/>
      <c r="J97" s="14"/>
      <c r="P97" s="18"/>
      <c r="Q97" s="14"/>
    </row>
    <row r="98" spans="5:17" s="10" customFormat="1" hidden="1">
      <c r="E98" s="13"/>
      <c r="J98" s="14"/>
      <c r="P98" s="18"/>
      <c r="Q98" s="14"/>
    </row>
    <row r="99" spans="5:17" s="10" customFormat="1" hidden="1">
      <c r="E99" s="13"/>
      <c r="J99" s="14"/>
      <c r="P99" s="18"/>
      <c r="Q99" s="14"/>
    </row>
    <row r="100" spans="5:17" s="10" customFormat="1" hidden="1">
      <c r="E100" s="13"/>
      <c r="J100" s="14"/>
      <c r="P100" s="18"/>
      <c r="Q100" s="14"/>
    </row>
    <row r="101" spans="5:17" s="10" customFormat="1" hidden="1">
      <c r="E101" s="13"/>
      <c r="J101" s="14"/>
      <c r="P101" s="18"/>
      <c r="Q101" s="14"/>
    </row>
    <row r="102" spans="5:17" s="10" customFormat="1" hidden="1">
      <c r="E102" s="13"/>
      <c r="J102" s="14"/>
      <c r="P102" s="18"/>
      <c r="Q102" s="14"/>
    </row>
    <row r="103" spans="5:17" s="10" customFormat="1" hidden="1">
      <c r="E103" s="13"/>
      <c r="J103" s="14"/>
      <c r="P103" s="18"/>
      <c r="Q103" s="14"/>
    </row>
    <row r="104" spans="5:17" s="10" customFormat="1" hidden="1">
      <c r="E104" s="13"/>
      <c r="J104" s="14"/>
      <c r="P104" s="18"/>
      <c r="Q104" s="14"/>
    </row>
    <row r="105" spans="5:17" s="10" customFormat="1" hidden="1">
      <c r="E105" s="13"/>
      <c r="J105" s="14"/>
      <c r="P105" s="18"/>
      <c r="Q105" s="14"/>
    </row>
    <row r="106" spans="5:17" s="10" customFormat="1" hidden="1">
      <c r="E106" s="13"/>
      <c r="J106" s="14"/>
      <c r="P106" s="18"/>
      <c r="Q106" s="14"/>
    </row>
    <row r="107" spans="5:17" s="10" customFormat="1" hidden="1">
      <c r="E107" s="13"/>
      <c r="J107" s="14"/>
      <c r="P107" s="18"/>
      <c r="Q107" s="14"/>
    </row>
    <row r="108" spans="5:17" s="10" customFormat="1" hidden="1">
      <c r="E108" s="13"/>
      <c r="J108" s="14"/>
      <c r="P108" s="18"/>
      <c r="Q108" s="14"/>
    </row>
    <row r="109" spans="5:17" s="10" customFormat="1" hidden="1">
      <c r="E109" s="13"/>
      <c r="J109" s="14"/>
      <c r="P109" s="18"/>
      <c r="Q109" s="14"/>
    </row>
    <row r="110" spans="5:17" s="10" customFormat="1" hidden="1">
      <c r="E110" s="13"/>
      <c r="J110" s="14"/>
      <c r="P110" s="18"/>
      <c r="Q110" s="14"/>
    </row>
    <row r="111" spans="5:17" s="10" customFormat="1" hidden="1">
      <c r="E111" s="13"/>
      <c r="J111" s="14"/>
      <c r="P111" s="18"/>
      <c r="Q111" s="14"/>
    </row>
    <row r="112" spans="5:17" hidden="1"/>
    <row r="113" hidden="1"/>
    <row r="114" hidden="1"/>
    <row r="115" hidden="1"/>
    <row r="116" hidden="1"/>
    <row r="117" hidden="1"/>
    <row r="118" hidden="1"/>
    <row r="119" hidden="1"/>
    <row r="120" hidden="1"/>
    <row r="121" hidden="1"/>
    <row r="122" hidden="1"/>
    <row r="123" hidden="1"/>
    <row r="124" hidden="1"/>
    <row r="125" hidden="1"/>
    <row r="126" hidden="1"/>
    <row r="127" hidden="1"/>
  </sheetData>
  <sheetProtection password="E1CD" sheet="1" objects="1" scenarios="1" formatCells="0" formatColumns="0" formatRows="0" insertHyperlinks="0" autoFilter="0" pivotTables="0"/>
  <mergeCells count="1">
    <mergeCell ref="K3:M3"/>
  </mergeCells>
  <pageMargins left="0.70866141732283472" right="0.70866141732283472" top="0.74803149606299213" bottom="0.74803149606299213" header="0.11811023622047245" footer="0.11811023622047245"/>
  <pageSetup paperSize="8" fitToHeight="0" orientation="landscape" r:id="rId1"/>
  <headerFooter>
    <oddHeader>&amp;C&amp;A</oddHeader>
    <oddFooter>&amp;L&amp;D &amp;T&amp;C&amp;Z&amp;F&amp;R&amp;A</oddFooter>
  </headerFooter>
  <rowBreaks count="1" manualBreakCount="1">
    <brk id="49" max="16383" man="1"/>
  </rowBreaks>
</worksheet>
</file>

<file path=xl/worksheets/sheet11.xml><?xml version="1.0" encoding="utf-8"?>
<worksheet xmlns="http://schemas.openxmlformats.org/spreadsheetml/2006/main" xmlns:r="http://schemas.openxmlformats.org/officeDocument/2006/relationships">
  <sheetPr codeName="Sheet14">
    <tabColor rgb="FFCCFFCC"/>
  </sheetPr>
  <dimension ref="A1:AC37"/>
  <sheetViews>
    <sheetView view="pageBreakPreview" zoomScale="90" zoomScaleNormal="100" zoomScaleSheetLayoutView="90" workbookViewId="0">
      <pane ySplit="6" topLeftCell="A7" activePane="bottomLeft" state="frozen"/>
      <selection pane="bottomLeft" activeCell="A7" sqref="A7"/>
    </sheetView>
  </sheetViews>
  <sheetFormatPr defaultColWidth="0" defaultRowHeight="12.75" zeroHeight="1"/>
  <cols>
    <col min="1" max="1" width="1.625" style="10" customWidth="1"/>
    <col min="2" max="2" width="29.625" style="10" customWidth="1"/>
    <col min="3" max="3" width="1.625" style="14" customWidth="1"/>
    <col min="4" max="4" width="9" style="10" customWidth="1"/>
    <col min="5" max="5" width="9" style="13" customWidth="1"/>
    <col min="6" max="18" width="9" style="10" customWidth="1"/>
    <col min="19" max="19" width="1.625" style="10" customWidth="1"/>
    <col min="20" max="20" width="9" style="10" hidden="1" customWidth="1"/>
    <col min="21" max="29" width="0" style="10" hidden="1" customWidth="1"/>
    <col min="30" max="16384" width="9" style="10" hidden="1"/>
  </cols>
  <sheetData>
    <row r="1" spans="1:20" s="5" customFormat="1" ht="15">
      <c r="A1" s="8" t="s">
        <v>662</v>
      </c>
      <c r="E1" s="61"/>
      <c r="J1" s="376" t="s">
        <v>645</v>
      </c>
      <c r="K1" s="377"/>
      <c r="L1" s="377"/>
    </row>
    <row r="2" spans="1:20" s="5" customFormat="1" ht="15">
      <c r="A2" s="8" t="str">
        <f>COMPNAME</f>
        <v>Company Name of Electricity Distribution Network Operator Limited</v>
      </c>
    </row>
    <row r="3" spans="1:20" s="14" customFormat="1">
      <c r="A3" s="273" t="str">
        <f>'R5 Input page'!K8</f>
        <v>Regulatory Year ending 31 March 2012</v>
      </c>
      <c r="B3" s="5"/>
      <c r="C3" s="5"/>
      <c r="D3" s="378">
        <v>2013</v>
      </c>
      <c r="E3" s="379"/>
      <c r="F3" s="379"/>
      <c r="G3" s="379"/>
      <c r="H3" s="380"/>
      <c r="I3" s="378">
        <v>2014</v>
      </c>
      <c r="J3" s="379"/>
      <c r="K3" s="379">
        <v>2014</v>
      </c>
      <c r="L3" s="379"/>
      <c r="M3" s="380"/>
      <c r="N3" s="378">
        <v>2015</v>
      </c>
      <c r="O3" s="379"/>
      <c r="P3" s="379"/>
      <c r="Q3" s="379"/>
      <c r="R3" s="380"/>
    </row>
    <row r="4" spans="1:20" s="14" customFormat="1">
      <c r="B4" s="5"/>
      <c r="C4" s="5"/>
      <c r="D4" s="381" t="s">
        <v>300</v>
      </c>
      <c r="E4" s="382"/>
      <c r="F4" s="382" t="s">
        <v>300</v>
      </c>
      <c r="G4" s="382"/>
      <c r="H4" s="383"/>
      <c r="I4" s="381" t="s">
        <v>300</v>
      </c>
      <c r="J4" s="382"/>
      <c r="K4" s="382"/>
      <c r="L4" s="382"/>
      <c r="M4" s="383"/>
      <c r="N4" s="381" t="s">
        <v>300</v>
      </c>
      <c r="O4" s="382"/>
      <c r="P4" s="382"/>
      <c r="Q4" s="382"/>
      <c r="R4" s="383"/>
    </row>
    <row r="5" spans="1:20" s="14" customFormat="1">
      <c r="B5" s="106" t="s">
        <v>147</v>
      </c>
      <c r="C5" s="113"/>
      <c r="D5" s="107" t="s">
        <v>148</v>
      </c>
      <c r="E5" s="108" t="s">
        <v>162</v>
      </c>
      <c r="F5" s="108" t="s">
        <v>163</v>
      </c>
      <c r="G5" s="108" t="s">
        <v>149</v>
      </c>
      <c r="H5" s="109" t="s">
        <v>161</v>
      </c>
      <c r="I5" s="107" t="s">
        <v>148</v>
      </c>
      <c r="J5" s="108" t="s">
        <v>162</v>
      </c>
      <c r="K5" s="108" t="s">
        <v>163</v>
      </c>
      <c r="L5" s="108" t="s">
        <v>149</v>
      </c>
      <c r="M5" s="109" t="s">
        <v>161</v>
      </c>
      <c r="N5" s="107" t="s">
        <v>148</v>
      </c>
      <c r="O5" s="108" t="s">
        <v>162</v>
      </c>
      <c r="P5" s="108" t="s">
        <v>163</v>
      </c>
      <c r="Q5" s="108" t="s">
        <v>149</v>
      </c>
      <c r="R5" s="109" t="s">
        <v>161</v>
      </c>
    </row>
    <row r="6" spans="1:20" s="14" customFormat="1">
      <c r="B6" s="106"/>
      <c r="C6" s="113"/>
      <c r="D6" s="110"/>
      <c r="E6" s="111"/>
      <c r="F6" s="111"/>
      <c r="G6" s="111" t="s">
        <v>47</v>
      </c>
      <c r="H6" s="112" t="s">
        <v>47</v>
      </c>
      <c r="I6" s="110"/>
      <c r="J6" s="111"/>
      <c r="K6" s="111"/>
      <c r="L6" s="111" t="s">
        <v>47</v>
      </c>
      <c r="M6" s="112" t="s">
        <v>47</v>
      </c>
      <c r="N6" s="110"/>
      <c r="O6" s="111"/>
      <c r="P6" s="111"/>
      <c r="Q6" s="111" t="s">
        <v>47</v>
      </c>
      <c r="R6" s="112" t="s">
        <v>47</v>
      </c>
    </row>
    <row r="7" spans="1:20">
      <c r="A7" s="14"/>
      <c r="B7" s="274">
        <f>'R6 Losses DG Input'!B7</f>
        <v>0</v>
      </c>
      <c r="C7" s="114"/>
      <c r="D7" s="190">
        <f>'R6 Losses DG Input'!D7</f>
        <v>0</v>
      </c>
      <c r="E7" s="187">
        <v>0.997</v>
      </c>
      <c r="F7" s="188">
        <f>MIN(D7,E7)</f>
        <v>0</v>
      </c>
      <c r="G7" s="188">
        <f>'R6 Losses DG Input'!E7</f>
        <v>0</v>
      </c>
      <c r="H7" s="188">
        <f>(F7-E7)*G7</f>
        <v>0</v>
      </c>
      <c r="I7" s="190">
        <f>'R6 Losses DG Input'!G7</f>
        <v>0</v>
      </c>
      <c r="J7" s="187">
        <v>0.997</v>
      </c>
      <c r="K7" s="188">
        <f>MIN(I7,J7)</f>
        <v>0</v>
      </c>
      <c r="L7" s="188">
        <f>'R6 Losses DG Input'!H7</f>
        <v>0</v>
      </c>
      <c r="M7" s="188">
        <f>(K7-J7)*L7</f>
        <v>0</v>
      </c>
      <c r="N7" s="190">
        <f>'R6 Losses DG Input'!J7</f>
        <v>0</v>
      </c>
      <c r="O7" s="187">
        <v>0.997</v>
      </c>
      <c r="P7" s="188">
        <f>MIN(N7,O7)</f>
        <v>0</v>
      </c>
      <c r="Q7" s="188">
        <f>'R6 Losses DG Input'!K7</f>
        <v>0</v>
      </c>
      <c r="R7" s="188">
        <f>(P7-O7)*Q7</f>
        <v>0</v>
      </c>
      <c r="S7" s="14"/>
      <c r="T7" s="14"/>
    </row>
    <row r="8" spans="1:20">
      <c r="A8" s="14"/>
      <c r="B8" s="274">
        <f>'R6 Losses DG Input'!B8</f>
        <v>0</v>
      </c>
      <c r="C8" s="114"/>
      <c r="D8" s="190">
        <f>'R6 Losses DG Input'!D8</f>
        <v>0</v>
      </c>
      <c r="E8" s="187">
        <v>0.997</v>
      </c>
      <c r="F8" s="188">
        <f t="shared" ref="F8:F31" si="0">MIN(D8,E8)</f>
        <v>0</v>
      </c>
      <c r="G8" s="188">
        <f>'R6 Losses DG Input'!E8</f>
        <v>0</v>
      </c>
      <c r="H8" s="188">
        <f t="shared" ref="H8:H31" si="1">(F8-E8)*G8</f>
        <v>0</v>
      </c>
      <c r="I8" s="190">
        <f>'R6 Losses DG Input'!G8</f>
        <v>0</v>
      </c>
      <c r="J8" s="187">
        <v>0.997</v>
      </c>
      <c r="K8" s="188">
        <f t="shared" ref="K8:K31" si="2">MIN(I8,J8)</f>
        <v>0</v>
      </c>
      <c r="L8" s="188">
        <f>'R6 Losses DG Input'!H8</f>
        <v>0</v>
      </c>
      <c r="M8" s="188">
        <f t="shared" ref="M8:M31" si="3">(K8-J8)*L8</f>
        <v>0</v>
      </c>
      <c r="N8" s="190">
        <f>'R6 Losses DG Input'!J8</f>
        <v>0</v>
      </c>
      <c r="O8" s="187">
        <v>0.997</v>
      </c>
      <c r="P8" s="188">
        <f t="shared" ref="P8:P31" si="4">MIN(N8,O8)</f>
        <v>0</v>
      </c>
      <c r="Q8" s="188">
        <f>'R6 Losses DG Input'!K8</f>
        <v>0</v>
      </c>
      <c r="R8" s="188">
        <f t="shared" ref="R8:R31" si="5">(P8-O8)*Q8</f>
        <v>0</v>
      </c>
      <c r="S8" s="14"/>
      <c r="T8" s="14"/>
    </row>
    <row r="9" spans="1:20">
      <c r="A9" s="14"/>
      <c r="B9" s="274"/>
      <c r="C9" s="114"/>
      <c r="D9" s="190">
        <f>'R6 Losses DG Input'!D9</f>
        <v>0</v>
      </c>
      <c r="E9" s="187">
        <v>0.997</v>
      </c>
      <c r="F9" s="188">
        <f t="shared" si="0"/>
        <v>0</v>
      </c>
      <c r="G9" s="188">
        <f>'R6 Losses DG Input'!E9</f>
        <v>0</v>
      </c>
      <c r="H9" s="188">
        <f t="shared" si="1"/>
        <v>0</v>
      </c>
      <c r="I9" s="190">
        <f>'R6 Losses DG Input'!G9</f>
        <v>0</v>
      </c>
      <c r="J9" s="187">
        <v>0.997</v>
      </c>
      <c r="K9" s="188">
        <f t="shared" si="2"/>
        <v>0</v>
      </c>
      <c r="L9" s="188">
        <f>'R6 Losses DG Input'!H9</f>
        <v>0</v>
      </c>
      <c r="M9" s="188">
        <f t="shared" si="3"/>
        <v>0</v>
      </c>
      <c r="N9" s="190">
        <f>'R6 Losses DG Input'!J9</f>
        <v>0</v>
      </c>
      <c r="O9" s="187">
        <v>0.997</v>
      </c>
      <c r="P9" s="188">
        <f t="shared" si="4"/>
        <v>0</v>
      </c>
      <c r="Q9" s="188">
        <f>'R6 Losses DG Input'!K9</f>
        <v>0</v>
      </c>
      <c r="R9" s="188">
        <f t="shared" si="5"/>
        <v>0</v>
      </c>
      <c r="S9" s="14"/>
      <c r="T9" s="14"/>
    </row>
    <row r="10" spans="1:20">
      <c r="A10" s="14"/>
      <c r="B10" s="274"/>
      <c r="C10" s="114"/>
      <c r="D10" s="190">
        <f>'R6 Losses DG Input'!D10</f>
        <v>0</v>
      </c>
      <c r="E10" s="187">
        <v>0.997</v>
      </c>
      <c r="F10" s="188">
        <f t="shared" si="0"/>
        <v>0</v>
      </c>
      <c r="G10" s="188">
        <f>'R6 Losses DG Input'!E10</f>
        <v>0</v>
      </c>
      <c r="H10" s="188">
        <f t="shared" si="1"/>
        <v>0</v>
      </c>
      <c r="I10" s="190">
        <f>'R6 Losses DG Input'!G10</f>
        <v>0</v>
      </c>
      <c r="J10" s="187">
        <v>0.997</v>
      </c>
      <c r="K10" s="188">
        <f t="shared" si="2"/>
        <v>0</v>
      </c>
      <c r="L10" s="188">
        <f>'R6 Losses DG Input'!H10</f>
        <v>0</v>
      </c>
      <c r="M10" s="188">
        <f t="shared" si="3"/>
        <v>0</v>
      </c>
      <c r="N10" s="190">
        <f>'R6 Losses DG Input'!J10</f>
        <v>0</v>
      </c>
      <c r="O10" s="187">
        <v>0.997</v>
      </c>
      <c r="P10" s="188">
        <f t="shared" si="4"/>
        <v>0</v>
      </c>
      <c r="Q10" s="188">
        <f>'R6 Losses DG Input'!K10</f>
        <v>0</v>
      </c>
      <c r="R10" s="188">
        <f t="shared" si="5"/>
        <v>0</v>
      </c>
      <c r="S10" s="14"/>
      <c r="T10" s="14"/>
    </row>
    <row r="11" spans="1:20">
      <c r="A11" s="14"/>
      <c r="B11" s="274"/>
      <c r="C11" s="114"/>
      <c r="D11" s="190">
        <f>'R6 Losses DG Input'!D11</f>
        <v>0</v>
      </c>
      <c r="E11" s="187">
        <v>0.997</v>
      </c>
      <c r="F11" s="188">
        <f t="shared" si="0"/>
        <v>0</v>
      </c>
      <c r="G11" s="188">
        <f>'R6 Losses DG Input'!E11</f>
        <v>0</v>
      </c>
      <c r="H11" s="188">
        <f t="shared" si="1"/>
        <v>0</v>
      </c>
      <c r="I11" s="190">
        <f>'R6 Losses DG Input'!G11</f>
        <v>0</v>
      </c>
      <c r="J11" s="187">
        <v>0.997</v>
      </c>
      <c r="K11" s="188">
        <f t="shared" si="2"/>
        <v>0</v>
      </c>
      <c r="L11" s="188">
        <f>'R6 Losses DG Input'!H11</f>
        <v>0</v>
      </c>
      <c r="M11" s="188">
        <f t="shared" si="3"/>
        <v>0</v>
      </c>
      <c r="N11" s="190">
        <f>'R6 Losses DG Input'!J11</f>
        <v>0</v>
      </c>
      <c r="O11" s="187">
        <v>0.997</v>
      </c>
      <c r="P11" s="188">
        <f t="shared" si="4"/>
        <v>0</v>
      </c>
      <c r="Q11" s="188">
        <f>'R6 Losses DG Input'!K11</f>
        <v>0</v>
      </c>
      <c r="R11" s="188">
        <f t="shared" si="5"/>
        <v>0</v>
      </c>
      <c r="S11" s="14"/>
      <c r="T11" s="14"/>
    </row>
    <row r="12" spans="1:20">
      <c r="A12" s="14"/>
      <c r="B12" s="274"/>
      <c r="C12" s="114"/>
      <c r="D12" s="190">
        <f>'R6 Losses DG Input'!D12</f>
        <v>0</v>
      </c>
      <c r="E12" s="187">
        <v>0.997</v>
      </c>
      <c r="F12" s="188">
        <f t="shared" si="0"/>
        <v>0</v>
      </c>
      <c r="G12" s="188">
        <f>'R6 Losses DG Input'!E12</f>
        <v>0</v>
      </c>
      <c r="H12" s="188">
        <f t="shared" si="1"/>
        <v>0</v>
      </c>
      <c r="I12" s="190">
        <f>'R6 Losses DG Input'!G12</f>
        <v>0</v>
      </c>
      <c r="J12" s="187">
        <v>0.997</v>
      </c>
      <c r="K12" s="188">
        <f t="shared" si="2"/>
        <v>0</v>
      </c>
      <c r="L12" s="188">
        <f>'R6 Losses DG Input'!H12</f>
        <v>0</v>
      </c>
      <c r="M12" s="188">
        <f t="shared" si="3"/>
        <v>0</v>
      </c>
      <c r="N12" s="190">
        <f>'R6 Losses DG Input'!J12</f>
        <v>0</v>
      </c>
      <c r="O12" s="187">
        <v>0.997</v>
      </c>
      <c r="P12" s="188">
        <f t="shared" si="4"/>
        <v>0</v>
      </c>
      <c r="Q12" s="188">
        <f>'R6 Losses DG Input'!K12</f>
        <v>0</v>
      </c>
      <c r="R12" s="188">
        <f t="shared" si="5"/>
        <v>0</v>
      </c>
      <c r="S12" s="14"/>
      <c r="T12" s="14"/>
    </row>
    <row r="13" spans="1:20">
      <c r="A13" s="14"/>
      <c r="B13" s="274"/>
      <c r="C13" s="114"/>
      <c r="D13" s="190">
        <f>'R6 Losses DG Input'!D13</f>
        <v>0</v>
      </c>
      <c r="E13" s="187">
        <v>0.997</v>
      </c>
      <c r="F13" s="188">
        <f t="shared" si="0"/>
        <v>0</v>
      </c>
      <c r="G13" s="188">
        <f>'R6 Losses DG Input'!E13</f>
        <v>0</v>
      </c>
      <c r="H13" s="188">
        <f t="shared" si="1"/>
        <v>0</v>
      </c>
      <c r="I13" s="190">
        <f>'R6 Losses DG Input'!G13</f>
        <v>0</v>
      </c>
      <c r="J13" s="187">
        <v>0.997</v>
      </c>
      <c r="K13" s="188">
        <f t="shared" si="2"/>
        <v>0</v>
      </c>
      <c r="L13" s="188">
        <f>'R6 Losses DG Input'!H13</f>
        <v>0</v>
      </c>
      <c r="M13" s="188">
        <f t="shared" si="3"/>
        <v>0</v>
      </c>
      <c r="N13" s="190">
        <f>'R6 Losses DG Input'!J13</f>
        <v>0</v>
      </c>
      <c r="O13" s="187">
        <v>0.997</v>
      </c>
      <c r="P13" s="188">
        <f t="shared" si="4"/>
        <v>0</v>
      </c>
      <c r="Q13" s="188">
        <f>'R6 Losses DG Input'!K13</f>
        <v>0</v>
      </c>
      <c r="R13" s="188">
        <f t="shared" si="5"/>
        <v>0</v>
      </c>
      <c r="S13" s="14"/>
      <c r="T13" s="14"/>
    </row>
    <row r="14" spans="1:20">
      <c r="A14" s="14"/>
      <c r="B14" s="274"/>
      <c r="C14" s="114"/>
      <c r="D14" s="190">
        <f>'R6 Losses DG Input'!D14</f>
        <v>0</v>
      </c>
      <c r="E14" s="187">
        <v>0.997</v>
      </c>
      <c r="F14" s="188">
        <f t="shared" si="0"/>
        <v>0</v>
      </c>
      <c r="G14" s="188">
        <f>'R6 Losses DG Input'!E14</f>
        <v>0</v>
      </c>
      <c r="H14" s="188">
        <f t="shared" si="1"/>
        <v>0</v>
      </c>
      <c r="I14" s="190">
        <f>'R6 Losses DG Input'!G14</f>
        <v>0</v>
      </c>
      <c r="J14" s="187">
        <v>0.997</v>
      </c>
      <c r="K14" s="188">
        <f t="shared" si="2"/>
        <v>0</v>
      </c>
      <c r="L14" s="188">
        <f>'R6 Losses DG Input'!H14</f>
        <v>0</v>
      </c>
      <c r="M14" s="188">
        <f t="shared" si="3"/>
        <v>0</v>
      </c>
      <c r="N14" s="190">
        <f>'R6 Losses DG Input'!J14</f>
        <v>0</v>
      </c>
      <c r="O14" s="187">
        <v>0.997</v>
      </c>
      <c r="P14" s="188">
        <f t="shared" si="4"/>
        <v>0</v>
      </c>
      <c r="Q14" s="188">
        <f>'R6 Losses DG Input'!K14</f>
        <v>0</v>
      </c>
      <c r="R14" s="188">
        <f t="shared" si="5"/>
        <v>0</v>
      </c>
      <c r="S14" s="14"/>
      <c r="T14" s="14"/>
    </row>
    <row r="15" spans="1:20">
      <c r="A15" s="14"/>
      <c r="B15" s="274"/>
      <c r="C15" s="114"/>
      <c r="D15" s="190">
        <f>'R6 Losses DG Input'!D15</f>
        <v>0</v>
      </c>
      <c r="E15" s="187">
        <v>0.997</v>
      </c>
      <c r="F15" s="188">
        <f t="shared" si="0"/>
        <v>0</v>
      </c>
      <c r="G15" s="188">
        <f>'R6 Losses DG Input'!E15</f>
        <v>0</v>
      </c>
      <c r="H15" s="188">
        <f t="shared" si="1"/>
        <v>0</v>
      </c>
      <c r="I15" s="190">
        <f>'R6 Losses DG Input'!G15</f>
        <v>0</v>
      </c>
      <c r="J15" s="187">
        <v>0.997</v>
      </c>
      <c r="K15" s="188">
        <f t="shared" si="2"/>
        <v>0</v>
      </c>
      <c r="L15" s="188">
        <f>'R6 Losses DG Input'!H15</f>
        <v>0</v>
      </c>
      <c r="M15" s="188">
        <f t="shared" si="3"/>
        <v>0</v>
      </c>
      <c r="N15" s="190">
        <f>'R6 Losses DG Input'!J15</f>
        <v>0</v>
      </c>
      <c r="O15" s="187">
        <v>0.997</v>
      </c>
      <c r="P15" s="188">
        <f t="shared" si="4"/>
        <v>0</v>
      </c>
      <c r="Q15" s="188">
        <f>'R6 Losses DG Input'!K15</f>
        <v>0</v>
      </c>
      <c r="R15" s="188">
        <f t="shared" si="5"/>
        <v>0</v>
      </c>
      <c r="S15" s="14"/>
      <c r="T15" s="14"/>
    </row>
    <row r="16" spans="1:20">
      <c r="A16" s="14"/>
      <c r="B16" s="274"/>
      <c r="C16" s="114"/>
      <c r="D16" s="190">
        <f>'R6 Losses DG Input'!D16</f>
        <v>0</v>
      </c>
      <c r="E16" s="187">
        <v>0.997</v>
      </c>
      <c r="F16" s="188">
        <f t="shared" si="0"/>
        <v>0</v>
      </c>
      <c r="G16" s="188">
        <f>'R6 Losses DG Input'!E16</f>
        <v>0</v>
      </c>
      <c r="H16" s="188">
        <f t="shared" si="1"/>
        <v>0</v>
      </c>
      <c r="I16" s="190">
        <f>'R6 Losses DG Input'!G16</f>
        <v>0</v>
      </c>
      <c r="J16" s="187">
        <v>0.997</v>
      </c>
      <c r="K16" s="188">
        <f t="shared" si="2"/>
        <v>0</v>
      </c>
      <c r="L16" s="188">
        <f>'R6 Losses DG Input'!H16</f>
        <v>0</v>
      </c>
      <c r="M16" s="188">
        <f t="shared" si="3"/>
        <v>0</v>
      </c>
      <c r="N16" s="190">
        <f>'R6 Losses DG Input'!J16</f>
        <v>0</v>
      </c>
      <c r="O16" s="187">
        <v>0.997</v>
      </c>
      <c r="P16" s="188">
        <f t="shared" si="4"/>
        <v>0</v>
      </c>
      <c r="Q16" s="188">
        <f>'R6 Losses DG Input'!K16</f>
        <v>0</v>
      </c>
      <c r="R16" s="188">
        <f t="shared" si="5"/>
        <v>0</v>
      </c>
      <c r="S16" s="14"/>
      <c r="T16" s="14"/>
    </row>
    <row r="17" spans="1:20">
      <c r="A17" s="14"/>
      <c r="B17" s="274"/>
      <c r="C17" s="114"/>
      <c r="D17" s="190">
        <f>'R6 Losses DG Input'!D17</f>
        <v>0</v>
      </c>
      <c r="E17" s="187">
        <v>0.997</v>
      </c>
      <c r="F17" s="188">
        <f t="shared" si="0"/>
        <v>0</v>
      </c>
      <c r="G17" s="188">
        <f>'R6 Losses DG Input'!E17</f>
        <v>0</v>
      </c>
      <c r="H17" s="188">
        <f t="shared" si="1"/>
        <v>0</v>
      </c>
      <c r="I17" s="190">
        <f>'R6 Losses DG Input'!G17</f>
        <v>0</v>
      </c>
      <c r="J17" s="187">
        <v>0.997</v>
      </c>
      <c r="K17" s="188">
        <f t="shared" si="2"/>
        <v>0</v>
      </c>
      <c r="L17" s="188">
        <f>'R6 Losses DG Input'!H17</f>
        <v>0</v>
      </c>
      <c r="M17" s="188">
        <f t="shared" si="3"/>
        <v>0</v>
      </c>
      <c r="N17" s="190">
        <f>'R6 Losses DG Input'!J17</f>
        <v>0</v>
      </c>
      <c r="O17" s="187">
        <v>0.997</v>
      </c>
      <c r="P17" s="188">
        <f t="shared" si="4"/>
        <v>0</v>
      </c>
      <c r="Q17" s="188">
        <f>'R6 Losses DG Input'!K17</f>
        <v>0</v>
      </c>
      <c r="R17" s="188">
        <f t="shared" si="5"/>
        <v>0</v>
      </c>
      <c r="S17" s="14"/>
      <c r="T17" s="14"/>
    </row>
    <row r="18" spans="1:20">
      <c r="A18" s="14"/>
      <c r="B18" s="274"/>
      <c r="C18" s="114"/>
      <c r="D18" s="190">
        <f>'R6 Losses DG Input'!D18</f>
        <v>0</v>
      </c>
      <c r="E18" s="187">
        <v>0.997</v>
      </c>
      <c r="F18" s="188">
        <f t="shared" si="0"/>
        <v>0</v>
      </c>
      <c r="G18" s="188">
        <f>'R6 Losses DG Input'!E18</f>
        <v>0</v>
      </c>
      <c r="H18" s="188">
        <f t="shared" si="1"/>
        <v>0</v>
      </c>
      <c r="I18" s="190">
        <f>'R6 Losses DG Input'!G18</f>
        <v>0</v>
      </c>
      <c r="J18" s="187">
        <v>0.997</v>
      </c>
      <c r="K18" s="188">
        <f t="shared" si="2"/>
        <v>0</v>
      </c>
      <c r="L18" s="188">
        <f>'R6 Losses DG Input'!H18</f>
        <v>0</v>
      </c>
      <c r="M18" s="188">
        <f t="shared" si="3"/>
        <v>0</v>
      </c>
      <c r="N18" s="190">
        <f>'R6 Losses DG Input'!J18</f>
        <v>0</v>
      </c>
      <c r="O18" s="187">
        <v>0.997</v>
      </c>
      <c r="P18" s="188">
        <f t="shared" si="4"/>
        <v>0</v>
      </c>
      <c r="Q18" s="188">
        <f>'R6 Losses DG Input'!K18</f>
        <v>0</v>
      </c>
      <c r="R18" s="188">
        <f t="shared" si="5"/>
        <v>0</v>
      </c>
      <c r="S18" s="14"/>
      <c r="T18" s="14"/>
    </row>
    <row r="19" spans="1:20">
      <c r="A19" s="14"/>
      <c r="B19" s="274"/>
      <c r="C19" s="114"/>
      <c r="D19" s="190">
        <f>'R6 Losses DG Input'!D19</f>
        <v>0</v>
      </c>
      <c r="E19" s="187">
        <v>0.997</v>
      </c>
      <c r="F19" s="188">
        <f t="shared" si="0"/>
        <v>0</v>
      </c>
      <c r="G19" s="188">
        <f>'R6 Losses DG Input'!E19</f>
        <v>0</v>
      </c>
      <c r="H19" s="188">
        <f t="shared" si="1"/>
        <v>0</v>
      </c>
      <c r="I19" s="190">
        <f>'R6 Losses DG Input'!G19</f>
        <v>0</v>
      </c>
      <c r="J19" s="187">
        <v>0.997</v>
      </c>
      <c r="K19" s="188">
        <f t="shared" si="2"/>
        <v>0</v>
      </c>
      <c r="L19" s="188">
        <f>'R6 Losses DG Input'!H19</f>
        <v>0</v>
      </c>
      <c r="M19" s="188">
        <f t="shared" si="3"/>
        <v>0</v>
      </c>
      <c r="N19" s="190">
        <f>'R6 Losses DG Input'!J19</f>
        <v>0</v>
      </c>
      <c r="O19" s="187">
        <v>0.997</v>
      </c>
      <c r="P19" s="188">
        <f t="shared" si="4"/>
        <v>0</v>
      </c>
      <c r="Q19" s="188">
        <f>'R6 Losses DG Input'!K19</f>
        <v>0</v>
      </c>
      <c r="R19" s="188">
        <f t="shared" si="5"/>
        <v>0</v>
      </c>
      <c r="S19" s="14"/>
      <c r="T19" s="14"/>
    </row>
    <row r="20" spans="1:20">
      <c r="A20" s="14"/>
      <c r="B20" s="274"/>
      <c r="C20" s="114"/>
      <c r="D20" s="190">
        <f>'R6 Losses DG Input'!D20</f>
        <v>0</v>
      </c>
      <c r="E20" s="187">
        <v>0.997</v>
      </c>
      <c r="F20" s="188">
        <f t="shared" si="0"/>
        <v>0</v>
      </c>
      <c r="G20" s="188">
        <f>'R6 Losses DG Input'!E20</f>
        <v>0</v>
      </c>
      <c r="H20" s="188">
        <f t="shared" si="1"/>
        <v>0</v>
      </c>
      <c r="I20" s="190">
        <f>'R6 Losses DG Input'!G20</f>
        <v>0</v>
      </c>
      <c r="J20" s="187">
        <v>0.997</v>
      </c>
      <c r="K20" s="188">
        <f t="shared" si="2"/>
        <v>0</v>
      </c>
      <c r="L20" s="188">
        <f>'R6 Losses DG Input'!H20</f>
        <v>0</v>
      </c>
      <c r="M20" s="188">
        <f t="shared" si="3"/>
        <v>0</v>
      </c>
      <c r="N20" s="190">
        <f>'R6 Losses DG Input'!J20</f>
        <v>0</v>
      </c>
      <c r="O20" s="187">
        <v>0.997</v>
      </c>
      <c r="P20" s="188">
        <f t="shared" si="4"/>
        <v>0</v>
      </c>
      <c r="Q20" s="188">
        <f>'R6 Losses DG Input'!K20</f>
        <v>0</v>
      </c>
      <c r="R20" s="188">
        <f t="shared" si="5"/>
        <v>0</v>
      </c>
      <c r="S20" s="14"/>
      <c r="T20" s="14"/>
    </row>
    <row r="21" spans="1:20">
      <c r="A21" s="14"/>
      <c r="B21" s="274"/>
      <c r="C21" s="114"/>
      <c r="D21" s="190">
        <f>'R6 Losses DG Input'!D21</f>
        <v>0</v>
      </c>
      <c r="E21" s="187">
        <v>0.997</v>
      </c>
      <c r="F21" s="188">
        <f t="shared" si="0"/>
        <v>0</v>
      </c>
      <c r="G21" s="188">
        <f>'R6 Losses DG Input'!E21</f>
        <v>0</v>
      </c>
      <c r="H21" s="188">
        <f t="shared" si="1"/>
        <v>0</v>
      </c>
      <c r="I21" s="190">
        <f>'R6 Losses DG Input'!G21</f>
        <v>0</v>
      </c>
      <c r="J21" s="187">
        <v>0.997</v>
      </c>
      <c r="K21" s="188">
        <f t="shared" si="2"/>
        <v>0</v>
      </c>
      <c r="L21" s="188">
        <f>'R6 Losses DG Input'!H21</f>
        <v>0</v>
      </c>
      <c r="M21" s="188">
        <f t="shared" si="3"/>
        <v>0</v>
      </c>
      <c r="N21" s="190">
        <f>'R6 Losses DG Input'!J21</f>
        <v>0</v>
      </c>
      <c r="O21" s="187">
        <v>0.997</v>
      </c>
      <c r="P21" s="188">
        <f t="shared" si="4"/>
        <v>0</v>
      </c>
      <c r="Q21" s="188">
        <f>'R6 Losses DG Input'!K21</f>
        <v>0</v>
      </c>
      <c r="R21" s="188">
        <f t="shared" si="5"/>
        <v>0</v>
      </c>
      <c r="S21" s="14"/>
      <c r="T21" s="14"/>
    </row>
    <row r="22" spans="1:20">
      <c r="A22" s="14"/>
      <c r="B22" s="274"/>
      <c r="C22" s="114"/>
      <c r="D22" s="190">
        <f>'R6 Losses DG Input'!D22</f>
        <v>0</v>
      </c>
      <c r="E22" s="187">
        <v>0.997</v>
      </c>
      <c r="F22" s="188">
        <f t="shared" si="0"/>
        <v>0</v>
      </c>
      <c r="G22" s="188">
        <f>'R6 Losses DG Input'!E22</f>
        <v>0</v>
      </c>
      <c r="H22" s="188">
        <f t="shared" si="1"/>
        <v>0</v>
      </c>
      <c r="I22" s="190">
        <f>'R6 Losses DG Input'!G22</f>
        <v>0</v>
      </c>
      <c r="J22" s="187">
        <v>0.997</v>
      </c>
      <c r="K22" s="188">
        <f t="shared" si="2"/>
        <v>0</v>
      </c>
      <c r="L22" s="188">
        <f>'R6 Losses DG Input'!H22</f>
        <v>0</v>
      </c>
      <c r="M22" s="188">
        <f t="shared" si="3"/>
        <v>0</v>
      </c>
      <c r="N22" s="190">
        <f>'R6 Losses DG Input'!J22</f>
        <v>0</v>
      </c>
      <c r="O22" s="187">
        <v>0.997</v>
      </c>
      <c r="P22" s="188">
        <f t="shared" si="4"/>
        <v>0</v>
      </c>
      <c r="Q22" s="188">
        <f>'R6 Losses DG Input'!K22</f>
        <v>0</v>
      </c>
      <c r="R22" s="188">
        <f t="shared" si="5"/>
        <v>0</v>
      </c>
      <c r="S22" s="14"/>
      <c r="T22" s="14"/>
    </row>
    <row r="23" spans="1:20">
      <c r="A23" s="14"/>
      <c r="B23" s="274"/>
      <c r="C23" s="114"/>
      <c r="D23" s="190">
        <f>'R6 Losses DG Input'!D23</f>
        <v>0</v>
      </c>
      <c r="E23" s="187">
        <v>0.997</v>
      </c>
      <c r="F23" s="188">
        <f t="shared" si="0"/>
        <v>0</v>
      </c>
      <c r="G23" s="188">
        <f>'R6 Losses DG Input'!E23</f>
        <v>0</v>
      </c>
      <c r="H23" s="188">
        <f t="shared" si="1"/>
        <v>0</v>
      </c>
      <c r="I23" s="190">
        <f>'R6 Losses DG Input'!G23</f>
        <v>0</v>
      </c>
      <c r="J23" s="187">
        <v>0.997</v>
      </c>
      <c r="K23" s="188">
        <f t="shared" si="2"/>
        <v>0</v>
      </c>
      <c r="L23" s="188">
        <f>'R6 Losses DG Input'!H23</f>
        <v>0</v>
      </c>
      <c r="M23" s="188">
        <f t="shared" si="3"/>
        <v>0</v>
      </c>
      <c r="N23" s="190">
        <f>'R6 Losses DG Input'!J23</f>
        <v>0</v>
      </c>
      <c r="O23" s="187">
        <v>0.997</v>
      </c>
      <c r="P23" s="188">
        <f t="shared" si="4"/>
        <v>0</v>
      </c>
      <c r="Q23" s="188">
        <f>'R6 Losses DG Input'!K23</f>
        <v>0</v>
      </c>
      <c r="R23" s="188">
        <f t="shared" si="5"/>
        <v>0</v>
      </c>
      <c r="S23" s="14"/>
      <c r="T23" s="14"/>
    </row>
    <row r="24" spans="1:20">
      <c r="A24" s="14"/>
      <c r="B24" s="274"/>
      <c r="C24" s="114"/>
      <c r="D24" s="190">
        <f>'R6 Losses DG Input'!D24</f>
        <v>0</v>
      </c>
      <c r="E24" s="187">
        <v>0.997</v>
      </c>
      <c r="F24" s="188">
        <f t="shared" si="0"/>
        <v>0</v>
      </c>
      <c r="G24" s="188">
        <f>'R6 Losses DG Input'!E24</f>
        <v>0</v>
      </c>
      <c r="H24" s="188">
        <f t="shared" si="1"/>
        <v>0</v>
      </c>
      <c r="I24" s="190">
        <f>'R6 Losses DG Input'!G24</f>
        <v>0</v>
      </c>
      <c r="J24" s="187">
        <v>0.997</v>
      </c>
      <c r="K24" s="188">
        <f t="shared" si="2"/>
        <v>0</v>
      </c>
      <c r="L24" s="188">
        <f>'R6 Losses DG Input'!H24</f>
        <v>0</v>
      </c>
      <c r="M24" s="188">
        <f t="shared" si="3"/>
        <v>0</v>
      </c>
      <c r="N24" s="190">
        <f>'R6 Losses DG Input'!J24</f>
        <v>0</v>
      </c>
      <c r="O24" s="187">
        <v>0.997</v>
      </c>
      <c r="P24" s="188">
        <f t="shared" si="4"/>
        <v>0</v>
      </c>
      <c r="Q24" s="188">
        <f>'R6 Losses DG Input'!K24</f>
        <v>0</v>
      </c>
      <c r="R24" s="188">
        <f t="shared" si="5"/>
        <v>0</v>
      </c>
      <c r="S24" s="14"/>
      <c r="T24" s="14"/>
    </row>
    <row r="25" spans="1:20">
      <c r="A25" s="14"/>
      <c r="B25" s="274"/>
      <c r="C25" s="114"/>
      <c r="D25" s="190">
        <f>'R6 Losses DG Input'!D25</f>
        <v>0</v>
      </c>
      <c r="E25" s="187">
        <v>0.997</v>
      </c>
      <c r="F25" s="188">
        <f t="shared" si="0"/>
        <v>0</v>
      </c>
      <c r="G25" s="188">
        <f>'R6 Losses DG Input'!E25</f>
        <v>0</v>
      </c>
      <c r="H25" s="188">
        <f t="shared" si="1"/>
        <v>0</v>
      </c>
      <c r="I25" s="190">
        <f>'R6 Losses DG Input'!G25</f>
        <v>0</v>
      </c>
      <c r="J25" s="187">
        <v>0.997</v>
      </c>
      <c r="K25" s="188">
        <f t="shared" si="2"/>
        <v>0</v>
      </c>
      <c r="L25" s="188">
        <f>'R6 Losses DG Input'!H25</f>
        <v>0</v>
      </c>
      <c r="M25" s="188">
        <f t="shared" si="3"/>
        <v>0</v>
      </c>
      <c r="N25" s="190">
        <f>'R6 Losses DG Input'!J25</f>
        <v>0</v>
      </c>
      <c r="O25" s="187">
        <v>0.997</v>
      </c>
      <c r="P25" s="188">
        <f t="shared" si="4"/>
        <v>0</v>
      </c>
      <c r="Q25" s="188">
        <f>'R6 Losses DG Input'!K25</f>
        <v>0</v>
      </c>
      <c r="R25" s="188">
        <f t="shared" si="5"/>
        <v>0</v>
      </c>
      <c r="S25" s="14"/>
      <c r="T25" s="14"/>
    </row>
    <row r="26" spans="1:20">
      <c r="A26" s="14"/>
      <c r="B26" s="274"/>
      <c r="C26" s="114"/>
      <c r="D26" s="190">
        <f>'R6 Losses DG Input'!D26</f>
        <v>0</v>
      </c>
      <c r="E26" s="187">
        <v>0.997</v>
      </c>
      <c r="F26" s="188">
        <f t="shared" si="0"/>
        <v>0</v>
      </c>
      <c r="G26" s="188">
        <f>'R6 Losses DG Input'!E26</f>
        <v>0</v>
      </c>
      <c r="H26" s="188">
        <f t="shared" si="1"/>
        <v>0</v>
      </c>
      <c r="I26" s="190">
        <f>'R6 Losses DG Input'!G26</f>
        <v>0</v>
      </c>
      <c r="J26" s="187">
        <v>0.997</v>
      </c>
      <c r="K26" s="188">
        <f t="shared" si="2"/>
        <v>0</v>
      </c>
      <c r="L26" s="188">
        <f>'R6 Losses DG Input'!H26</f>
        <v>0</v>
      </c>
      <c r="M26" s="188">
        <f t="shared" si="3"/>
        <v>0</v>
      </c>
      <c r="N26" s="190">
        <f>'R6 Losses DG Input'!J26</f>
        <v>0</v>
      </c>
      <c r="O26" s="187">
        <v>0.997</v>
      </c>
      <c r="P26" s="188">
        <f t="shared" si="4"/>
        <v>0</v>
      </c>
      <c r="Q26" s="188">
        <f>'R6 Losses DG Input'!K26</f>
        <v>0</v>
      </c>
      <c r="R26" s="188">
        <f t="shared" si="5"/>
        <v>0</v>
      </c>
      <c r="S26" s="14"/>
      <c r="T26" s="14"/>
    </row>
    <row r="27" spans="1:20">
      <c r="A27" s="14"/>
      <c r="B27" s="274"/>
      <c r="C27" s="114"/>
      <c r="D27" s="190">
        <f>'R6 Losses DG Input'!D27</f>
        <v>0</v>
      </c>
      <c r="E27" s="187">
        <v>0.997</v>
      </c>
      <c r="F27" s="188">
        <f t="shared" si="0"/>
        <v>0</v>
      </c>
      <c r="G27" s="188">
        <f>'R6 Losses DG Input'!E27</f>
        <v>0</v>
      </c>
      <c r="H27" s="188">
        <f t="shared" si="1"/>
        <v>0</v>
      </c>
      <c r="I27" s="190">
        <f>'R6 Losses DG Input'!G27</f>
        <v>0</v>
      </c>
      <c r="J27" s="187">
        <v>0.997</v>
      </c>
      <c r="K27" s="188">
        <f t="shared" si="2"/>
        <v>0</v>
      </c>
      <c r="L27" s="188">
        <f>'R6 Losses DG Input'!H27</f>
        <v>0</v>
      </c>
      <c r="M27" s="188">
        <f t="shared" si="3"/>
        <v>0</v>
      </c>
      <c r="N27" s="190">
        <f>'R6 Losses DG Input'!J27</f>
        <v>0</v>
      </c>
      <c r="O27" s="187">
        <v>0.997</v>
      </c>
      <c r="P27" s="188">
        <f t="shared" si="4"/>
        <v>0</v>
      </c>
      <c r="Q27" s="188">
        <f>'R6 Losses DG Input'!K27</f>
        <v>0</v>
      </c>
      <c r="R27" s="188">
        <f t="shared" si="5"/>
        <v>0</v>
      </c>
      <c r="S27" s="14"/>
      <c r="T27" s="14"/>
    </row>
    <row r="28" spans="1:20">
      <c r="A28" s="14"/>
      <c r="B28" s="274"/>
      <c r="C28" s="114"/>
      <c r="D28" s="190">
        <f>'R6 Losses DG Input'!D28</f>
        <v>0</v>
      </c>
      <c r="E28" s="187">
        <v>0.997</v>
      </c>
      <c r="F28" s="188">
        <f t="shared" si="0"/>
        <v>0</v>
      </c>
      <c r="G28" s="188">
        <f>'R6 Losses DG Input'!E28</f>
        <v>0</v>
      </c>
      <c r="H28" s="188">
        <f t="shared" si="1"/>
        <v>0</v>
      </c>
      <c r="I28" s="190">
        <f>'R6 Losses DG Input'!G28</f>
        <v>0</v>
      </c>
      <c r="J28" s="187">
        <v>0.997</v>
      </c>
      <c r="K28" s="188">
        <f t="shared" si="2"/>
        <v>0</v>
      </c>
      <c r="L28" s="188">
        <f>'R6 Losses DG Input'!H28</f>
        <v>0</v>
      </c>
      <c r="M28" s="188">
        <f t="shared" si="3"/>
        <v>0</v>
      </c>
      <c r="N28" s="190">
        <f>'R6 Losses DG Input'!J28</f>
        <v>0</v>
      </c>
      <c r="O28" s="187">
        <v>0.997</v>
      </c>
      <c r="P28" s="188">
        <f t="shared" si="4"/>
        <v>0</v>
      </c>
      <c r="Q28" s="188">
        <f>'R6 Losses DG Input'!K28</f>
        <v>0</v>
      </c>
      <c r="R28" s="188">
        <f t="shared" si="5"/>
        <v>0</v>
      </c>
      <c r="S28" s="14"/>
      <c r="T28" s="14"/>
    </row>
    <row r="29" spans="1:20">
      <c r="A29" s="14"/>
      <c r="B29" s="274"/>
      <c r="C29" s="114"/>
      <c r="D29" s="190">
        <f>'R6 Losses DG Input'!D29</f>
        <v>0</v>
      </c>
      <c r="E29" s="187">
        <v>0.997</v>
      </c>
      <c r="F29" s="188">
        <f t="shared" si="0"/>
        <v>0</v>
      </c>
      <c r="G29" s="188">
        <f>'R6 Losses DG Input'!E29</f>
        <v>0</v>
      </c>
      <c r="H29" s="188">
        <f t="shared" si="1"/>
        <v>0</v>
      </c>
      <c r="I29" s="190">
        <f>'R6 Losses DG Input'!G29</f>
        <v>0</v>
      </c>
      <c r="J29" s="187">
        <v>0.997</v>
      </c>
      <c r="K29" s="188">
        <f t="shared" si="2"/>
        <v>0</v>
      </c>
      <c r="L29" s="188">
        <f>'R6 Losses DG Input'!H29</f>
        <v>0</v>
      </c>
      <c r="M29" s="188">
        <f t="shared" si="3"/>
        <v>0</v>
      </c>
      <c r="N29" s="190">
        <f>'R6 Losses DG Input'!J29</f>
        <v>0</v>
      </c>
      <c r="O29" s="187">
        <v>0.997</v>
      </c>
      <c r="P29" s="188">
        <f t="shared" si="4"/>
        <v>0</v>
      </c>
      <c r="Q29" s="188">
        <f>'R6 Losses DG Input'!K29</f>
        <v>0</v>
      </c>
      <c r="R29" s="188">
        <f t="shared" si="5"/>
        <v>0</v>
      </c>
      <c r="S29" s="14"/>
      <c r="T29" s="14"/>
    </row>
    <row r="30" spans="1:20">
      <c r="A30" s="14"/>
      <c r="B30" s="274"/>
      <c r="C30" s="114"/>
      <c r="D30" s="190">
        <f>'R6 Losses DG Input'!D30</f>
        <v>0</v>
      </c>
      <c r="E30" s="187">
        <v>0.997</v>
      </c>
      <c r="F30" s="188">
        <f t="shared" si="0"/>
        <v>0</v>
      </c>
      <c r="G30" s="188">
        <f>'R6 Losses DG Input'!E30</f>
        <v>0</v>
      </c>
      <c r="H30" s="188">
        <f t="shared" si="1"/>
        <v>0</v>
      </c>
      <c r="I30" s="190">
        <f>'R6 Losses DG Input'!G30</f>
        <v>0</v>
      </c>
      <c r="J30" s="187">
        <v>0.997</v>
      </c>
      <c r="K30" s="188">
        <f t="shared" si="2"/>
        <v>0</v>
      </c>
      <c r="L30" s="188">
        <f>'R6 Losses DG Input'!H30</f>
        <v>0</v>
      </c>
      <c r="M30" s="188">
        <f t="shared" si="3"/>
        <v>0</v>
      </c>
      <c r="N30" s="190">
        <f>'R6 Losses DG Input'!J30</f>
        <v>0</v>
      </c>
      <c r="O30" s="187">
        <v>0.997</v>
      </c>
      <c r="P30" s="188">
        <f t="shared" si="4"/>
        <v>0</v>
      </c>
      <c r="Q30" s="188">
        <f>'R6 Losses DG Input'!K30</f>
        <v>0</v>
      </c>
      <c r="R30" s="188">
        <f t="shared" si="5"/>
        <v>0</v>
      </c>
      <c r="S30" s="14"/>
      <c r="T30" s="14"/>
    </row>
    <row r="31" spans="1:20">
      <c r="A31" s="14"/>
      <c r="B31" s="274"/>
      <c r="C31" s="114"/>
      <c r="D31" s="190">
        <f>'R6 Losses DG Input'!D31</f>
        <v>0</v>
      </c>
      <c r="E31" s="187">
        <v>0.997</v>
      </c>
      <c r="F31" s="188">
        <f t="shared" si="0"/>
        <v>0</v>
      </c>
      <c r="G31" s="188">
        <f>'R6 Losses DG Input'!E31</f>
        <v>0</v>
      </c>
      <c r="H31" s="188">
        <f t="shared" si="1"/>
        <v>0</v>
      </c>
      <c r="I31" s="190">
        <f>'R6 Losses DG Input'!G31</f>
        <v>0</v>
      </c>
      <c r="J31" s="187">
        <v>0.997</v>
      </c>
      <c r="K31" s="188">
        <f t="shared" si="2"/>
        <v>0</v>
      </c>
      <c r="L31" s="188">
        <f>'R6 Losses DG Input'!H31</f>
        <v>0</v>
      </c>
      <c r="M31" s="188">
        <f t="shared" si="3"/>
        <v>0</v>
      </c>
      <c r="N31" s="190">
        <f>'R6 Losses DG Input'!J31</f>
        <v>0</v>
      </c>
      <c r="O31" s="187">
        <v>0.997</v>
      </c>
      <c r="P31" s="188">
        <f t="shared" si="4"/>
        <v>0</v>
      </c>
      <c r="Q31" s="188">
        <f>'R6 Losses DG Input'!K31</f>
        <v>0</v>
      </c>
      <c r="R31" s="188">
        <f t="shared" si="5"/>
        <v>0</v>
      </c>
      <c r="S31" s="14"/>
      <c r="T31" s="14"/>
    </row>
    <row r="32" spans="1:20" s="14" customFormat="1">
      <c r="B32" s="106"/>
      <c r="C32" s="106"/>
      <c r="D32" s="61"/>
      <c r="E32" s="61"/>
      <c r="F32" s="5"/>
      <c r="G32" s="198">
        <f>SUM(G7:G31)</f>
        <v>0</v>
      </c>
      <c r="I32" s="61"/>
      <c r="J32" s="5"/>
      <c r="K32" s="5"/>
      <c r="L32" s="198">
        <f>SUM(L7:L31)</f>
        <v>0</v>
      </c>
      <c r="N32" s="61"/>
      <c r="O32" s="5"/>
      <c r="P32" s="5"/>
      <c r="Q32" s="198">
        <f>SUM(Q7:Q31)</f>
        <v>0</v>
      </c>
    </row>
    <row r="33" spans="1:20" s="14" customFormat="1">
      <c r="B33" s="63"/>
      <c r="C33" s="63"/>
      <c r="E33" s="96"/>
      <c r="G33" s="59"/>
      <c r="L33" s="59"/>
      <c r="Q33" s="59"/>
    </row>
    <row r="34" spans="1:20">
      <c r="A34" s="14"/>
      <c r="B34" s="14"/>
      <c r="D34" s="14"/>
      <c r="E34" s="96"/>
      <c r="F34" s="14"/>
      <c r="G34" s="102" t="s">
        <v>161</v>
      </c>
      <c r="H34" s="198">
        <f>SUM(H7:H31)</f>
        <v>0</v>
      </c>
      <c r="I34" s="14"/>
      <c r="J34" s="14"/>
      <c r="K34" s="14"/>
      <c r="L34" s="102" t="s">
        <v>161</v>
      </c>
      <c r="M34" s="198">
        <f>SUM(M7:M31)</f>
        <v>0</v>
      </c>
      <c r="N34" s="14"/>
      <c r="O34" s="14"/>
      <c r="P34" s="14"/>
      <c r="Q34" s="102" t="s">
        <v>161</v>
      </c>
      <c r="R34" s="198">
        <f>SUM(R7:R31)</f>
        <v>0</v>
      </c>
      <c r="S34" s="14"/>
      <c r="T34" s="14"/>
    </row>
    <row r="35" spans="1:20" s="14" customFormat="1">
      <c r="E35" s="96"/>
    </row>
    <row r="36" spans="1:20" hidden="1"/>
    <row r="37" spans="1:20" hidden="1"/>
  </sheetData>
  <sheetProtection password="E1CD" sheet="1" objects="1" scenarios="1" formatCells="0" insertHyperlinks="0" autoFilter="0" pivotTables="0"/>
  <mergeCells count="7">
    <mergeCell ref="J1:L1"/>
    <mergeCell ref="D3:H3"/>
    <mergeCell ref="I3:M3"/>
    <mergeCell ref="N3:R3"/>
    <mergeCell ref="D4:H4"/>
    <mergeCell ref="I4:M4"/>
    <mergeCell ref="N4:R4"/>
  </mergeCells>
  <pageMargins left="0.70866141732283472" right="0.70866141732283472" top="0.74803149606299213" bottom="0.74803149606299213" header="0.31496062992125984" footer="0.31496062992125984"/>
  <pageSetup paperSize="8" orientation="landscape" r:id="rId1"/>
  <headerFooter>
    <oddHeader>&amp;C&amp;A</oddHeader>
    <oddFooter>&amp;L&amp;D &amp;T&amp;C&amp;Z&amp;F&amp;R&amp;A</oddFooter>
  </headerFooter>
</worksheet>
</file>

<file path=xl/worksheets/sheet12.xml><?xml version="1.0" encoding="utf-8"?>
<worksheet xmlns="http://schemas.openxmlformats.org/spreadsheetml/2006/main" xmlns:r="http://schemas.openxmlformats.org/officeDocument/2006/relationships">
  <sheetPr codeName="Sheet7">
    <tabColor rgb="FFCCFFCC"/>
    <pageSetUpPr fitToPage="1"/>
  </sheetPr>
  <dimension ref="A1:Z164"/>
  <sheetViews>
    <sheetView view="pageBreakPreview" zoomScale="84" zoomScaleNormal="75" zoomScaleSheetLayoutView="84" workbookViewId="0">
      <pane xSplit="2" ySplit="4" topLeftCell="C32" activePane="bottomRight" state="frozen"/>
      <selection pane="topRight" activeCell="C1" sqref="C1"/>
      <selection pane="bottomLeft" activeCell="A5" sqref="A5"/>
      <selection pane="bottomRight" activeCell="G45" sqref="G45"/>
    </sheetView>
  </sheetViews>
  <sheetFormatPr defaultColWidth="0" defaultRowHeight="12.75" zeroHeight="1"/>
  <cols>
    <col min="1" max="1" width="73.625" style="10" customWidth="1"/>
    <col min="2" max="4" width="1.625" style="10" customWidth="1"/>
    <col min="5" max="5" width="6.625" style="13" customWidth="1"/>
    <col min="6" max="10" width="7.625" style="10" customWidth="1"/>
    <col min="11" max="12" width="9.125" style="10" customWidth="1"/>
    <col min="13" max="15" width="9.125" style="10" bestFit="1" customWidth="1"/>
    <col min="16" max="16" width="12.5" style="10" bestFit="1" customWidth="1"/>
    <col min="17" max="17" width="14.375" style="11" hidden="1" customWidth="1"/>
    <col min="18" max="18" width="18.25" style="10" hidden="1" customWidth="1"/>
    <col min="19" max="26" width="0" style="10" hidden="1" customWidth="1"/>
    <col min="27" max="16384" width="9" style="10" hidden="1"/>
  </cols>
  <sheetData>
    <row r="1" spans="1:18" s="5" customFormat="1" ht="15">
      <c r="A1" s="8" t="s">
        <v>487</v>
      </c>
      <c r="E1" s="61"/>
      <c r="Q1" s="4" t="s">
        <v>134</v>
      </c>
      <c r="R1" s="10"/>
    </row>
    <row r="2" spans="1:18" s="5" customFormat="1" ht="15">
      <c r="A2" s="8" t="str">
        <f>COMPNAME</f>
        <v>Company Name of Electricity Distribution Network Operator Limited</v>
      </c>
      <c r="E2" s="61"/>
      <c r="Q2" s="11"/>
      <c r="R2" s="10"/>
    </row>
    <row r="3" spans="1:18" s="14" customFormat="1">
      <c r="A3" s="155" t="str">
        <f>'R5 Input page'!K8</f>
        <v>Regulatory Year ending 31 March 2012</v>
      </c>
      <c r="B3" s="5"/>
      <c r="C3" s="5"/>
      <c r="D3" s="5"/>
      <c r="E3" s="61"/>
      <c r="K3" s="385" t="s">
        <v>645</v>
      </c>
      <c r="L3" s="386"/>
      <c r="M3" s="386"/>
    </row>
    <row r="4" spans="1:18">
      <c r="A4" s="14"/>
      <c r="B4" s="14"/>
      <c r="C4" s="14"/>
      <c r="D4" s="14"/>
      <c r="E4" s="213" t="s">
        <v>5</v>
      </c>
      <c r="F4" s="74">
        <v>2006</v>
      </c>
      <c r="G4" s="74">
        <v>2007</v>
      </c>
      <c r="H4" s="74">
        <v>2008</v>
      </c>
      <c r="I4" s="74">
        <v>2009</v>
      </c>
      <c r="J4" s="74">
        <v>2010</v>
      </c>
      <c r="K4" s="74">
        <v>2011</v>
      </c>
      <c r="L4" s="94">
        <v>2012</v>
      </c>
      <c r="M4" s="74">
        <v>2013</v>
      </c>
      <c r="N4" s="94">
        <v>2014</v>
      </c>
      <c r="O4" s="74">
        <v>2015</v>
      </c>
      <c r="P4" s="118" t="s">
        <v>6</v>
      </c>
    </row>
    <row r="5" spans="1:18" ht="15">
      <c r="A5" s="24" t="s">
        <v>138</v>
      </c>
      <c r="B5" s="14"/>
      <c r="C5" s="14"/>
      <c r="D5" s="14"/>
      <c r="E5" s="96"/>
      <c r="F5" s="14"/>
      <c r="G5" s="14"/>
      <c r="H5" s="14"/>
      <c r="I5" s="14"/>
      <c r="J5" s="14"/>
      <c r="K5" s="14"/>
      <c r="L5" s="14"/>
      <c r="M5" s="14"/>
      <c r="N5" s="14"/>
      <c r="O5" s="14"/>
      <c r="P5" s="14"/>
    </row>
    <row r="6" spans="1:18">
      <c r="A6" s="5" t="s">
        <v>7</v>
      </c>
      <c r="B6" s="14"/>
      <c r="C6" s="14"/>
      <c r="D6" s="14"/>
      <c r="E6" s="96" t="s">
        <v>8</v>
      </c>
      <c r="F6" s="14"/>
      <c r="G6" s="14"/>
      <c r="H6" s="14"/>
      <c r="I6" s="14"/>
      <c r="K6" s="201">
        <f>RPI</f>
        <v>-3.8999999999999998E-3</v>
      </c>
      <c r="L6" s="201">
        <f>RPI</f>
        <v>4.6899999999999997E-2</v>
      </c>
      <c r="M6" s="201">
        <f>RPI</f>
        <v>5.1799999999999999E-2</v>
      </c>
      <c r="N6" s="201">
        <f>RPI</f>
        <v>0</v>
      </c>
      <c r="O6" s="201">
        <f>RPI</f>
        <v>0</v>
      </c>
      <c r="P6" s="14"/>
    </row>
    <row r="7" spans="1:18" collapsed="1">
      <c r="A7" s="5" t="s">
        <v>315</v>
      </c>
      <c r="B7" s="5"/>
      <c r="C7" s="5"/>
      <c r="D7" s="5"/>
      <c r="E7" s="96" t="s">
        <v>8</v>
      </c>
      <c r="F7" s="201">
        <f>RPI_DPCR4</f>
        <v>3.2500000000000001E-2</v>
      </c>
      <c r="G7" s="201">
        <f>RPI_DPCR4</f>
        <v>2.58E-2</v>
      </c>
      <c r="H7" s="201">
        <f>RPI_DPCR4</f>
        <v>3.7199999999999997E-2</v>
      </c>
      <c r="I7" s="201">
        <f>RPI_DPCR4</f>
        <v>4.07E-2</v>
      </c>
      <c r="J7" s="201">
        <f>RPI_DPCR4</f>
        <v>3.8199999999999998E-2</v>
      </c>
      <c r="K7" s="14"/>
      <c r="L7" s="14"/>
      <c r="M7" s="14"/>
      <c r="N7" s="14"/>
      <c r="O7" s="14"/>
      <c r="P7" s="14"/>
    </row>
    <row r="8" spans="1:18">
      <c r="A8" s="5"/>
      <c r="B8" s="5"/>
      <c r="C8" s="5"/>
      <c r="D8" s="5"/>
      <c r="E8" s="96"/>
      <c r="F8" s="14"/>
      <c r="G8" s="14"/>
      <c r="H8" s="14"/>
      <c r="I8" s="14"/>
      <c r="J8" s="14"/>
      <c r="K8" s="14"/>
      <c r="L8" s="14"/>
      <c r="M8" s="14"/>
      <c r="N8" s="14"/>
      <c r="O8" s="14"/>
      <c r="P8" s="14"/>
    </row>
    <row r="9" spans="1:18" ht="15">
      <c r="A9" s="24" t="s">
        <v>50</v>
      </c>
      <c r="B9" s="5"/>
      <c r="C9" s="5"/>
      <c r="D9" s="5"/>
      <c r="E9" s="61"/>
      <c r="F9" s="5"/>
      <c r="G9" s="5"/>
      <c r="H9" s="5"/>
      <c r="I9" s="5"/>
      <c r="J9" s="14"/>
      <c r="K9" s="5"/>
      <c r="L9" s="5"/>
      <c r="M9" s="5"/>
      <c r="N9" s="5"/>
      <c r="O9" s="5"/>
      <c r="P9" s="14"/>
    </row>
    <row r="10" spans="1:18">
      <c r="A10" s="102"/>
      <c r="B10" s="58"/>
      <c r="C10" s="164"/>
      <c r="D10" s="164"/>
      <c r="E10" s="207"/>
      <c r="F10" s="164"/>
      <c r="G10" s="164"/>
      <c r="H10" s="164"/>
      <c r="I10" s="164"/>
      <c r="J10" s="14"/>
      <c r="K10" s="74"/>
      <c r="L10" s="74"/>
      <c r="M10" s="74"/>
      <c r="N10" s="74"/>
      <c r="O10" s="74"/>
      <c r="P10" s="14"/>
      <c r="Q10" s="384"/>
    </row>
    <row r="11" spans="1:18">
      <c r="A11" s="5" t="s">
        <v>674</v>
      </c>
      <c r="B11" s="5"/>
      <c r="C11" s="5"/>
      <c r="D11" s="5"/>
      <c r="E11" s="61" t="s">
        <v>11</v>
      </c>
      <c r="F11" s="5"/>
      <c r="G11" s="5"/>
      <c r="H11" s="5"/>
      <c r="I11" s="5"/>
      <c r="K11" s="5"/>
      <c r="L11" s="74"/>
      <c r="M11" s="190">
        <f>SEV</f>
        <v>0</v>
      </c>
      <c r="N11" s="190">
        <f>SEV</f>
        <v>0</v>
      </c>
      <c r="O11" s="190">
        <f>SEV</f>
        <v>0</v>
      </c>
      <c r="P11" s="116" t="s">
        <v>299</v>
      </c>
      <c r="Q11" s="384"/>
    </row>
    <row r="12" spans="1:18" s="11" customFormat="1">
      <c r="A12" s="5" t="s">
        <v>297</v>
      </c>
      <c r="B12" s="5"/>
      <c r="C12" s="5"/>
      <c r="D12" s="5"/>
      <c r="E12" s="61" t="s">
        <v>11</v>
      </c>
      <c r="F12" s="5"/>
      <c r="G12" s="5"/>
      <c r="H12" s="5"/>
      <c r="I12" s="5"/>
      <c r="J12" s="14"/>
      <c r="K12" s="5"/>
      <c r="L12" s="74"/>
      <c r="M12" s="190">
        <f>'R11 Losses DG Adj'!H34</f>
        <v>0</v>
      </c>
      <c r="N12" s="190">
        <f>'R11 Losses DG Adj'!M34</f>
        <v>0</v>
      </c>
      <c r="O12" s="190">
        <f>'R11 Losses DG Adj'!R34</f>
        <v>0</v>
      </c>
      <c r="P12" s="116" t="s">
        <v>161</v>
      </c>
      <c r="Q12" s="384"/>
      <c r="R12" s="10"/>
    </row>
    <row r="13" spans="1:18">
      <c r="A13" s="5" t="s">
        <v>303</v>
      </c>
      <c r="B13" s="5"/>
      <c r="C13" s="5"/>
      <c r="D13" s="5"/>
      <c r="E13" s="61" t="s">
        <v>11</v>
      </c>
      <c r="F13" s="5"/>
      <c r="G13" s="5"/>
      <c r="H13" s="5"/>
      <c r="I13" s="5"/>
      <c r="J13" s="14"/>
      <c r="K13" s="5"/>
      <c r="L13" s="74"/>
      <c r="M13" s="188">
        <f>SEV+DGA</f>
        <v>0</v>
      </c>
      <c r="N13" s="188">
        <f>SEV+DGA</f>
        <v>0</v>
      </c>
      <c r="O13" s="188">
        <f>SEV+DGA</f>
        <v>0</v>
      </c>
      <c r="P13" s="116" t="s">
        <v>160</v>
      </c>
      <c r="Q13" s="384"/>
    </row>
    <row r="14" spans="1:18">
      <c r="A14" s="5" t="s">
        <v>675</v>
      </c>
      <c r="B14" s="5"/>
      <c r="C14" s="5"/>
      <c r="D14" s="5"/>
      <c r="E14" s="61" t="s">
        <v>11</v>
      </c>
      <c r="F14" s="5"/>
      <c r="G14" s="5"/>
      <c r="H14" s="5"/>
      <c r="I14" s="5"/>
      <c r="J14" s="14"/>
      <c r="K14" s="5"/>
      <c r="L14" s="74"/>
      <c r="M14" s="190">
        <f>UD</f>
        <v>0</v>
      </c>
      <c r="N14" s="190">
        <f>UD</f>
        <v>0</v>
      </c>
      <c r="O14" s="190">
        <f>UD</f>
        <v>0</v>
      </c>
      <c r="P14" s="116" t="s">
        <v>278</v>
      </c>
    </row>
    <row r="15" spans="1:18" ht="14.25">
      <c r="A15" s="102" t="s">
        <v>321</v>
      </c>
      <c r="B15" s="5"/>
      <c r="C15" s="5"/>
      <c r="D15" s="5"/>
      <c r="E15" s="61" t="s">
        <v>11</v>
      </c>
      <c r="F15" s="5"/>
      <c r="G15" s="5"/>
      <c r="H15" s="5"/>
      <c r="I15" s="5"/>
      <c r="J15" s="14"/>
      <c r="K15" s="5"/>
      <c r="L15" s="74"/>
      <c r="M15" s="188">
        <f>AEV-UD</f>
        <v>0</v>
      </c>
      <c r="N15" s="188">
        <f>AEV-UD</f>
        <v>0</v>
      </c>
      <c r="O15" s="188">
        <f>AEV-UD</f>
        <v>0</v>
      </c>
      <c r="P15" s="116" t="s">
        <v>167</v>
      </c>
    </row>
    <row r="16" spans="1:18">
      <c r="A16" s="5" t="s">
        <v>164</v>
      </c>
      <c r="B16" s="61"/>
      <c r="C16" s="61"/>
      <c r="D16" s="61"/>
      <c r="E16" s="165" t="s">
        <v>8</v>
      </c>
      <c r="F16" s="61"/>
      <c r="G16" s="61"/>
      <c r="H16" s="61"/>
      <c r="I16" s="61"/>
      <c r="J16" s="14"/>
      <c r="K16" s="167">
        <v>1</v>
      </c>
      <c r="L16" s="206">
        <f>(1+RPI)*L17</f>
        <v>1.0468999999999999</v>
      </c>
      <c r="M16" s="206">
        <f>(1+RPI)*M17</f>
        <v>1.1011294199999999</v>
      </c>
      <c r="N16" s="206">
        <f>(1+RPI)*N17</f>
        <v>1.1011294199999999</v>
      </c>
      <c r="O16" s="206">
        <f>(1+RPI)*O17</f>
        <v>1.1011294199999999</v>
      </c>
      <c r="P16" s="116" t="s">
        <v>135</v>
      </c>
    </row>
    <row r="17" spans="1:17">
      <c r="A17" s="5" t="s">
        <v>166</v>
      </c>
      <c r="B17" s="61"/>
      <c r="C17" s="61"/>
      <c r="D17" s="61"/>
      <c r="E17" s="96" t="s">
        <v>8</v>
      </c>
      <c r="F17" s="61"/>
      <c r="G17" s="61"/>
      <c r="H17" s="61"/>
      <c r="I17" s="61"/>
      <c r="J17" s="14"/>
      <c r="K17" s="14"/>
      <c r="L17" s="201">
        <f>K16</f>
        <v>1</v>
      </c>
      <c r="M17" s="201">
        <f>L16</f>
        <v>1.0468999999999999</v>
      </c>
      <c r="N17" s="201">
        <f>M16</f>
        <v>1.1011294199999999</v>
      </c>
      <c r="O17" s="201">
        <f>N16</f>
        <v>1.1011294199999999</v>
      </c>
      <c r="P17" s="116" t="s">
        <v>337</v>
      </c>
    </row>
    <row r="18" spans="1:17">
      <c r="A18" s="5" t="s">
        <v>165</v>
      </c>
      <c r="B18" s="61"/>
      <c r="C18" s="61"/>
      <c r="D18" s="61"/>
      <c r="E18" s="96" t="s">
        <v>8</v>
      </c>
      <c r="F18" s="61"/>
      <c r="G18" s="61"/>
      <c r="H18" s="61"/>
      <c r="I18" s="61"/>
      <c r="J18" s="14"/>
      <c r="K18" s="14"/>
      <c r="L18" s="14"/>
      <c r="M18" s="201">
        <f>K16</f>
        <v>1</v>
      </c>
      <c r="N18" s="201">
        <f>L16</f>
        <v>1.0468999999999999</v>
      </c>
      <c r="O18" s="201">
        <f>M16</f>
        <v>1.1011294199999999</v>
      </c>
      <c r="P18" s="116" t="s">
        <v>338</v>
      </c>
    </row>
    <row r="19" spans="1:17">
      <c r="A19" s="5" t="s">
        <v>295</v>
      </c>
      <c r="B19" s="61"/>
      <c r="C19" s="61"/>
      <c r="D19" s="61"/>
      <c r="E19" s="61" t="s">
        <v>14</v>
      </c>
      <c r="F19" s="61"/>
      <c r="G19" s="61"/>
      <c r="H19" s="61"/>
      <c r="I19" s="61"/>
      <c r="J19" s="14"/>
      <c r="K19" s="14"/>
      <c r="L19" s="14"/>
      <c r="M19" s="196">
        <f>LR*M18</f>
        <v>60</v>
      </c>
      <c r="N19" s="196">
        <f>LR*N18</f>
        <v>62.813999999999993</v>
      </c>
      <c r="O19" s="196">
        <f>LR*O18</f>
        <v>66.067765199999997</v>
      </c>
      <c r="P19" s="116"/>
      <c r="Q19" s="162" t="s">
        <v>296</v>
      </c>
    </row>
    <row r="20" spans="1:17" s="12" customFormat="1">
      <c r="A20" s="5" t="s">
        <v>304</v>
      </c>
      <c r="B20" s="61"/>
      <c r="C20" s="61"/>
      <c r="D20" s="61"/>
      <c r="E20" s="61" t="s">
        <v>8</v>
      </c>
      <c r="F20" s="61"/>
      <c r="G20" s="61"/>
      <c r="H20" s="61"/>
      <c r="I20" s="61"/>
      <c r="J20" s="14"/>
      <c r="K20" s="14"/>
      <c r="L20" s="14"/>
      <c r="M20" s="201">
        <f>ALP</f>
        <v>0</v>
      </c>
      <c r="N20" s="201">
        <f>ALP</f>
        <v>0</v>
      </c>
      <c r="O20" s="201">
        <f>ALP</f>
        <v>0</v>
      </c>
      <c r="P20" s="116" t="s">
        <v>112</v>
      </c>
      <c r="Q20" s="11"/>
    </row>
    <row r="21" spans="1:17" s="12" customFormat="1">
      <c r="A21" s="5" t="s">
        <v>309</v>
      </c>
      <c r="B21" s="61"/>
      <c r="C21" s="61"/>
      <c r="D21" s="61"/>
      <c r="E21" s="61" t="s">
        <v>11</v>
      </c>
      <c r="F21" s="61"/>
      <c r="G21" s="61"/>
      <c r="H21" s="61"/>
      <c r="I21" s="61"/>
      <c r="J21" s="14"/>
      <c r="K21" s="14"/>
      <c r="L21" s="14"/>
      <c r="M21" s="188">
        <f>ALP*UD</f>
        <v>0</v>
      </c>
      <c r="N21" s="188">
        <f>ALP*UD</f>
        <v>0</v>
      </c>
      <c r="O21" s="188">
        <f>ALP*UD</f>
        <v>0</v>
      </c>
      <c r="P21" s="116" t="s">
        <v>168</v>
      </c>
      <c r="Q21" s="11"/>
    </row>
    <row r="22" spans="1:17" s="12" customFormat="1">
      <c r="A22" s="5" t="s">
        <v>318</v>
      </c>
      <c r="B22" s="61"/>
      <c r="C22" s="61"/>
      <c r="D22" s="61"/>
      <c r="E22" s="61" t="s">
        <v>11</v>
      </c>
      <c r="F22" s="61"/>
      <c r="G22" s="61"/>
      <c r="H22" s="61"/>
      <c r="I22" s="61"/>
      <c r="J22" s="14"/>
      <c r="K22" s="14"/>
      <c r="L22" s="14"/>
      <c r="M22" s="188">
        <f>AL-L</f>
        <v>0</v>
      </c>
      <c r="N22" s="188">
        <f>AL-L</f>
        <v>0</v>
      </c>
      <c r="O22" s="188">
        <f>AL-L</f>
        <v>0</v>
      </c>
      <c r="P22" s="116"/>
      <c r="Q22" s="162" t="s">
        <v>319</v>
      </c>
    </row>
    <row r="23" spans="1:17" s="12" customFormat="1">
      <c r="A23" s="5" t="s">
        <v>320</v>
      </c>
      <c r="B23" s="61"/>
      <c r="C23" s="61"/>
      <c r="D23" s="61"/>
      <c r="E23" s="61" t="s">
        <v>12</v>
      </c>
      <c r="F23" s="61"/>
      <c r="G23" s="61"/>
      <c r="H23" s="61"/>
      <c r="I23" s="61"/>
      <c r="J23" s="14"/>
      <c r="K23" s="14"/>
      <c r="L23" s="14"/>
      <c r="M23" s="196">
        <f>(M22*M19)/1000</f>
        <v>0</v>
      </c>
      <c r="N23" s="196">
        <f>(N22*N19)/1000</f>
        <v>0</v>
      </c>
      <c r="O23" s="196">
        <f>(O22*O19)/1000</f>
        <v>0</v>
      </c>
      <c r="P23" s="116"/>
      <c r="Q23" s="162" t="s">
        <v>325</v>
      </c>
    </row>
    <row r="24" spans="1:17" s="12" customFormat="1">
      <c r="A24" s="5" t="s">
        <v>322</v>
      </c>
      <c r="B24" s="61"/>
      <c r="C24" s="61"/>
      <c r="D24" s="61"/>
      <c r="E24" s="61" t="s">
        <v>8</v>
      </c>
      <c r="F24" s="61"/>
      <c r="G24" s="61"/>
      <c r="H24" s="61"/>
      <c r="I24" s="61"/>
      <c r="J24" s="14"/>
      <c r="K24" s="166">
        <f>Int_rate</f>
        <v>5.0000000000000001E-3</v>
      </c>
      <c r="L24" s="166">
        <f>Int_rate</f>
        <v>5.0000000000000001E-3</v>
      </c>
      <c r="M24" s="201">
        <f>Int_rate</f>
        <v>0</v>
      </c>
      <c r="N24" s="201">
        <f>Int_rate</f>
        <v>0</v>
      </c>
      <c r="O24" s="201">
        <f>Int_rate</f>
        <v>0</v>
      </c>
      <c r="P24" s="116" t="s">
        <v>323</v>
      </c>
      <c r="Q24" s="162"/>
    </row>
    <row r="25" spans="1:17" s="12" customFormat="1">
      <c r="A25" s="5" t="s">
        <v>586</v>
      </c>
      <c r="B25" s="61"/>
      <c r="C25" s="61"/>
      <c r="D25" s="61"/>
      <c r="E25" s="61" t="s">
        <v>8</v>
      </c>
      <c r="F25" s="61"/>
      <c r="G25" s="61"/>
      <c r="H25" s="61"/>
      <c r="I25" s="61"/>
      <c r="J25" s="14"/>
      <c r="K25" s="166"/>
      <c r="L25" s="14"/>
      <c r="M25" s="201">
        <f>L24</f>
        <v>5.0000000000000001E-3</v>
      </c>
      <c r="N25" s="201">
        <f>M24</f>
        <v>0</v>
      </c>
      <c r="O25" s="201">
        <f>N24</f>
        <v>0</v>
      </c>
      <c r="P25" s="116"/>
      <c r="Q25" s="162"/>
    </row>
    <row r="26" spans="1:17" s="12" customFormat="1">
      <c r="A26" s="102" t="s">
        <v>324</v>
      </c>
      <c r="B26" s="61"/>
      <c r="C26" s="61"/>
      <c r="D26" s="61"/>
      <c r="E26" s="61" t="s">
        <v>12</v>
      </c>
      <c r="F26" s="61"/>
      <c r="G26" s="61"/>
      <c r="H26" s="61"/>
      <c r="I26" s="61"/>
      <c r="J26" s="14"/>
      <c r="K26" s="166"/>
      <c r="L26" s="14"/>
      <c r="M26" s="196">
        <f>M23*((1+M24)*(1+M25))</f>
        <v>0</v>
      </c>
      <c r="N26" s="196">
        <f>N23*((1+N24)*(1+N25))</f>
        <v>0</v>
      </c>
      <c r="O26" s="196">
        <f>O23*((1+O24)*(1+O25))</f>
        <v>0</v>
      </c>
      <c r="P26" s="116" t="s">
        <v>327</v>
      </c>
      <c r="Q26" s="162" t="s">
        <v>326</v>
      </c>
    </row>
    <row r="27" spans="1:17" s="12" customFormat="1">
      <c r="A27" s="5" t="s">
        <v>311</v>
      </c>
      <c r="B27" s="61"/>
      <c r="C27" s="61"/>
      <c r="D27" s="61"/>
      <c r="E27" s="165" t="s">
        <v>12</v>
      </c>
      <c r="F27" s="61"/>
      <c r="G27" s="61"/>
      <c r="H27" s="61"/>
      <c r="I27" s="61"/>
      <c r="J27" s="14"/>
      <c r="K27" s="14"/>
      <c r="L27" s="14"/>
      <c r="M27" s="195">
        <f>UT</f>
        <v>0</v>
      </c>
      <c r="N27" s="195">
        <f>UT</f>
        <v>0</v>
      </c>
      <c r="O27" s="195">
        <f>UT</f>
        <v>0</v>
      </c>
      <c r="P27" s="116" t="s">
        <v>302</v>
      </c>
      <c r="Q27" s="11"/>
    </row>
    <row r="28" spans="1:17" s="12" customFormat="1">
      <c r="A28" s="5" t="s">
        <v>312</v>
      </c>
      <c r="B28" s="61"/>
      <c r="C28" s="61"/>
      <c r="D28" s="61"/>
      <c r="E28" s="165" t="s">
        <v>12</v>
      </c>
      <c r="F28" s="61"/>
      <c r="G28" s="61"/>
      <c r="H28" s="61"/>
      <c r="I28" s="61"/>
      <c r="J28" s="14"/>
      <c r="K28" s="14"/>
      <c r="L28" s="14"/>
      <c r="M28" s="195">
        <f>LT</f>
        <v>0</v>
      </c>
      <c r="N28" s="195">
        <f>LT</f>
        <v>0</v>
      </c>
      <c r="O28" s="195">
        <f>LT</f>
        <v>0</v>
      </c>
      <c r="P28" s="116" t="s">
        <v>186</v>
      </c>
      <c r="Q28" s="11"/>
    </row>
    <row r="29" spans="1:17" s="12" customFormat="1">
      <c r="A29" s="5" t="s">
        <v>334</v>
      </c>
      <c r="B29" s="61"/>
      <c r="C29" s="61"/>
      <c r="D29" s="61"/>
      <c r="E29" s="165" t="s">
        <v>12</v>
      </c>
      <c r="F29" s="61"/>
      <c r="G29" s="61"/>
      <c r="H29" s="61"/>
      <c r="I29" s="61"/>
      <c r="J29" s="14"/>
      <c r="K29" s="14"/>
      <c r="L29" s="14"/>
      <c r="M29" s="196">
        <f>M26+M33</f>
        <v>0</v>
      </c>
      <c r="N29" s="196">
        <f>N26+N33</f>
        <v>0</v>
      </c>
      <c r="O29" s="196">
        <f>O26+O33</f>
        <v>0</v>
      </c>
      <c r="P29" s="116" t="s">
        <v>336</v>
      </c>
      <c r="Q29" s="162" t="s">
        <v>335</v>
      </c>
    </row>
    <row r="30" spans="1:17" s="12" customFormat="1">
      <c r="A30" s="5" t="s">
        <v>339</v>
      </c>
      <c r="B30" s="61"/>
      <c r="C30" s="61"/>
      <c r="D30" s="61"/>
      <c r="E30" s="165" t="s">
        <v>12</v>
      </c>
      <c r="F30" s="61"/>
      <c r="G30" s="61"/>
      <c r="H30" s="61"/>
      <c r="I30" s="61"/>
      <c r="J30" s="14"/>
      <c r="K30" s="14"/>
      <c r="L30" s="14"/>
      <c r="M30" s="196">
        <f>IF(IS&lt;(UT*PIALt_2),0,IS-(UT*PIALt_2))</f>
        <v>0</v>
      </c>
      <c r="N30" s="196">
        <f>IF(IS&lt;(UT*PIALt_2),0,IS-(UT*PIALt_2))</f>
        <v>0</v>
      </c>
      <c r="O30" s="196">
        <f>IF(IS&lt;(UT*PIALt_2),0,IS-(UT*PIALt_2))</f>
        <v>0</v>
      </c>
      <c r="P30" s="116"/>
      <c r="Q30" s="162"/>
    </row>
    <row r="31" spans="1:17" s="12" customFormat="1">
      <c r="A31" s="5" t="s">
        <v>340</v>
      </c>
      <c r="B31" s="61"/>
      <c r="C31" s="61"/>
      <c r="D31" s="61"/>
      <c r="E31" s="165" t="s">
        <v>12</v>
      </c>
      <c r="F31" s="61"/>
      <c r="G31" s="61"/>
      <c r="H31" s="61"/>
      <c r="I31" s="61"/>
      <c r="J31" s="14"/>
      <c r="K31" s="14"/>
      <c r="L31" s="14"/>
      <c r="M31" s="196">
        <f>IF(IS&gt;(LT*PIALt_2),0,IS-(LT*PIALt_2))</f>
        <v>0</v>
      </c>
      <c r="N31" s="196">
        <f>IF(IS&gt;(LT*PIALt_2),0,IS-(LT*PIALt_2))</f>
        <v>0</v>
      </c>
      <c r="O31" s="196">
        <f>IF(IS&gt;(LT*PIALt_2),0,IS-(LT*PIALt_2))</f>
        <v>0</v>
      </c>
      <c r="P31" s="116"/>
      <c r="Q31" s="162"/>
    </row>
    <row r="32" spans="1:17" s="12" customFormat="1">
      <c r="A32" s="102" t="s">
        <v>329</v>
      </c>
      <c r="B32" s="61"/>
      <c r="C32" s="61"/>
      <c r="D32" s="61"/>
      <c r="E32" s="165" t="s">
        <v>12</v>
      </c>
      <c r="F32" s="61"/>
      <c r="G32" s="61"/>
      <c r="H32" s="61"/>
      <c r="I32" s="61"/>
      <c r="J32" s="14"/>
      <c r="K32" s="14"/>
      <c r="L32" s="14"/>
      <c r="M32" s="196">
        <f>IF(IS&gt;=0,M30,M31)</f>
        <v>0</v>
      </c>
      <c r="N32" s="196">
        <f>IF(IS&gt;=0,N30,N31)</f>
        <v>0</v>
      </c>
      <c r="O32" s="196">
        <f>IF(IS&gt;=0,O30,O31)</f>
        <v>0</v>
      </c>
      <c r="P32" s="116" t="s">
        <v>332</v>
      </c>
      <c r="Q32" s="11"/>
    </row>
    <row r="33" spans="1:17">
      <c r="A33" s="102" t="s">
        <v>330</v>
      </c>
      <c r="B33" s="5"/>
      <c r="C33" s="5"/>
      <c r="D33" s="5"/>
      <c r="E33" s="165" t="s">
        <v>12</v>
      </c>
      <c r="F33" s="5"/>
      <c r="G33" s="5"/>
      <c r="H33" s="5"/>
      <c r="I33" s="165"/>
      <c r="J33" s="14"/>
      <c r="K33" s="117"/>
      <c r="L33" s="117"/>
      <c r="M33" s="150">
        <v>0</v>
      </c>
      <c r="N33" s="196">
        <f>M32*(1+Int_rate)</f>
        <v>0</v>
      </c>
      <c r="O33" s="196">
        <f>N32*(1+Int_rate)</f>
        <v>0</v>
      </c>
      <c r="P33" s="116" t="s">
        <v>545</v>
      </c>
      <c r="Q33" s="162" t="s">
        <v>333</v>
      </c>
    </row>
    <row r="34" spans="1:17">
      <c r="A34" s="102" t="s">
        <v>331</v>
      </c>
      <c r="B34" s="5"/>
      <c r="C34" s="5"/>
      <c r="D34" s="5"/>
      <c r="E34" s="165" t="s">
        <v>12</v>
      </c>
      <c r="F34" s="5"/>
      <c r="G34" s="5"/>
      <c r="H34" s="5"/>
      <c r="I34" s="5"/>
      <c r="J34" s="14"/>
      <c r="K34" s="117"/>
      <c r="L34" s="117"/>
      <c r="M34" s="117"/>
      <c r="N34" s="117"/>
      <c r="O34" s="117"/>
      <c r="P34" s="14"/>
    </row>
    <row r="35" spans="1:17">
      <c r="A35" s="102" t="s">
        <v>306</v>
      </c>
      <c r="B35" s="5"/>
      <c r="C35" s="5"/>
      <c r="D35" s="5"/>
      <c r="E35" s="165" t="s">
        <v>12</v>
      </c>
      <c r="F35" s="5"/>
      <c r="G35" s="5"/>
      <c r="H35" s="5"/>
      <c r="I35" s="5"/>
      <c r="J35" s="14"/>
      <c r="K35" s="117"/>
      <c r="L35" s="117"/>
      <c r="M35" s="195">
        <f>PPL</f>
        <v>0</v>
      </c>
      <c r="N35" s="195">
        <f>PPL</f>
        <v>0</v>
      </c>
      <c r="O35" s="195">
        <f>PPL</f>
        <v>0</v>
      </c>
      <c r="P35" s="116" t="s">
        <v>308</v>
      </c>
      <c r="Q35" s="3"/>
    </row>
    <row r="36" spans="1:17">
      <c r="A36" s="5"/>
      <c r="B36" s="5"/>
      <c r="C36" s="5"/>
      <c r="D36" s="5"/>
      <c r="E36" s="96"/>
      <c r="F36" s="5"/>
      <c r="G36" s="5"/>
      <c r="H36" s="5"/>
      <c r="I36" s="5"/>
      <c r="J36" s="14"/>
      <c r="K36" s="117"/>
      <c r="L36" s="117"/>
      <c r="M36" s="117"/>
      <c r="N36" s="117"/>
      <c r="O36" s="117"/>
      <c r="P36" s="14"/>
    </row>
    <row r="37" spans="1:17" ht="14.25">
      <c r="A37" s="102" t="s">
        <v>328</v>
      </c>
      <c r="B37" s="61"/>
      <c r="C37" s="61"/>
      <c r="D37" s="61"/>
      <c r="E37" s="165" t="s">
        <v>12</v>
      </c>
      <c r="F37" s="61"/>
      <c r="G37" s="61"/>
      <c r="H37" s="61"/>
      <c r="I37" s="61"/>
      <c r="J37" s="14"/>
      <c r="K37" s="150">
        <v>0</v>
      </c>
      <c r="L37" s="150">
        <v>0</v>
      </c>
      <c r="M37" s="196">
        <f>UIL+PCOLt_1-COL+PPL</f>
        <v>0</v>
      </c>
      <c r="N37" s="196">
        <f>UIL+PCOLt_1-COL+PPL</f>
        <v>0</v>
      </c>
      <c r="O37" s="196">
        <f>UIL+PCOLt_1-COL+PPL</f>
        <v>0</v>
      </c>
      <c r="P37" s="116" t="s">
        <v>137</v>
      </c>
    </row>
    <row r="38" spans="1:17" collapsed="1">
      <c r="A38" s="14"/>
      <c r="B38" s="14"/>
      <c r="C38" s="14"/>
      <c r="D38" s="14"/>
      <c r="E38" s="96"/>
      <c r="F38" s="14"/>
      <c r="G38" s="14"/>
      <c r="H38" s="14"/>
      <c r="I38" s="14"/>
      <c r="J38" s="14"/>
      <c r="K38" s="14"/>
      <c r="L38" s="14"/>
      <c r="M38" s="14"/>
      <c r="N38" s="14"/>
      <c r="O38" s="14"/>
      <c r="P38" s="14"/>
    </row>
    <row r="39" spans="1:17" ht="15">
      <c r="A39" s="24" t="s">
        <v>361</v>
      </c>
      <c r="B39" s="5"/>
      <c r="C39" s="5"/>
      <c r="D39" s="5"/>
      <c r="E39" s="96"/>
      <c r="F39" s="5"/>
      <c r="G39" s="5"/>
      <c r="H39" s="5"/>
      <c r="I39" s="5"/>
      <c r="J39" s="14"/>
      <c r="K39" s="115"/>
      <c r="L39" s="115"/>
      <c r="M39" s="115"/>
      <c r="N39" s="115"/>
      <c r="O39" s="115"/>
      <c r="P39" s="14"/>
    </row>
    <row r="40" spans="1:17" ht="15">
      <c r="A40" s="24"/>
      <c r="B40" s="5"/>
      <c r="C40" s="5"/>
      <c r="D40" s="5"/>
      <c r="E40" s="96"/>
      <c r="F40" s="5"/>
      <c r="G40" s="5"/>
      <c r="H40" s="5"/>
      <c r="I40" s="5"/>
      <c r="J40" s="14"/>
      <c r="K40" s="115"/>
      <c r="L40" s="115"/>
      <c r="M40" s="115"/>
      <c r="N40" s="115"/>
      <c r="O40" s="115"/>
      <c r="P40" s="14"/>
    </row>
    <row r="41" spans="1:17" ht="14.25">
      <c r="A41" s="5" t="s">
        <v>248</v>
      </c>
      <c r="B41" s="5"/>
      <c r="C41" s="5"/>
      <c r="D41" s="5"/>
      <c r="E41" s="165" t="s">
        <v>12</v>
      </c>
      <c r="F41" s="5"/>
      <c r="G41" s="5"/>
      <c r="H41" s="5"/>
      <c r="I41" s="5"/>
      <c r="J41" s="14"/>
      <c r="K41" s="195">
        <f>IQ</f>
        <v>0</v>
      </c>
      <c r="L41" s="195">
        <f>IQ</f>
        <v>0</v>
      </c>
      <c r="M41" s="195">
        <f>IQ</f>
        <v>0</v>
      </c>
      <c r="N41" s="195">
        <f>IQ</f>
        <v>0</v>
      </c>
      <c r="O41" s="195">
        <f>IQ</f>
        <v>0</v>
      </c>
      <c r="P41" s="116" t="s">
        <v>13</v>
      </c>
    </row>
    <row r="42" spans="1:17">
      <c r="A42" s="5"/>
      <c r="B42" s="5"/>
      <c r="C42" s="5"/>
      <c r="D42" s="5"/>
      <c r="E42" s="96"/>
      <c r="F42" s="5"/>
      <c r="G42" s="5"/>
      <c r="H42" s="5"/>
      <c r="I42" s="5"/>
      <c r="J42" s="14"/>
      <c r="K42" s="159"/>
      <c r="L42" s="159"/>
      <c r="M42" s="159"/>
      <c r="N42" s="159"/>
      <c r="O42" s="159"/>
      <c r="P42" s="116"/>
    </row>
    <row r="43" spans="1:17" ht="15">
      <c r="A43" s="24" t="s">
        <v>354</v>
      </c>
      <c r="B43" s="5"/>
      <c r="C43" s="5"/>
      <c r="D43" s="5"/>
      <c r="E43" s="96"/>
      <c r="F43" s="5"/>
      <c r="G43" s="5"/>
      <c r="H43" s="5"/>
      <c r="I43" s="5"/>
      <c r="J43" s="14"/>
      <c r="K43" s="159"/>
      <c r="L43" s="159"/>
      <c r="M43" s="159"/>
      <c r="N43" s="159"/>
      <c r="O43" s="159"/>
      <c r="P43" s="116"/>
    </row>
    <row r="44" spans="1:17">
      <c r="A44" s="5"/>
      <c r="B44" s="5"/>
      <c r="C44" s="5"/>
      <c r="D44" s="5"/>
      <c r="E44" s="96"/>
      <c r="F44" s="5"/>
      <c r="G44" s="5"/>
      <c r="H44" s="5"/>
      <c r="I44" s="5"/>
      <c r="J44" s="14"/>
      <c r="K44" s="159"/>
      <c r="L44" s="159"/>
      <c r="M44" s="159"/>
      <c r="N44" s="159"/>
      <c r="O44" s="159"/>
      <c r="P44" s="116"/>
    </row>
    <row r="45" spans="1:17">
      <c r="A45" s="119" t="s">
        <v>358</v>
      </c>
      <c r="B45" s="5"/>
      <c r="C45" s="5"/>
      <c r="D45" s="5"/>
      <c r="E45" s="165" t="s">
        <v>12</v>
      </c>
      <c r="F45" s="5"/>
      <c r="G45" s="5"/>
      <c r="H45" s="5"/>
      <c r="I45" s="5"/>
      <c r="J45" s="14"/>
      <c r="K45" s="195">
        <f>ALL</f>
        <v>0</v>
      </c>
      <c r="L45" s="195">
        <f>ALL</f>
        <v>0</v>
      </c>
      <c r="M45" s="195">
        <f>ALL</f>
        <v>0</v>
      </c>
      <c r="N45" s="195">
        <f>ALL</f>
        <v>0</v>
      </c>
      <c r="O45" s="195">
        <f>ALL</f>
        <v>0</v>
      </c>
      <c r="P45" s="116" t="s">
        <v>267</v>
      </c>
    </row>
    <row r="46" spans="1:17">
      <c r="A46" s="5" t="s">
        <v>355</v>
      </c>
      <c r="B46" s="5"/>
      <c r="C46" s="5"/>
      <c r="D46" s="5"/>
      <c r="E46" s="165" t="s">
        <v>12</v>
      </c>
      <c r="F46" s="5"/>
      <c r="G46" s="5"/>
      <c r="H46" s="5"/>
      <c r="I46" s="5"/>
      <c r="J46" s="14"/>
      <c r="K46" s="195">
        <f>NTC</f>
        <v>0</v>
      </c>
      <c r="L46" s="195">
        <f>NTC</f>
        <v>0</v>
      </c>
      <c r="M46" s="195">
        <f>NTC</f>
        <v>0</v>
      </c>
      <c r="N46" s="195">
        <f>NTC</f>
        <v>0</v>
      </c>
      <c r="O46" s="195">
        <f>NTC</f>
        <v>0</v>
      </c>
      <c r="P46" s="116" t="s">
        <v>407</v>
      </c>
    </row>
    <row r="47" spans="1:17">
      <c r="A47" s="21" t="s">
        <v>356</v>
      </c>
      <c r="B47" s="5"/>
      <c r="C47" s="5"/>
      <c r="D47" s="5"/>
      <c r="E47" s="165" t="s">
        <v>8</v>
      </c>
      <c r="F47" s="5"/>
      <c r="G47" s="5"/>
      <c r="H47" s="5"/>
      <c r="I47" s="5"/>
      <c r="J47" s="14"/>
      <c r="K47" s="201">
        <f>TIR</f>
        <v>0.2</v>
      </c>
      <c r="L47" s="201">
        <f>TIR</f>
        <v>0.2</v>
      </c>
      <c r="M47" s="201">
        <f>TIR</f>
        <v>0.2</v>
      </c>
      <c r="N47" s="201">
        <f>TIR</f>
        <v>0.2</v>
      </c>
      <c r="O47" s="201">
        <f>TIR</f>
        <v>0.2</v>
      </c>
      <c r="P47" s="116" t="s">
        <v>279</v>
      </c>
    </row>
    <row r="48" spans="1:17">
      <c r="A48" s="21" t="s">
        <v>357</v>
      </c>
      <c r="B48" s="5"/>
      <c r="C48" s="5"/>
      <c r="D48" s="5"/>
      <c r="E48" s="165" t="s">
        <v>8</v>
      </c>
      <c r="F48" s="5"/>
      <c r="G48" s="5"/>
      <c r="H48" s="5"/>
      <c r="I48" s="5"/>
      <c r="J48" s="14"/>
      <c r="K48" s="201">
        <f>(1+RPI)*(1+J7)*(1+I7)</f>
        <v>1.0762409665139998</v>
      </c>
      <c r="L48" s="201">
        <f>(1+RPI)*K48</f>
        <v>1.1267166678435063</v>
      </c>
      <c r="M48" s="201">
        <f>(1+RPI)*L48</f>
        <v>1.1850805912378</v>
      </c>
      <c r="N48" s="201">
        <f>(1+RPI)*M48</f>
        <v>1.1850805912378</v>
      </c>
      <c r="O48" s="201">
        <f>(1+RPI)*N48</f>
        <v>1.1850805912378</v>
      </c>
      <c r="P48" s="116" t="s">
        <v>207</v>
      </c>
    </row>
    <row r="49" spans="1:16">
      <c r="A49" s="86" t="s">
        <v>360</v>
      </c>
      <c r="B49" s="5"/>
      <c r="C49" s="5"/>
      <c r="D49" s="5"/>
      <c r="E49" s="165" t="s">
        <v>12</v>
      </c>
      <c r="F49" s="5"/>
      <c r="G49" s="5"/>
      <c r="H49" s="5"/>
      <c r="I49" s="5"/>
      <c r="J49" s="14"/>
      <c r="K49" s="196">
        <f>(NTC-(PIAT*ALL))*(1-TIR)</f>
        <v>0</v>
      </c>
      <c r="L49" s="196">
        <f>(NTC-(PIAT*ALL))*(1-TIR)</f>
        <v>0</v>
      </c>
      <c r="M49" s="196">
        <f>(NTC-(PIAT*ALL))*(1-TIR)</f>
        <v>0</v>
      </c>
      <c r="N49" s="196">
        <f>(NTC-(PIAT*ALL))*(1-TIR)</f>
        <v>0</v>
      </c>
      <c r="O49" s="196">
        <f>(NTC-(PIAT*ALL))*(1-TIR)</f>
        <v>0</v>
      </c>
      <c r="P49" s="116" t="s">
        <v>206</v>
      </c>
    </row>
    <row r="50" spans="1:16">
      <c r="A50" s="5"/>
      <c r="B50" s="5"/>
      <c r="C50" s="5"/>
      <c r="D50" s="5"/>
      <c r="E50" s="96"/>
      <c r="F50" s="5"/>
      <c r="G50" s="5"/>
      <c r="H50" s="5"/>
      <c r="I50" s="5"/>
      <c r="J50" s="14"/>
      <c r="K50" s="115"/>
      <c r="L50" s="115"/>
      <c r="M50" s="115"/>
      <c r="N50" s="115"/>
      <c r="O50" s="115"/>
      <c r="P50" s="14"/>
    </row>
    <row r="51" spans="1:16" ht="15">
      <c r="A51" s="24" t="s">
        <v>362</v>
      </c>
      <c r="B51" s="5"/>
      <c r="C51" s="5"/>
      <c r="D51" s="5"/>
      <c r="E51" s="96"/>
      <c r="F51" s="5"/>
      <c r="G51" s="5"/>
      <c r="H51" s="5"/>
      <c r="I51" s="5"/>
      <c r="J51" s="14"/>
      <c r="K51" s="115"/>
      <c r="L51" s="115"/>
      <c r="M51" s="115"/>
      <c r="N51" s="115"/>
      <c r="O51" s="115"/>
      <c r="P51" s="14"/>
    </row>
    <row r="52" spans="1:16" ht="15">
      <c r="A52" s="24"/>
      <c r="B52" s="5"/>
      <c r="C52" s="5"/>
      <c r="D52" s="5"/>
      <c r="E52" s="96"/>
      <c r="F52" s="5"/>
      <c r="G52" s="5"/>
      <c r="H52" s="5"/>
      <c r="I52" s="5"/>
      <c r="J52" s="14"/>
      <c r="K52" s="115"/>
      <c r="L52" s="115"/>
      <c r="M52" s="115"/>
      <c r="N52" s="115"/>
      <c r="O52" s="115"/>
      <c r="P52" s="14"/>
    </row>
    <row r="53" spans="1:16">
      <c r="A53" s="5" t="s">
        <v>113</v>
      </c>
      <c r="B53" s="14"/>
      <c r="C53" s="14"/>
      <c r="D53" s="14"/>
      <c r="E53" s="165" t="s">
        <v>495</v>
      </c>
      <c r="F53" s="14"/>
      <c r="G53" s="14"/>
      <c r="H53" s="14"/>
      <c r="I53" s="14"/>
      <c r="J53" s="14"/>
      <c r="K53" s="190">
        <f>PTRI</f>
        <v>0.8</v>
      </c>
      <c r="L53" s="190">
        <f>PTRI</f>
        <v>0.8</v>
      </c>
      <c r="M53" s="190">
        <f>PTRI</f>
        <v>0.8</v>
      </c>
      <c r="N53" s="190">
        <f>PTRI</f>
        <v>0.8</v>
      </c>
      <c r="O53" s="190">
        <f>PTRI</f>
        <v>0.8</v>
      </c>
      <c r="P53" s="116" t="s">
        <v>113</v>
      </c>
    </row>
    <row r="54" spans="1:16">
      <c r="A54" s="5" t="s">
        <v>365</v>
      </c>
      <c r="B54" s="14"/>
      <c r="C54" s="14"/>
      <c r="D54" s="14"/>
      <c r="E54" s="165" t="s">
        <v>12</v>
      </c>
      <c r="F54" s="14"/>
      <c r="G54" s="14"/>
      <c r="H54" s="14"/>
      <c r="I54" s="14"/>
      <c r="J54" s="14"/>
      <c r="K54" s="195">
        <f>IFIE</f>
        <v>0</v>
      </c>
      <c r="L54" s="195">
        <f>IFIE</f>
        <v>0</v>
      </c>
      <c r="M54" s="195">
        <f>IFIE</f>
        <v>0</v>
      </c>
      <c r="N54" s="195">
        <f>IFIE</f>
        <v>0</v>
      </c>
      <c r="O54" s="195">
        <f>IFIE</f>
        <v>0</v>
      </c>
      <c r="P54" s="116" t="s">
        <v>15</v>
      </c>
    </row>
    <row r="55" spans="1:16">
      <c r="A55" s="5" t="s">
        <v>410</v>
      </c>
      <c r="B55" s="14"/>
      <c r="C55" s="14"/>
      <c r="D55" s="14"/>
      <c r="E55" s="165" t="s">
        <v>12</v>
      </c>
      <c r="F55" s="14"/>
      <c r="G55" s="14"/>
      <c r="H55" s="14"/>
      <c r="I55" s="14"/>
      <c r="J55" s="14"/>
      <c r="K55" s="195">
        <f>RD</f>
        <v>0</v>
      </c>
      <c r="L55" s="195">
        <f>RD</f>
        <v>0</v>
      </c>
      <c r="M55" s="195">
        <f>RD</f>
        <v>0</v>
      </c>
      <c r="N55" s="195">
        <f>RD</f>
        <v>0</v>
      </c>
      <c r="O55" s="195">
        <f>RD</f>
        <v>0</v>
      </c>
      <c r="P55" s="116" t="s">
        <v>411</v>
      </c>
    </row>
    <row r="56" spans="1:16">
      <c r="A56" s="5" t="s">
        <v>414</v>
      </c>
      <c r="B56" s="14"/>
      <c r="C56" s="14"/>
      <c r="D56" s="14"/>
      <c r="E56" s="165" t="s">
        <v>12</v>
      </c>
      <c r="F56" s="14"/>
      <c r="G56" s="14"/>
      <c r="H56" s="14"/>
      <c r="I56" s="14"/>
      <c r="J56" s="14"/>
      <c r="K56" s="196">
        <f>0.005*K55</f>
        <v>0</v>
      </c>
      <c r="L56" s="196">
        <f>0.005*L55</f>
        <v>0</v>
      </c>
      <c r="M56" s="196">
        <f>0.005*M55</f>
        <v>0</v>
      </c>
      <c r="N56" s="196">
        <f>0.005*N55</f>
        <v>0</v>
      </c>
      <c r="O56" s="196">
        <f>0.005*O55</f>
        <v>0</v>
      </c>
      <c r="P56" s="116"/>
    </row>
    <row r="57" spans="1:16" ht="14.25">
      <c r="A57" s="5" t="s">
        <v>507</v>
      </c>
      <c r="B57" s="14"/>
      <c r="C57" s="14"/>
      <c r="D57" s="14"/>
      <c r="E57" s="165" t="s">
        <v>12</v>
      </c>
      <c r="F57" s="14"/>
      <c r="G57" s="14"/>
      <c r="H57" s="14"/>
      <c r="I57" s="14"/>
      <c r="J57" s="14"/>
      <c r="K57" s="196">
        <f>0.5*K56</f>
        <v>0</v>
      </c>
      <c r="L57" s="196">
        <f>0.5*L56</f>
        <v>0</v>
      </c>
      <c r="M57" s="196">
        <f>0.5*M56</f>
        <v>0</v>
      </c>
      <c r="N57" s="196">
        <f>0.5*N56</f>
        <v>0</v>
      </c>
      <c r="O57" s="196">
        <f>0.5*O56</f>
        <v>0</v>
      </c>
      <c r="P57" s="116"/>
    </row>
    <row r="58" spans="1:16" ht="12.75" customHeight="1">
      <c r="A58" s="5" t="s">
        <v>508</v>
      </c>
      <c r="B58" s="14"/>
      <c r="C58" s="14"/>
      <c r="D58" s="14"/>
      <c r="E58" s="165" t="s">
        <v>12</v>
      </c>
      <c r="F58" s="14"/>
      <c r="G58" s="14"/>
      <c r="H58" s="14"/>
      <c r="I58" s="14"/>
      <c r="J58" s="14"/>
      <c r="K58" s="195">
        <f>0.5*0.005*ARt_1_2010_11</f>
        <v>0</v>
      </c>
      <c r="L58" s="196">
        <f>0.5*0.005*K55</f>
        <v>0</v>
      </c>
      <c r="M58" s="196">
        <f>0.5*0.005*L55</f>
        <v>0</v>
      </c>
      <c r="N58" s="196">
        <f>0.5*0.005*M55</f>
        <v>0</v>
      </c>
      <c r="O58" s="196">
        <f>0.5*0.005*N55</f>
        <v>0</v>
      </c>
      <c r="P58" s="116"/>
    </row>
    <row r="59" spans="1:16" ht="14.25">
      <c r="A59" s="5" t="s">
        <v>509</v>
      </c>
      <c r="B59" s="14"/>
      <c r="C59" s="14"/>
      <c r="D59" s="14"/>
      <c r="E59" s="165" t="s">
        <v>12</v>
      </c>
      <c r="F59" s="14"/>
      <c r="G59" s="14"/>
      <c r="H59" s="14"/>
      <c r="I59" s="14"/>
      <c r="J59" s="14"/>
      <c r="K59" s="196">
        <f>0.005*RDt_1_2010_11-'R5 Input page'!J44</f>
        <v>0</v>
      </c>
      <c r="L59" s="196">
        <f>0.005*K55-K54</f>
        <v>0</v>
      </c>
      <c r="M59" s="196">
        <f>0.005*L55-L54</f>
        <v>0</v>
      </c>
      <c r="N59" s="196">
        <f>0.005*M55-M54</f>
        <v>0</v>
      </c>
      <c r="O59" s="196">
        <f>0.005*N55-N54</f>
        <v>0</v>
      </c>
      <c r="P59" s="116"/>
    </row>
    <row r="60" spans="1:16">
      <c r="A60" s="5" t="s">
        <v>139</v>
      </c>
      <c r="B60" s="14"/>
      <c r="C60" s="14"/>
      <c r="D60" s="14"/>
      <c r="E60" s="165" t="s">
        <v>12</v>
      </c>
      <c r="F60" s="14"/>
      <c r="G60" s="14"/>
      <c r="H60" s="14"/>
      <c r="I60" s="14"/>
      <c r="J60" s="14"/>
      <c r="K60" s="195">
        <f>IF('R5 Input page'!J44&lt;=K58,K58,IF('R5 Input page'!J44&lt;=2*K58,K59,0))</f>
        <v>0</v>
      </c>
      <c r="L60" s="196">
        <f>IF(K54&lt;=L58,L58,IF(K54&lt;=2*L58,L59,0))</f>
        <v>0</v>
      </c>
      <c r="M60" s="196">
        <f>IF(L54&lt;=M58,M58,IF(L54&lt;=2*M58,M59,0))</f>
        <v>0</v>
      </c>
      <c r="N60" s="196">
        <f>IF(M54&lt;=N58,N58,IF(M54&lt;=2*N58,N59,0))</f>
        <v>0</v>
      </c>
      <c r="O60" s="196">
        <f>IF(N54&lt;=O58,O58,IF(N54&lt;=2*O58,O59,0))</f>
        <v>0</v>
      </c>
      <c r="P60" s="116" t="s">
        <v>139</v>
      </c>
    </row>
    <row r="61" spans="1:16" ht="14.25">
      <c r="A61" s="86" t="s">
        <v>249</v>
      </c>
      <c r="B61" s="5"/>
      <c r="C61" s="5"/>
      <c r="D61" s="5"/>
      <c r="E61" s="165" t="s">
        <v>12</v>
      </c>
      <c r="F61" s="5"/>
      <c r="G61" s="5"/>
      <c r="H61" s="5"/>
      <c r="I61" s="5"/>
      <c r="J61" s="14"/>
      <c r="K61" s="196">
        <f>PTRI*(MIN(K54,((0.005*K55)+K60)))</f>
        <v>0</v>
      </c>
      <c r="L61" s="196">
        <f>PTRI*(MIN(L54,((0.005*L55)+L60)))</f>
        <v>0</v>
      </c>
      <c r="M61" s="196">
        <f>PTRI*(MIN(M54,((0.005*M55)+M60)))</f>
        <v>0</v>
      </c>
      <c r="N61" s="196">
        <f>PTRI*(MIN(N54,((0.005*N55)+N60)))</f>
        <v>0</v>
      </c>
      <c r="O61" s="196">
        <f>PTRI*(MIN(O54,((0.005*O55)+O60)))</f>
        <v>0</v>
      </c>
      <c r="P61" s="116" t="s">
        <v>256</v>
      </c>
    </row>
    <row r="62" spans="1:16">
      <c r="A62" s="14"/>
      <c r="B62" s="14"/>
      <c r="C62" s="14"/>
      <c r="D62" s="14"/>
      <c r="E62" s="96"/>
      <c r="F62" s="14"/>
      <c r="G62" s="14"/>
      <c r="H62" s="14"/>
      <c r="I62" s="14"/>
      <c r="J62" s="14"/>
      <c r="K62" s="14"/>
      <c r="L62" s="14"/>
      <c r="M62" s="243"/>
      <c r="N62" s="14"/>
      <c r="O62" s="14"/>
      <c r="P62" s="14"/>
    </row>
    <row r="63" spans="1:16" ht="15">
      <c r="A63" s="24" t="s">
        <v>364</v>
      </c>
      <c r="B63" s="14"/>
      <c r="C63" s="14"/>
      <c r="D63" s="14"/>
      <c r="E63" s="96"/>
      <c r="F63" s="14"/>
      <c r="G63" s="14"/>
      <c r="H63" s="14"/>
      <c r="I63" s="14"/>
      <c r="J63" s="14"/>
      <c r="K63" s="14"/>
      <c r="L63" s="14"/>
      <c r="M63" s="14"/>
      <c r="N63" s="14"/>
      <c r="O63" s="14"/>
      <c r="P63" s="14"/>
    </row>
    <row r="64" spans="1:16" ht="15">
      <c r="A64" s="24"/>
      <c r="B64" s="14"/>
      <c r="C64" s="14"/>
      <c r="D64" s="14"/>
      <c r="E64" s="96"/>
      <c r="F64" s="14"/>
      <c r="G64" s="14"/>
      <c r="H64" s="14"/>
      <c r="I64" s="14"/>
      <c r="J64" s="14"/>
      <c r="K64" s="14"/>
      <c r="L64" s="14"/>
      <c r="M64" s="14"/>
      <c r="N64" s="14"/>
      <c r="O64" s="14"/>
      <c r="P64" s="14"/>
    </row>
    <row r="65" spans="1:17" ht="14.25">
      <c r="A65" s="5" t="s">
        <v>250</v>
      </c>
      <c r="B65" s="5"/>
      <c r="C65" s="5"/>
      <c r="D65" s="5"/>
      <c r="E65" s="165" t="s">
        <v>12</v>
      </c>
      <c r="F65" s="5"/>
      <c r="G65" s="5"/>
      <c r="H65" s="5"/>
      <c r="I65" s="5"/>
      <c r="J65" s="14"/>
      <c r="K65" s="196">
        <f>IL+IQ+IT+IFI</f>
        <v>0</v>
      </c>
      <c r="L65" s="196">
        <f>IL+IQ+IT+IFI</f>
        <v>0</v>
      </c>
      <c r="M65" s="196">
        <f>IL+IQ+IT+IFI</f>
        <v>0</v>
      </c>
      <c r="N65" s="196">
        <f>IL+IQ+IT+IFI</f>
        <v>0</v>
      </c>
      <c r="O65" s="196">
        <f>IL+IQ+IT+IFI</f>
        <v>0</v>
      </c>
      <c r="P65" s="95" t="s">
        <v>140</v>
      </c>
      <c r="Q65" s="3"/>
    </row>
    <row r="66" spans="1:17">
      <c r="A66" s="14"/>
      <c r="B66" s="14"/>
      <c r="C66" s="14"/>
      <c r="D66" s="14"/>
      <c r="E66" s="96"/>
      <c r="F66" s="14"/>
      <c r="G66" s="14"/>
      <c r="H66" s="14"/>
      <c r="I66" s="14"/>
      <c r="J66" s="14"/>
      <c r="K66" s="14"/>
      <c r="L66" s="14"/>
      <c r="M66" s="14"/>
      <c r="N66" s="14"/>
      <c r="O66" s="14"/>
      <c r="P66" s="14"/>
    </row>
    <row r="67" spans="1:17" hidden="1"/>
    <row r="68" spans="1:17" hidden="1"/>
    <row r="69" spans="1:17" hidden="1"/>
    <row r="70" spans="1:17" hidden="1"/>
    <row r="71" spans="1:17" hidden="1"/>
    <row r="72" spans="1:17" hidden="1"/>
    <row r="73" spans="1:17" hidden="1"/>
    <row r="74" spans="1:17" hidden="1"/>
    <row r="75" spans="1:17" hidden="1"/>
    <row r="76" spans="1:17" hidden="1"/>
    <row r="77" spans="1:17" hidden="1"/>
    <row r="78" spans="1:17" hidden="1"/>
    <row r="79" spans="1:17" hidden="1"/>
    <row r="80" spans="1:17"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sheetData>
  <sheetProtection password="E1CD" sheet="1" objects="1" scenarios="1" formatCells="0" formatColumns="0" formatRows="0" insertHyperlinks="0" autoFilter="0" pivotTables="0"/>
  <mergeCells count="2">
    <mergeCell ref="Q10:Q13"/>
    <mergeCell ref="K3:M3"/>
  </mergeCells>
  <pageMargins left="0.31496062992125984" right="0.31496062992125984" top="0.55118110236220474" bottom="0.55118110236220474" header="0.11811023622047245" footer="0.11811023622047245"/>
  <pageSetup paperSize="8" scale="98" fitToHeight="0" orientation="landscape" r:id="rId1"/>
  <headerFooter>
    <oddHeader>&amp;C&amp;A</oddHeader>
    <oddFooter>&amp;L&amp;D &amp;T&amp;C&amp;Z&amp;F&amp;R&amp;A</oddFooter>
  </headerFooter>
  <rowBreaks count="1" manualBreakCount="1">
    <brk id="50" max="16383" man="1"/>
  </rowBreaks>
</worksheet>
</file>

<file path=xl/worksheets/sheet13.xml><?xml version="1.0" encoding="utf-8"?>
<worksheet xmlns="http://schemas.openxmlformats.org/spreadsheetml/2006/main" xmlns:r="http://schemas.openxmlformats.org/officeDocument/2006/relationships">
  <sheetPr>
    <tabColor rgb="FFCCFFCC"/>
  </sheetPr>
  <dimension ref="A1:R25"/>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ColWidth="0" defaultRowHeight="12.75" zeroHeight="1"/>
  <cols>
    <col min="1" max="1" width="55.75" bestFit="1" customWidth="1"/>
    <col min="2" max="4" width="0.875" customWidth="1"/>
    <col min="5" max="5" width="6.25" style="233" bestFit="1" customWidth="1"/>
    <col min="6" max="9" width="1" customWidth="1"/>
    <col min="10" max="10" width="1.375" customWidth="1"/>
    <col min="11" max="15" width="9" customWidth="1"/>
    <col min="16" max="16" width="20.875" customWidth="1"/>
    <col min="17" max="18" width="0" style="119" hidden="1" customWidth="1"/>
    <col min="19" max="16384" width="9" style="119" hidden="1"/>
  </cols>
  <sheetData>
    <row r="1" spans="1:16" s="5" customFormat="1" ht="15">
      <c r="A1" s="8" t="s">
        <v>488</v>
      </c>
      <c r="E1" s="61"/>
    </row>
    <row r="2" spans="1:16" s="5" customFormat="1" ht="15">
      <c r="A2" s="8" t="str">
        <f>COMPNAME</f>
        <v>Company Name of Electricity Distribution Network Operator Limited</v>
      </c>
      <c r="E2" s="61"/>
    </row>
    <row r="3" spans="1:16" s="14" customFormat="1">
      <c r="A3" s="155" t="str">
        <f>'R5 Input page'!K8</f>
        <v>Regulatory Year ending 31 March 2012</v>
      </c>
      <c r="E3" s="207"/>
      <c r="F3" s="94"/>
      <c r="G3" s="74"/>
      <c r="H3" s="94"/>
      <c r="I3" s="74"/>
      <c r="J3" s="94"/>
      <c r="K3" s="389" t="s">
        <v>645</v>
      </c>
      <c r="L3" s="390"/>
      <c r="M3" s="390"/>
      <c r="N3" s="94"/>
      <c r="O3" s="74"/>
      <c r="P3" s="118"/>
    </row>
    <row r="4" spans="1:16">
      <c r="A4" s="14"/>
      <c r="B4" s="14"/>
      <c r="C4" s="14"/>
      <c r="D4" s="14"/>
      <c r="E4" s="213" t="s">
        <v>5</v>
      </c>
      <c r="F4" s="14"/>
      <c r="G4" s="14"/>
      <c r="H4" s="14"/>
      <c r="I4" s="14"/>
      <c r="J4" s="14"/>
      <c r="K4" s="74">
        <v>2011</v>
      </c>
      <c r="L4" s="94">
        <v>2012</v>
      </c>
      <c r="M4" s="74">
        <v>2013</v>
      </c>
      <c r="N4" s="94">
        <v>2014</v>
      </c>
      <c r="O4" s="74">
        <v>2015</v>
      </c>
      <c r="P4" s="179" t="s">
        <v>6</v>
      </c>
    </row>
    <row r="5" spans="1:16" s="14" customFormat="1" ht="15">
      <c r="A5" s="24" t="s">
        <v>136</v>
      </c>
      <c r="B5" s="5"/>
      <c r="C5" s="5"/>
      <c r="D5" s="5"/>
      <c r="E5" s="61"/>
      <c r="F5" s="5"/>
      <c r="G5" s="5"/>
      <c r="H5" s="5"/>
      <c r="I5" s="5"/>
      <c r="K5" s="5"/>
      <c r="L5" s="5"/>
      <c r="M5" s="5"/>
      <c r="N5" s="5"/>
      <c r="O5" s="5"/>
    </row>
    <row r="6" spans="1:16" s="14" customFormat="1" ht="12.75" customHeight="1">
      <c r="A6" s="5" t="s">
        <v>663</v>
      </c>
      <c r="C6" s="5"/>
      <c r="D6" s="5"/>
      <c r="E6" s="61" t="s">
        <v>12</v>
      </c>
      <c r="F6" s="5"/>
      <c r="G6" s="5"/>
      <c r="H6" s="5"/>
      <c r="I6" s="5"/>
      <c r="K6" s="195">
        <f>LCN_Allowance</f>
        <v>0</v>
      </c>
      <c r="L6" s="195">
        <f>LCN_Allowance</f>
        <v>0</v>
      </c>
      <c r="M6" s="195">
        <f>LCN_Allowance</f>
        <v>0</v>
      </c>
      <c r="N6" s="195">
        <f>LCN_Allowance</f>
        <v>0</v>
      </c>
      <c r="O6" s="195">
        <f>LCN_Allowance</f>
        <v>0</v>
      </c>
      <c r="P6" s="116" t="s">
        <v>400</v>
      </c>
    </row>
    <row r="7" spans="1:16" s="14" customFormat="1">
      <c r="A7" s="5" t="s">
        <v>649</v>
      </c>
      <c r="C7" s="5"/>
      <c r="D7" s="5"/>
      <c r="E7" s="165" t="s">
        <v>12</v>
      </c>
      <c r="F7" s="5"/>
      <c r="G7" s="5"/>
      <c r="H7" s="5"/>
      <c r="I7" s="5"/>
      <c r="K7" s="195">
        <f>LCN1_exp</f>
        <v>0</v>
      </c>
      <c r="L7" s="195">
        <f>LCN1_exp</f>
        <v>0</v>
      </c>
      <c r="M7" s="195">
        <f>LCN1_exp</f>
        <v>0</v>
      </c>
      <c r="N7" s="195">
        <f>LCN1_exp</f>
        <v>0</v>
      </c>
      <c r="O7" s="195">
        <f>LCN1_exp</f>
        <v>0</v>
      </c>
      <c r="P7" s="54" t="s">
        <v>269</v>
      </c>
    </row>
    <row r="8" spans="1:16" s="14" customFormat="1">
      <c r="A8" s="5" t="s">
        <v>229</v>
      </c>
      <c r="C8" s="5"/>
      <c r="D8" s="5"/>
      <c r="E8" s="61"/>
      <c r="F8" s="5"/>
      <c r="G8" s="5"/>
      <c r="H8" s="5"/>
      <c r="I8" s="5"/>
      <c r="K8" s="187" t="str">
        <f>IF(K7&lt;=K6,"ok","caution")</f>
        <v>ok</v>
      </c>
      <c r="L8" s="187" t="str">
        <f>IF(L7&lt;=L6,"ok","caution")</f>
        <v>ok</v>
      </c>
      <c r="M8" s="187" t="str">
        <f>IF(M7&lt;=M6,"ok","caution")</f>
        <v>ok</v>
      </c>
      <c r="N8" s="187" t="str">
        <f>IF(N7&lt;=N6,"ok","caution")</f>
        <v>ok</v>
      </c>
      <c r="O8" s="187" t="str">
        <f>IF(O7&lt;=O6,"ok","caution")</f>
        <v>ok</v>
      </c>
      <c r="P8" s="116"/>
    </row>
    <row r="9" spans="1:16" s="14" customFormat="1">
      <c r="A9" s="5"/>
      <c r="C9" s="5"/>
      <c r="D9" s="5"/>
      <c r="F9" s="262" t="s">
        <v>590</v>
      </c>
      <c r="G9" s="263"/>
      <c r="H9" s="263"/>
      <c r="I9" s="263"/>
      <c r="J9" s="263"/>
      <c r="K9" s="263"/>
    </row>
    <row r="10" spans="1:16" s="14" customFormat="1">
      <c r="A10" s="5"/>
      <c r="C10" s="5"/>
      <c r="D10" s="5"/>
      <c r="E10" s="61"/>
      <c r="F10" s="5"/>
      <c r="G10" s="5"/>
      <c r="H10" s="5"/>
      <c r="I10" s="5"/>
      <c r="J10" s="387"/>
      <c r="K10" s="388"/>
      <c r="L10" s="388"/>
      <c r="M10" s="388"/>
      <c r="N10" s="388"/>
      <c r="O10" s="388"/>
      <c r="P10" s="388"/>
    </row>
    <row r="11" spans="1:16" s="14" customFormat="1">
      <c r="A11" s="5"/>
      <c r="C11" s="5"/>
      <c r="D11" s="5"/>
      <c r="E11" s="61"/>
      <c r="F11" s="5"/>
      <c r="G11" s="5"/>
      <c r="H11" s="5"/>
      <c r="I11" s="5"/>
      <c r="J11" s="261"/>
      <c r="K11" s="154"/>
      <c r="L11" s="154"/>
      <c r="M11" s="154"/>
      <c r="N11" s="154"/>
      <c r="O11" s="154"/>
      <c r="P11" s="154"/>
    </row>
    <row r="12" spans="1:16" s="14" customFormat="1">
      <c r="A12" s="5" t="s">
        <v>678</v>
      </c>
      <c r="C12" s="5"/>
      <c r="D12" s="5"/>
      <c r="E12" s="165" t="s">
        <v>12</v>
      </c>
      <c r="F12" s="5"/>
      <c r="G12" s="5"/>
      <c r="H12" s="5"/>
      <c r="I12" s="5"/>
      <c r="K12" s="195">
        <f>LCN3_unrec</f>
        <v>0</v>
      </c>
      <c r="L12" s="195">
        <f>LCN3_unrec</f>
        <v>0</v>
      </c>
      <c r="M12" s="195">
        <f>LCN3_unrec</f>
        <v>0</v>
      </c>
      <c r="N12" s="195">
        <f>LCN3_unrec</f>
        <v>0</v>
      </c>
      <c r="O12" s="195">
        <f>LCN3_unrec</f>
        <v>0</v>
      </c>
      <c r="P12" s="54" t="s">
        <v>591</v>
      </c>
    </row>
    <row r="13" spans="1:16" s="14" customFormat="1">
      <c r="A13" s="5"/>
      <c r="C13" s="5"/>
      <c r="D13" s="5"/>
      <c r="E13" s="61"/>
      <c r="F13" s="5"/>
      <c r="G13" s="5"/>
      <c r="H13" s="5"/>
      <c r="I13" s="5"/>
      <c r="J13" s="261"/>
      <c r="K13" s="154"/>
      <c r="L13" s="154"/>
      <c r="M13" s="154"/>
      <c r="N13" s="154"/>
      <c r="O13" s="154"/>
      <c r="P13" s="154"/>
    </row>
    <row r="14" spans="1:16" s="14" customFormat="1">
      <c r="A14" s="5" t="s">
        <v>268</v>
      </c>
      <c r="C14" s="5"/>
      <c r="D14" s="5"/>
      <c r="E14" s="61"/>
      <c r="F14" s="5"/>
      <c r="G14" s="5"/>
      <c r="H14" s="5"/>
      <c r="I14" s="5"/>
      <c r="K14" s="154"/>
      <c r="L14" s="154"/>
      <c r="M14" s="154"/>
      <c r="N14" s="154"/>
      <c r="O14" s="154"/>
      <c r="P14" s="116"/>
    </row>
    <row r="15" spans="1:16" s="14" customFormat="1">
      <c r="A15" s="5" t="s">
        <v>589</v>
      </c>
      <c r="C15" s="5"/>
      <c r="D15" s="5"/>
      <c r="E15" s="61" t="s">
        <v>12</v>
      </c>
      <c r="F15" s="5"/>
      <c r="G15" s="5"/>
      <c r="H15" s="5"/>
      <c r="I15" s="5"/>
      <c r="K15" s="195">
        <f>LCN2_collect</f>
        <v>0</v>
      </c>
      <c r="L15" s="195">
        <f>LCN2_collect</f>
        <v>0</v>
      </c>
      <c r="M15" s="195">
        <f>LCN2_collect</f>
        <v>0</v>
      </c>
      <c r="N15" s="195">
        <f>LCN2_collect</f>
        <v>0</v>
      </c>
      <c r="O15" s="195">
        <f>LCN2_collect</f>
        <v>0</v>
      </c>
      <c r="P15" s="116" t="s">
        <v>399</v>
      </c>
    </row>
    <row r="16" spans="1:16" s="14" customFormat="1">
      <c r="A16" s="5"/>
      <c r="C16" s="5"/>
      <c r="D16" s="5"/>
      <c r="E16" s="61"/>
      <c r="F16" s="5"/>
      <c r="G16" s="5"/>
      <c r="H16" s="5"/>
      <c r="I16" s="5"/>
      <c r="K16" s="5"/>
      <c r="L16" s="5"/>
      <c r="M16" s="5"/>
      <c r="N16" s="5"/>
      <c r="O16" s="5"/>
      <c r="P16" s="116"/>
    </row>
    <row r="17" spans="1:16" s="14" customFormat="1" ht="14.25">
      <c r="A17" s="5" t="s">
        <v>247</v>
      </c>
      <c r="C17" s="5"/>
      <c r="D17" s="5"/>
      <c r="E17" s="61" t="s">
        <v>12</v>
      </c>
      <c r="F17" s="5"/>
      <c r="G17" s="5"/>
      <c r="H17" s="5"/>
      <c r="I17" s="5"/>
      <c r="J17" s="10"/>
      <c r="K17" s="196">
        <f>IF(K8="ok",LCN1_exp+LCN2_collect-LCN3_unrec,LCN_Allowance+LCN2_collect-LCN3_unrec)</f>
        <v>0</v>
      </c>
      <c r="L17" s="196">
        <f>IF(L8="ok",LCN1_exp+LCN2_collect-LCN3_unrec,LCN_Allowance+LCN2_collect-LCN3_unrec)</f>
        <v>0</v>
      </c>
      <c r="M17" s="196">
        <f>IF(M8="ok",LCN1_exp+LCN2_collect-LCN3_unrec,LCN_Allowance+LCN2_collect-LCN3_unrec)</f>
        <v>0</v>
      </c>
      <c r="N17" s="196">
        <f>IF(N8="ok",LCN1_exp+LCN2_collect-LCN3_unrec,LCN_Allowance+LCN2_collect-LCN3_unrec)</f>
        <v>0</v>
      </c>
      <c r="O17" s="196">
        <f>IF(O8="ok",LCN1_exp+LCN2_collect-LCN3_unrec,LCN_Allowance+LCN2_collect-LCN3_unrec)</f>
        <v>0</v>
      </c>
      <c r="P17" s="116" t="s">
        <v>272</v>
      </c>
    </row>
    <row r="18" spans="1:16" s="14" customFormat="1" collapsed="1">
      <c r="A18" s="5"/>
      <c r="B18" s="5"/>
      <c r="C18" s="5"/>
      <c r="D18" s="5"/>
      <c r="E18" s="61"/>
      <c r="F18" s="5"/>
      <c r="G18" s="5"/>
      <c r="H18" s="5"/>
      <c r="I18" s="5"/>
      <c r="K18" s="5"/>
      <c r="L18" s="5"/>
      <c r="M18" s="5"/>
      <c r="N18" s="5"/>
      <c r="O18" s="5"/>
    </row>
    <row r="19" spans="1:16" hidden="1"/>
    <row r="20" spans="1:16" hidden="1">
      <c r="A20" s="5"/>
      <c r="B20" s="5"/>
      <c r="C20" s="5"/>
      <c r="D20" s="5"/>
      <c r="E20" s="61"/>
      <c r="F20" s="5"/>
      <c r="G20" s="5"/>
      <c r="H20" s="5"/>
      <c r="I20" s="5"/>
      <c r="J20" s="5"/>
      <c r="K20" s="5"/>
      <c r="L20" s="5"/>
      <c r="M20" s="5"/>
      <c r="N20" s="5"/>
      <c r="O20" s="5"/>
      <c r="P20" s="5"/>
    </row>
    <row r="21" spans="1:16" hidden="1"/>
    <row r="22" spans="1:16" hidden="1"/>
    <row r="23" spans="1:16" hidden="1"/>
    <row r="24" spans="1:16" hidden="1"/>
    <row r="25" spans="1:16" ht="5.0999999999999996" customHeight="1"/>
  </sheetData>
  <sheetProtection password="E1CD" sheet="1" objects="1" scenarios="1" formatCells="0" formatColumns="0" formatRows="0" insertHyperlinks="0" autoFilter="0" pivotTables="0"/>
  <mergeCells count="2">
    <mergeCell ref="J10:P10"/>
    <mergeCell ref="K3:M3"/>
  </mergeCells>
  <pageMargins left="0.70866141732283472" right="0.70866141732283472" top="0.74803149606299213" bottom="0.74803149606299213" header="0.31496062992125984" footer="0.31496062992125984"/>
  <pageSetup paperSize="9" scale="55" orientation="portrait" r:id="rId1"/>
  <headerFooter>
    <oddHeader>&amp;C&amp;A</oddHeader>
    <oddFooter>&amp;L&amp;D &amp;T&amp;C&amp;Z&amp;F&amp;R&amp;A</oddFooter>
  </headerFooter>
</worksheet>
</file>

<file path=xl/worksheets/sheet14.xml><?xml version="1.0" encoding="utf-8"?>
<worksheet xmlns="http://schemas.openxmlformats.org/spreadsheetml/2006/main" xmlns:r="http://schemas.openxmlformats.org/officeDocument/2006/relationships">
  <sheetPr codeName="Sheet16">
    <tabColor rgb="FFCCFFCC"/>
    <pageSetUpPr fitToPage="1"/>
  </sheetPr>
  <dimension ref="A1:U104"/>
  <sheetViews>
    <sheetView view="pageBreakPreview" zoomScaleNormal="100" zoomScaleSheetLayoutView="100" workbookViewId="0">
      <pane xSplit="2" ySplit="4" topLeftCell="C26" activePane="bottomRight" state="frozen"/>
      <selection pane="topRight" activeCell="C1" sqref="C1"/>
      <selection pane="bottomLeft" activeCell="A5" sqref="A5"/>
      <selection pane="bottomRight" activeCell="C5" sqref="C5"/>
    </sheetView>
  </sheetViews>
  <sheetFormatPr defaultColWidth="0" defaultRowHeight="12.75" zeroHeight="1"/>
  <cols>
    <col min="1" max="1" width="40.625" style="67" customWidth="1"/>
    <col min="2" max="2" width="20.625" style="67" bestFit="1" customWidth="1"/>
    <col min="3" max="4" width="1.25" style="67" customWidth="1"/>
    <col min="5" max="5" width="6.625" style="231" bestFit="1" customWidth="1"/>
    <col min="6" max="10" width="0.75" style="67" customWidth="1"/>
    <col min="11" max="11" width="9.375" style="67" bestFit="1" customWidth="1"/>
    <col min="12" max="15" width="9.125" style="67" bestFit="1" customWidth="1"/>
    <col min="16" max="16" width="14.25" style="148" customWidth="1"/>
    <col min="17" max="17" width="9" style="67" hidden="1" customWidth="1"/>
    <col min="18" max="18" width="5.75" style="67" hidden="1" customWidth="1"/>
    <col min="19" max="19" width="9" style="67" hidden="1" customWidth="1"/>
    <col min="20" max="21" width="18.25" style="67" hidden="1" customWidth="1"/>
    <col min="22" max="16384" width="9" style="67" hidden="1"/>
  </cols>
  <sheetData>
    <row r="1" spans="1:19" s="36" customFormat="1" ht="15">
      <c r="A1" s="191" t="s">
        <v>489</v>
      </c>
      <c r="E1" s="225"/>
      <c r="P1" s="147"/>
    </row>
    <row r="2" spans="1:19" s="36" customFormat="1" ht="15">
      <c r="A2" s="191" t="str">
        <f>COMPNAME</f>
        <v>Company Name of Electricity Distribution Network Operator Limited</v>
      </c>
      <c r="E2" s="225"/>
      <c r="P2" s="147"/>
    </row>
    <row r="3" spans="1:19" ht="14.25">
      <c r="A3" s="155" t="str">
        <f>'R5 Input page'!K8</f>
        <v>Regulatory Year ending 31 March 2012</v>
      </c>
      <c r="B3" s="130"/>
      <c r="C3" s="130"/>
      <c r="D3" s="130"/>
      <c r="E3" s="230"/>
      <c r="F3" s="49"/>
      <c r="G3" s="49"/>
      <c r="H3" s="49"/>
      <c r="I3" s="49"/>
      <c r="J3" s="49"/>
      <c r="K3" s="391" t="s">
        <v>645</v>
      </c>
      <c r="L3" s="391"/>
      <c r="M3" s="391"/>
      <c r="N3" s="49"/>
      <c r="O3" s="49"/>
      <c r="P3" s="146"/>
    </row>
    <row r="4" spans="1:19" s="38" customFormat="1">
      <c r="A4" s="36"/>
      <c r="B4" s="36"/>
      <c r="C4" s="36"/>
      <c r="D4" s="36"/>
      <c r="E4" s="69" t="s">
        <v>5</v>
      </c>
      <c r="F4" s="36"/>
      <c r="G4" s="36"/>
      <c r="H4" s="36"/>
      <c r="I4" s="36"/>
      <c r="J4" s="36"/>
      <c r="K4" s="49">
        <v>2011</v>
      </c>
      <c r="L4" s="49">
        <v>2012</v>
      </c>
      <c r="M4" s="49">
        <v>2013</v>
      </c>
      <c r="N4" s="49">
        <v>2014</v>
      </c>
      <c r="O4" s="49">
        <v>2015</v>
      </c>
      <c r="P4" s="146" t="s">
        <v>6</v>
      </c>
      <c r="Q4" s="67"/>
      <c r="R4" s="67"/>
      <c r="S4" s="67"/>
    </row>
    <row r="5" spans="1:19" ht="9" customHeight="1">
      <c r="A5" s="36"/>
      <c r="B5" s="36"/>
      <c r="C5" s="36"/>
      <c r="D5" s="36"/>
      <c r="E5" s="225"/>
      <c r="F5" s="36"/>
      <c r="G5" s="36"/>
      <c r="H5" s="36"/>
      <c r="I5" s="36"/>
      <c r="J5" s="36"/>
      <c r="K5" s="36"/>
      <c r="L5" s="36"/>
      <c r="M5" s="36"/>
      <c r="N5" s="36"/>
      <c r="O5" s="36"/>
      <c r="P5" s="147"/>
    </row>
    <row r="6" spans="1:19">
      <c r="A6" s="36" t="s">
        <v>7</v>
      </c>
      <c r="B6" s="36"/>
      <c r="C6" s="36"/>
      <c r="D6" s="36"/>
      <c r="E6" s="225" t="s">
        <v>8</v>
      </c>
      <c r="F6" s="36"/>
      <c r="G6" s="36"/>
      <c r="H6" s="36"/>
      <c r="I6" s="36"/>
      <c r="J6" s="36"/>
      <c r="K6" s="201">
        <f>RPI</f>
        <v>-3.8999999999999998E-3</v>
      </c>
      <c r="L6" s="201">
        <f>RPI</f>
        <v>4.6899999999999997E-2</v>
      </c>
      <c r="M6" s="201">
        <f>RPI</f>
        <v>5.1799999999999999E-2</v>
      </c>
      <c r="N6" s="201">
        <f>RPI</f>
        <v>0</v>
      </c>
      <c r="O6" s="201">
        <f>RPI</f>
        <v>0</v>
      </c>
      <c r="P6" s="147" t="s">
        <v>7</v>
      </c>
    </row>
    <row r="7" spans="1:19">
      <c r="A7" s="36" t="s">
        <v>595</v>
      </c>
      <c r="B7" s="36" t="s">
        <v>169</v>
      </c>
      <c r="C7" s="36"/>
      <c r="D7" s="36"/>
      <c r="E7" s="225" t="s">
        <v>8</v>
      </c>
      <c r="F7" s="36"/>
      <c r="G7" s="36"/>
      <c r="H7" s="36"/>
      <c r="I7" s="36"/>
      <c r="J7" s="36"/>
      <c r="K7" s="167">
        <v>1</v>
      </c>
      <c r="L7" s="206">
        <f>(1+L6)*K7</f>
        <v>1.0468999999999999</v>
      </c>
      <c r="M7" s="206">
        <f>(1+M6)*L7</f>
        <v>1.1011294199999999</v>
      </c>
      <c r="N7" s="206">
        <f>(1+N6)*M7</f>
        <v>1.1011294199999999</v>
      </c>
      <c r="O7" s="206">
        <f>(1+O6)*N7</f>
        <v>1.1011294199999999</v>
      </c>
      <c r="P7" s="147" t="s">
        <v>169</v>
      </c>
    </row>
    <row r="8" spans="1:19">
      <c r="A8" s="36"/>
      <c r="B8" s="36" t="s">
        <v>596</v>
      </c>
      <c r="C8" s="36"/>
      <c r="D8" s="36"/>
      <c r="E8" s="225" t="s">
        <v>8</v>
      </c>
      <c r="F8" s="36"/>
      <c r="G8" s="36"/>
      <c r="H8" s="36"/>
      <c r="I8" s="36"/>
      <c r="J8" s="36"/>
      <c r="K8" s="201">
        <f>PIAB_PIAH</f>
        <v>1.0762409665139998</v>
      </c>
      <c r="L8" s="201">
        <f>PIAB_PIAH</f>
        <v>1.1267166678435063</v>
      </c>
      <c r="M8" s="201">
        <f>PIAB_PIAH</f>
        <v>1.1850805912378</v>
      </c>
      <c r="N8" s="201">
        <f>PIAB_PIAH</f>
        <v>1.1850805912378</v>
      </c>
      <c r="O8" s="201">
        <f>PIAB_PIAH</f>
        <v>1.1850805912378</v>
      </c>
      <c r="P8" s="147" t="s">
        <v>596</v>
      </c>
    </row>
    <row r="9" spans="1:19">
      <c r="A9" s="36"/>
      <c r="B9" s="36"/>
      <c r="C9" s="36"/>
      <c r="D9" s="36"/>
      <c r="E9" s="225"/>
      <c r="F9" s="36"/>
      <c r="G9" s="36"/>
      <c r="H9" s="36"/>
      <c r="I9" s="36"/>
      <c r="J9" s="36"/>
      <c r="K9" s="36"/>
      <c r="L9" s="36"/>
      <c r="M9" s="36"/>
      <c r="N9" s="36"/>
      <c r="O9" s="36"/>
      <c r="P9" s="147"/>
    </row>
    <row r="10" spans="1:19" ht="15">
      <c r="A10" s="191" t="s">
        <v>367</v>
      </c>
      <c r="B10" s="36"/>
      <c r="C10" s="36"/>
      <c r="D10" s="36"/>
      <c r="E10" s="225"/>
      <c r="F10" s="36"/>
      <c r="G10" s="36"/>
      <c r="H10" s="36"/>
      <c r="I10" s="36"/>
      <c r="J10" s="36"/>
      <c r="K10" s="36"/>
      <c r="L10" s="36"/>
      <c r="M10" s="36"/>
      <c r="N10" s="36"/>
      <c r="O10" s="36"/>
      <c r="P10" s="147"/>
    </row>
    <row r="11" spans="1:19">
      <c r="A11" s="5" t="s">
        <v>357</v>
      </c>
      <c r="B11" s="36"/>
      <c r="C11" s="36"/>
      <c r="D11" s="36"/>
      <c r="E11" s="225" t="s">
        <v>8</v>
      </c>
      <c r="F11" s="36"/>
      <c r="G11" s="36"/>
      <c r="H11" s="36"/>
      <c r="I11" s="36"/>
      <c r="J11" s="36"/>
      <c r="K11" s="167">
        <f>PIAO</f>
        <v>1.0762409665139998</v>
      </c>
      <c r="L11" s="167">
        <f>PIAO</f>
        <v>1.1267166678435063</v>
      </c>
      <c r="M11" s="167">
        <f>PIAO</f>
        <v>1.1850805912378</v>
      </c>
      <c r="N11" s="167">
        <f>PIAO</f>
        <v>1.1850805912378</v>
      </c>
      <c r="O11" s="167">
        <f>PIAO</f>
        <v>1.1850805912378</v>
      </c>
      <c r="P11" s="147"/>
    </row>
    <row r="12" spans="1:19">
      <c r="A12" s="5" t="s">
        <v>368</v>
      </c>
      <c r="B12" s="36" t="s">
        <v>280</v>
      </c>
      <c r="C12" s="36"/>
      <c r="D12" s="36"/>
      <c r="E12" s="225" t="s">
        <v>111</v>
      </c>
      <c r="F12" s="36"/>
      <c r="G12" s="36"/>
      <c r="H12" s="36"/>
      <c r="I12" s="36"/>
      <c r="J12" s="36"/>
      <c r="K12" s="195">
        <f>gir</f>
        <v>1000</v>
      </c>
      <c r="L12" s="195">
        <f>gir</f>
        <v>1000</v>
      </c>
      <c r="M12" s="195">
        <f>gir</f>
        <v>1000</v>
      </c>
      <c r="N12" s="195">
        <f>gir</f>
        <v>1000</v>
      </c>
      <c r="O12" s="195">
        <f>gir</f>
        <v>1000</v>
      </c>
      <c r="P12" s="147" t="s">
        <v>280</v>
      </c>
    </row>
    <row r="13" spans="1:19">
      <c r="A13" s="131" t="s">
        <v>370</v>
      </c>
      <c r="B13" s="36" t="s">
        <v>371</v>
      </c>
      <c r="C13" s="36"/>
      <c r="D13" s="36"/>
      <c r="E13" s="225" t="s">
        <v>29</v>
      </c>
      <c r="F13" s="36"/>
      <c r="G13" s="36"/>
      <c r="H13" s="36"/>
      <c r="I13" s="36"/>
      <c r="J13" s="36"/>
      <c r="K13" s="190">
        <f>gc</f>
        <v>0</v>
      </c>
      <c r="L13" s="190">
        <f>gc</f>
        <v>0</v>
      </c>
      <c r="M13" s="190">
        <f>gc</f>
        <v>0</v>
      </c>
      <c r="N13" s="190">
        <f>gc</f>
        <v>0</v>
      </c>
      <c r="O13" s="190">
        <f>gc</f>
        <v>0</v>
      </c>
      <c r="P13" s="147" t="s">
        <v>371</v>
      </c>
    </row>
    <row r="14" spans="1:19">
      <c r="A14" s="178" t="s">
        <v>372</v>
      </c>
      <c r="B14" s="36" t="s">
        <v>170</v>
      </c>
      <c r="C14" s="36"/>
      <c r="D14" s="36"/>
      <c r="E14" s="225" t="s">
        <v>12</v>
      </c>
      <c r="F14" s="36"/>
      <c r="G14" s="36"/>
      <c r="H14" s="36"/>
      <c r="I14" s="36"/>
      <c r="J14" s="36"/>
      <c r="K14" s="196">
        <f>(PIAO*gir*gc)/1000000</f>
        <v>0</v>
      </c>
      <c r="L14" s="196">
        <f>(PIAO*gir*gc)/1000000</f>
        <v>0</v>
      </c>
      <c r="M14" s="196">
        <f>(PIAO*gir*gc)/1000000</f>
        <v>0</v>
      </c>
      <c r="N14" s="196">
        <f>(PIAO*gir*gc)/1000000</f>
        <v>0</v>
      </c>
      <c r="O14" s="196">
        <f>(PIAO*gir*gc)/1000000</f>
        <v>0</v>
      </c>
      <c r="P14" s="147" t="s">
        <v>170</v>
      </c>
    </row>
    <row r="15" spans="1:19">
      <c r="A15" s="131"/>
      <c r="B15" s="36"/>
      <c r="C15" s="36"/>
      <c r="D15" s="36"/>
      <c r="E15" s="225"/>
      <c r="F15" s="36"/>
      <c r="G15" s="36"/>
      <c r="H15" s="36"/>
      <c r="I15" s="36"/>
      <c r="J15" s="36"/>
      <c r="K15" s="36"/>
      <c r="L15" s="36"/>
      <c r="M15" s="36"/>
      <c r="N15" s="36"/>
      <c r="O15" s="36"/>
      <c r="P15" s="36"/>
    </row>
    <row r="16" spans="1:19" ht="15">
      <c r="A16" s="191" t="s">
        <v>373</v>
      </c>
      <c r="B16" s="36"/>
      <c r="C16" s="36"/>
      <c r="D16" s="36"/>
      <c r="E16" s="225"/>
      <c r="F16" s="36"/>
      <c r="G16" s="36"/>
      <c r="H16" s="36"/>
      <c r="I16" s="36"/>
      <c r="J16" s="36"/>
      <c r="K16" s="36"/>
      <c r="L16" s="36"/>
      <c r="M16" s="36"/>
      <c r="N16" s="36"/>
      <c r="O16" s="36"/>
      <c r="P16" s="36"/>
    </row>
    <row r="17" spans="1:16">
      <c r="A17" s="131" t="s">
        <v>375</v>
      </c>
      <c r="B17" s="36" t="s">
        <v>381</v>
      </c>
      <c r="C17" s="36"/>
      <c r="D17" s="36"/>
      <c r="E17" s="225" t="s">
        <v>12</v>
      </c>
      <c r="F17" s="36"/>
      <c r="G17" s="36"/>
      <c r="H17" s="36"/>
      <c r="I17" s="36"/>
      <c r="J17" s="36"/>
      <c r="K17" s="195">
        <f>gps</f>
        <v>0</v>
      </c>
      <c r="L17" s="195">
        <f>gps</f>
        <v>0</v>
      </c>
      <c r="M17" s="195">
        <f>gps</f>
        <v>0</v>
      </c>
      <c r="N17" s="195">
        <f>gps</f>
        <v>0</v>
      </c>
      <c r="O17" s="195">
        <f>gps</f>
        <v>0</v>
      </c>
      <c r="P17" s="147" t="s">
        <v>31</v>
      </c>
    </row>
    <row r="18" spans="1:16">
      <c r="A18" s="131" t="s">
        <v>374</v>
      </c>
      <c r="B18" s="36" t="s">
        <v>382</v>
      </c>
      <c r="C18" s="36"/>
      <c r="D18" s="36"/>
      <c r="E18" s="225" t="s">
        <v>8</v>
      </c>
      <c r="F18" s="36"/>
      <c r="G18" s="36"/>
      <c r="H18" s="36"/>
      <c r="I18" s="36"/>
      <c r="J18" s="36"/>
      <c r="K18" s="201">
        <f>ptrg</f>
        <v>0.8</v>
      </c>
      <c r="L18" s="201">
        <f>ptrg</f>
        <v>0.8</v>
      </c>
      <c r="M18" s="201">
        <f>ptrg</f>
        <v>0.8</v>
      </c>
      <c r="N18" s="201">
        <f>ptrg</f>
        <v>0.8</v>
      </c>
      <c r="O18" s="201">
        <f>ptrg</f>
        <v>0.8</v>
      </c>
      <c r="P18" s="147" t="s">
        <v>117</v>
      </c>
    </row>
    <row r="19" spans="1:16">
      <c r="A19" s="131" t="s">
        <v>376</v>
      </c>
      <c r="B19" s="36" t="s">
        <v>380</v>
      </c>
      <c r="C19" s="36"/>
      <c r="D19" s="36"/>
      <c r="E19" s="225" t="s">
        <v>12</v>
      </c>
      <c r="F19" s="36"/>
      <c r="G19" s="36"/>
      <c r="H19" s="36"/>
      <c r="I19" s="36"/>
      <c r="J19" s="36"/>
      <c r="K19" s="196">
        <f>K18*K17</f>
        <v>0</v>
      </c>
      <c r="L19" s="196">
        <f>L18*L17</f>
        <v>0</v>
      </c>
      <c r="M19" s="196">
        <f>M18*M17</f>
        <v>0</v>
      </c>
      <c r="N19" s="196">
        <f>N18*N17</f>
        <v>0</v>
      </c>
      <c r="O19" s="196">
        <f>O18*O17</f>
        <v>0</v>
      </c>
      <c r="P19" s="147" t="s">
        <v>171</v>
      </c>
    </row>
    <row r="20" spans="1:16">
      <c r="A20" s="131" t="s">
        <v>377</v>
      </c>
      <c r="B20" s="36" t="s">
        <v>383</v>
      </c>
      <c r="C20" s="36"/>
      <c r="D20" s="36"/>
      <c r="E20" s="225" t="s">
        <v>12</v>
      </c>
      <c r="F20" s="36"/>
      <c r="G20" s="36"/>
      <c r="H20" s="36"/>
      <c r="I20" s="36"/>
      <c r="J20" s="36"/>
      <c r="K20" s="195">
        <f>gt</f>
        <v>0</v>
      </c>
      <c r="L20" s="195">
        <f>gt</f>
        <v>0</v>
      </c>
      <c r="M20" s="195">
        <f>gt</f>
        <v>0</v>
      </c>
      <c r="N20" s="195">
        <f>gt</f>
        <v>0</v>
      </c>
      <c r="O20" s="195">
        <f>gt</f>
        <v>0</v>
      </c>
      <c r="P20" s="147" t="s">
        <v>30</v>
      </c>
    </row>
    <row r="21" spans="1:16">
      <c r="A21" s="131" t="s">
        <v>378</v>
      </c>
      <c r="B21" s="36" t="s">
        <v>118</v>
      </c>
      <c r="C21" s="36"/>
      <c r="D21" s="36"/>
      <c r="E21" s="225" t="s">
        <v>82</v>
      </c>
      <c r="F21" s="36"/>
      <c r="G21" s="36"/>
      <c r="H21" s="36"/>
      <c r="I21" s="36"/>
      <c r="J21" s="36"/>
      <c r="K21" s="190">
        <f>P</f>
        <v>15</v>
      </c>
      <c r="L21" s="190">
        <f>P</f>
        <v>15</v>
      </c>
      <c r="M21" s="190">
        <f>P</f>
        <v>15</v>
      </c>
      <c r="N21" s="190">
        <f>P</f>
        <v>15</v>
      </c>
      <c r="O21" s="190">
        <f>P</f>
        <v>15</v>
      </c>
      <c r="P21" s="147" t="s">
        <v>118</v>
      </c>
    </row>
    <row r="22" spans="1:16">
      <c r="A22" s="131" t="s">
        <v>379</v>
      </c>
      <c r="B22" s="36" t="s">
        <v>384</v>
      </c>
      <c r="C22" s="36"/>
      <c r="D22" s="36"/>
      <c r="E22" s="225" t="s">
        <v>8</v>
      </c>
      <c r="F22" s="36"/>
      <c r="G22" s="36"/>
      <c r="H22" s="36"/>
      <c r="I22" s="36"/>
      <c r="J22" s="36"/>
      <c r="K22" s="201">
        <f>rate</f>
        <v>5.6000000000000001E-2</v>
      </c>
      <c r="L22" s="201">
        <f>rate</f>
        <v>5.6000000000000001E-2</v>
      </c>
      <c r="M22" s="201">
        <f>rate</f>
        <v>5.6000000000000001E-2</v>
      </c>
      <c r="N22" s="201">
        <f>rate</f>
        <v>5.6000000000000001E-2</v>
      </c>
      <c r="O22" s="201">
        <f>rate</f>
        <v>5.6000000000000001E-2</v>
      </c>
      <c r="P22" s="147" t="s">
        <v>119</v>
      </c>
    </row>
    <row r="23" spans="1:16">
      <c r="A23" s="131"/>
      <c r="B23" s="36"/>
      <c r="C23" s="36"/>
      <c r="D23" s="36"/>
      <c r="E23" s="225"/>
      <c r="F23" s="36"/>
      <c r="G23" s="36"/>
      <c r="H23" s="36"/>
      <c r="I23" s="36"/>
      <c r="J23" s="36"/>
      <c r="K23" s="36"/>
      <c r="L23" s="36"/>
      <c r="M23" s="36"/>
      <c r="N23" s="36"/>
      <c r="O23" s="36"/>
      <c r="P23" s="147"/>
    </row>
    <row r="24" spans="1:16" ht="12.75" customHeight="1">
      <c r="A24" s="131" t="s">
        <v>385</v>
      </c>
      <c r="B24" s="36" t="s">
        <v>42</v>
      </c>
      <c r="C24" s="36"/>
      <c r="D24" s="36"/>
      <c r="E24" s="225" t="s">
        <v>12</v>
      </c>
      <c r="F24" s="36"/>
      <c r="G24" s="36"/>
      <c r="H24" s="36"/>
      <c r="I24" s="36"/>
      <c r="J24" s="36"/>
      <c r="K24" s="36"/>
      <c r="L24" s="196">
        <f>PIAG*(1/$K$7*($K$22/(1-(1/(1+$K$22)^$K$21)))*($K$19-$K$20))</f>
        <v>0</v>
      </c>
      <c r="M24" s="196">
        <f>PIAG*(1/$K$7*($K$22/(1-(1/(1+$K$22)^$K$21)))*($K$19-$K$20))</f>
        <v>0</v>
      </c>
      <c r="N24" s="196">
        <f>PIAG*(1/$K$7*($K$22/(1-(1/(1+$K$22)^$K$21)))*($K$19-$K$20))</f>
        <v>0</v>
      </c>
      <c r="O24" s="196">
        <f>PIAG*(1/$K$7*($K$22/(1-(1/(1+$K$22)^$K$21)))*($K$19-$K$20))</f>
        <v>0</v>
      </c>
      <c r="P24" s="147"/>
    </row>
    <row r="25" spans="1:16">
      <c r="A25" s="254" t="s">
        <v>587</v>
      </c>
      <c r="B25" s="36" t="s">
        <v>43</v>
      </c>
      <c r="C25" s="36"/>
      <c r="D25" s="36"/>
      <c r="E25" s="225" t="s">
        <v>12</v>
      </c>
      <c r="F25" s="36"/>
      <c r="G25" s="36"/>
      <c r="H25" s="36"/>
      <c r="I25" s="36"/>
      <c r="J25" s="36"/>
      <c r="K25" s="36"/>
      <c r="L25" s="36"/>
      <c r="M25" s="196">
        <f>PIAG*(1/$L$7*($L$22/(1-(1/(1+$L$22)^$L$21)))*($L$19-$L$20))</f>
        <v>0</v>
      </c>
      <c r="N25" s="196">
        <f>PIAG*(1/$L$7*($L$22/(1-(1/(1+$L$22)^$L$21)))*($L$19-$L$20))</f>
        <v>0</v>
      </c>
      <c r="O25" s="196">
        <f>PIAG*(1/$L$7*($L$22/(1-(1/(1+$L$22)^$L$21)))*($L$19-$L$20))</f>
        <v>0</v>
      </c>
      <c r="P25" s="147"/>
    </row>
    <row r="26" spans="1:16">
      <c r="A26" s="131"/>
      <c r="B26" s="36" t="s">
        <v>44</v>
      </c>
      <c r="C26" s="36"/>
      <c r="D26" s="36"/>
      <c r="E26" s="225" t="s">
        <v>12</v>
      </c>
      <c r="F26" s="36"/>
      <c r="G26" s="36"/>
      <c r="H26" s="36"/>
      <c r="I26" s="36"/>
      <c r="J26" s="36"/>
      <c r="K26" s="36"/>
      <c r="L26" s="36"/>
      <c r="M26" s="36"/>
      <c r="N26" s="196">
        <f>PIAG*(1/$M$7*($M$22/(1-(1/(1+$M$22)^$M$21)))*($M$19-$M$20))</f>
        <v>0</v>
      </c>
      <c r="O26" s="196">
        <f>PIAG*(1/$M$7*($M$22/(1-(1/(1+$M$22)^$M$21)))*($M$19-$M$20))</f>
        <v>0</v>
      </c>
      <c r="P26" s="147"/>
    </row>
    <row r="27" spans="1:16">
      <c r="A27" s="131"/>
      <c r="B27" s="36" t="s">
        <v>45</v>
      </c>
      <c r="C27" s="36"/>
      <c r="D27" s="36"/>
      <c r="E27" s="225" t="s">
        <v>12</v>
      </c>
      <c r="F27" s="36"/>
      <c r="G27" s="36"/>
      <c r="H27" s="36"/>
      <c r="I27" s="36"/>
      <c r="J27" s="36"/>
      <c r="K27" s="36"/>
      <c r="L27" s="36"/>
      <c r="M27" s="36"/>
      <c r="N27" s="36"/>
      <c r="O27" s="196">
        <f>PIAG*(1/$N$7*($N$22/(1-(1/(1+$N$22)^$N$21)))*($N$19-$N$20))</f>
        <v>0</v>
      </c>
      <c r="P27" s="147"/>
    </row>
    <row r="28" spans="1:16">
      <c r="A28" s="131"/>
      <c r="B28" s="36" t="s">
        <v>46</v>
      </c>
      <c r="C28" s="36"/>
      <c r="D28" s="36"/>
      <c r="E28" s="225" t="s">
        <v>12</v>
      </c>
      <c r="F28" s="36"/>
      <c r="G28" s="36"/>
      <c r="H28" s="36"/>
      <c r="I28" s="36"/>
      <c r="J28" s="36"/>
      <c r="K28" s="36"/>
      <c r="L28" s="36"/>
      <c r="M28" s="36"/>
      <c r="N28" s="36"/>
      <c r="O28" s="36"/>
      <c r="P28" s="147"/>
    </row>
    <row r="29" spans="1:16">
      <c r="A29" s="131"/>
      <c r="B29" s="36"/>
      <c r="C29" s="36"/>
      <c r="D29" s="36"/>
      <c r="E29" s="225"/>
      <c r="F29" s="36"/>
      <c r="G29" s="36"/>
      <c r="H29" s="36"/>
      <c r="I29" s="36"/>
      <c r="J29" s="36"/>
      <c r="K29" s="36"/>
      <c r="L29" s="36"/>
      <c r="M29" s="36"/>
      <c r="N29" s="36"/>
      <c r="O29" s="36"/>
      <c r="P29" s="147"/>
    </row>
    <row r="30" spans="1:16">
      <c r="A30" s="178" t="s">
        <v>386</v>
      </c>
      <c r="B30" s="68" t="s">
        <v>172</v>
      </c>
      <c r="C30" s="68"/>
      <c r="D30" s="68"/>
      <c r="E30" s="69" t="s">
        <v>12</v>
      </c>
      <c r="F30" s="36"/>
      <c r="G30" s="36"/>
      <c r="H30" s="36"/>
      <c r="I30" s="36"/>
      <c r="J30" s="36"/>
      <c r="K30" s="197">
        <f>SUM(K24:K28)</f>
        <v>0</v>
      </c>
      <c r="L30" s="197">
        <f>SUM(L24:L28)</f>
        <v>0</v>
      </c>
      <c r="M30" s="197">
        <f>SUM(M24:M28)</f>
        <v>0</v>
      </c>
      <c r="N30" s="197">
        <f>SUM(N24:N28)</f>
        <v>0</v>
      </c>
      <c r="O30" s="197">
        <f>SUM(O24:O28)</f>
        <v>0</v>
      </c>
      <c r="P30" s="147" t="s">
        <v>172</v>
      </c>
    </row>
    <row r="31" spans="1:16">
      <c r="A31" s="131"/>
      <c r="B31" s="36"/>
      <c r="C31" s="36"/>
      <c r="D31" s="36"/>
      <c r="E31" s="225"/>
      <c r="F31" s="36"/>
      <c r="G31" s="36"/>
      <c r="H31" s="36"/>
      <c r="I31" s="36"/>
      <c r="J31" s="36"/>
      <c r="K31" s="36"/>
      <c r="L31" s="36"/>
      <c r="M31" s="36"/>
      <c r="N31" s="36"/>
      <c r="O31" s="36"/>
      <c r="P31" s="147"/>
    </row>
    <row r="32" spans="1:16" ht="15">
      <c r="A32" s="24" t="s">
        <v>387</v>
      </c>
      <c r="B32" s="36"/>
      <c r="C32" s="36"/>
      <c r="D32" s="36"/>
      <c r="E32" s="225"/>
      <c r="F32" s="36"/>
      <c r="G32" s="36"/>
      <c r="H32" s="36"/>
      <c r="I32" s="36"/>
      <c r="J32" s="36"/>
      <c r="K32" s="36"/>
      <c r="L32" s="36"/>
      <c r="M32" s="36"/>
      <c r="N32" s="36"/>
      <c r="O32" s="36"/>
      <c r="P32" s="147"/>
    </row>
    <row r="33" spans="1:17">
      <c r="A33" s="5" t="s">
        <v>357</v>
      </c>
      <c r="B33" s="36"/>
      <c r="C33" s="36"/>
      <c r="D33" s="36"/>
      <c r="E33" s="225" t="s">
        <v>8</v>
      </c>
      <c r="F33" s="36"/>
      <c r="G33" s="36"/>
      <c r="H33" s="36"/>
      <c r="I33" s="36"/>
      <c r="J33" s="36"/>
      <c r="K33" s="167">
        <f>PIAO</f>
        <v>1.0762409665139998</v>
      </c>
      <c r="L33" s="167">
        <f>PIAO</f>
        <v>1.1267166678435063</v>
      </c>
      <c r="M33" s="167">
        <f>PIAO</f>
        <v>1.1850805912378</v>
      </c>
      <c r="N33" s="167">
        <f>PIAO</f>
        <v>1.1850805912378</v>
      </c>
      <c r="O33" s="167">
        <f>PIAO</f>
        <v>1.1850805912378</v>
      </c>
      <c r="P33" s="147" t="s">
        <v>169</v>
      </c>
    </row>
    <row r="34" spans="1:17">
      <c r="A34" s="394" t="s">
        <v>388</v>
      </c>
      <c r="B34" s="395"/>
      <c r="C34" s="36"/>
      <c r="D34" s="36"/>
      <c r="E34" s="225" t="s">
        <v>111</v>
      </c>
      <c r="F34" s="36"/>
      <c r="G34" s="36"/>
      <c r="H34" s="36"/>
      <c r="I34" s="36"/>
      <c r="J34" s="36"/>
      <c r="K34" s="195">
        <f>gor</f>
        <v>1000</v>
      </c>
      <c r="L34" s="195">
        <f>gor</f>
        <v>1000</v>
      </c>
      <c r="M34" s="195">
        <f>gor</f>
        <v>1000</v>
      </c>
      <c r="N34" s="195">
        <f>gor</f>
        <v>1000</v>
      </c>
      <c r="O34" s="195">
        <f>gor</f>
        <v>1000</v>
      </c>
      <c r="P34" s="147" t="s">
        <v>281</v>
      </c>
    </row>
    <row r="35" spans="1:17">
      <c r="A35" s="394" t="s">
        <v>370</v>
      </c>
      <c r="B35" s="395"/>
      <c r="C35" s="36"/>
      <c r="D35" s="36"/>
      <c r="E35" s="225" t="s">
        <v>29</v>
      </c>
      <c r="F35" s="36"/>
      <c r="G35" s="36"/>
      <c r="H35" s="36"/>
      <c r="I35" s="36"/>
      <c r="J35" s="36"/>
      <c r="K35" s="190">
        <f>gc</f>
        <v>0</v>
      </c>
      <c r="L35" s="190">
        <f>gc</f>
        <v>0</v>
      </c>
      <c r="M35" s="190">
        <f>gc</f>
        <v>0</v>
      </c>
      <c r="N35" s="190">
        <f>gc</f>
        <v>0</v>
      </c>
      <c r="O35" s="190">
        <f>gc</f>
        <v>0</v>
      </c>
      <c r="P35" s="147" t="s">
        <v>371</v>
      </c>
    </row>
    <row r="36" spans="1:17">
      <c r="A36" s="392" t="s">
        <v>387</v>
      </c>
      <c r="B36" s="393"/>
      <c r="C36" s="36"/>
      <c r="D36" s="36"/>
      <c r="E36" s="225" t="s">
        <v>12</v>
      </c>
      <c r="F36" s="36"/>
      <c r="G36" s="36"/>
      <c r="H36" s="36"/>
      <c r="I36" s="36"/>
      <c r="J36" s="36"/>
      <c r="K36" s="196">
        <f>(PIAO*gor*gc)/1000000</f>
        <v>0</v>
      </c>
      <c r="L36" s="196">
        <f>(PIAO*gor*gc)/1000000</f>
        <v>0</v>
      </c>
      <c r="M36" s="196">
        <f>(PIAO*gor*gc)/1000000</f>
        <v>0</v>
      </c>
      <c r="N36" s="196">
        <f>(PIAO*gor*gc)/1000000</f>
        <v>0</v>
      </c>
      <c r="O36" s="196">
        <f>(PIAO*gor*gc)/1000000</f>
        <v>0</v>
      </c>
      <c r="P36" s="147" t="s">
        <v>173</v>
      </c>
    </row>
    <row r="37" spans="1:17">
      <c r="A37" s="131"/>
      <c r="B37" s="36"/>
      <c r="C37" s="36"/>
      <c r="D37" s="36"/>
      <c r="E37" s="225"/>
      <c r="F37" s="36"/>
      <c r="G37" s="36"/>
      <c r="H37" s="36"/>
      <c r="I37" s="36"/>
      <c r="J37" s="36"/>
      <c r="K37" s="36"/>
      <c r="L37" s="36"/>
      <c r="M37" s="36"/>
      <c r="N37" s="36"/>
      <c r="O37" s="36"/>
      <c r="P37" s="147"/>
    </row>
    <row r="38" spans="1:17" ht="15">
      <c r="A38" s="24" t="s">
        <v>389</v>
      </c>
      <c r="B38" s="36"/>
      <c r="C38" s="36"/>
      <c r="D38" s="36"/>
      <c r="E38" s="225"/>
      <c r="F38" s="36"/>
      <c r="G38" s="36"/>
      <c r="H38" s="36"/>
      <c r="I38" s="36"/>
      <c r="J38" s="36"/>
      <c r="K38" s="36"/>
      <c r="L38" s="36"/>
      <c r="M38" s="36"/>
      <c r="N38" s="36"/>
      <c r="O38" s="36"/>
      <c r="P38" s="147"/>
    </row>
    <row r="39" spans="1:17">
      <c r="A39" s="5" t="s">
        <v>357</v>
      </c>
      <c r="B39" s="36"/>
      <c r="C39" s="36"/>
      <c r="D39" s="36"/>
      <c r="E39" s="225" t="s">
        <v>8</v>
      </c>
      <c r="F39" s="36"/>
      <c r="G39" s="36"/>
      <c r="H39" s="36"/>
      <c r="I39" s="36"/>
      <c r="J39" s="36"/>
      <c r="K39" s="167">
        <f>PIAG</f>
        <v>1</v>
      </c>
      <c r="L39" s="167">
        <f>PIAG</f>
        <v>1.0468999999999999</v>
      </c>
      <c r="M39" s="167">
        <f>PIAG</f>
        <v>1.1011294199999999</v>
      </c>
      <c r="N39" s="167">
        <f>PIAG</f>
        <v>1.1011294199999999</v>
      </c>
      <c r="O39" s="167">
        <f>PIAG</f>
        <v>1.1011294199999999</v>
      </c>
      <c r="P39" s="147" t="s">
        <v>169</v>
      </c>
    </row>
    <row r="40" spans="1:17">
      <c r="A40" s="394" t="s">
        <v>391</v>
      </c>
      <c r="B40" s="395"/>
      <c r="C40" s="36"/>
      <c r="D40" s="36"/>
      <c r="E40" s="225" t="s">
        <v>12</v>
      </c>
      <c r="F40" s="36"/>
      <c r="G40" s="36"/>
      <c r="H40" s="36"/>
      <c r="I40" s="36"/>
      <c r="J40" s="36"/>
      <c r="K40" s="195">
        <f>GLA</f>
        <v>0</v>
      </c>
      <c r="L40" s="195">
        <f>GLA</f>
        <v>0</v>
      </c>
      <c r="M40" s="195">
        <f>GLA</f>
        <v>0</v>
      </c>
      <c r="N40" s="195">
        <f>GLA</f>
        <v>0</v>
      </c>
      <c r="O40" s="195">
        <f>GLA</f>
        <v>0</v>
      </c>
      <c r="P40" s="147" t="s">
        <v>390</v>
      </c>
      <c r="Q40" s="129"/>
    </row>
    <row r="41" spans="1:17">
      <c r="A41" s="392" t="s">
        <v>389</v>
      </c>
      <c r="B41" s="393"/>
      <c r="C41" s="36"/>
      <c r="D41" s="36"/>
      <c r="E41" s="225" t="s">
        <v>12</v>
      </c>
      <c r="F41" s="36"/>
      <c r="G41" s="36"/>
      <c r="H41" s="36"/>
      <c r="I41" s="36"/>
      <c r="J41" s="36"/>
      <c r="K41" s="196">
        <f>PIAG*GLA</f>
        <v>0</v>
      </c>
      <c r="L41" s="196">
        <f>PIAG*GLA</f>
        <v>0</v>
      </c>
      <c r="M41" s="196">
        <f>PIAG*GLA</f>
        <v>0</v>
      </c>
      <c r="N41" s="196">
        <f>PIAG*GLA</f>
        <v>0</v>
      </c>
      <c r="O41" s="196">
        <f>PIAG*GLA</f>
        <v>0</v>
      </c>
      <c r="P41" s="147" t="s">
        <v>178</v>
      </c>
      <c r="Q41" s="129"/>
    </row>
    <row r="42" spans="1:17">
      <c r="A42" s="131"/>
      <c r="B42" s="36"/>
      <c r="C42" s="36"/>
      <c r="D42" s="36"/>
      <c r="E42" s="225"/>
      <c r="F42" s="36"/>
      <c r="G42" s="36"/>
      <c r="H42" s="36"/>
      <c r="I42" s="36"/>
      <c r="J42" s="36"/>
      <c r="K42" s="133"/>
      <c r="L42" s="133"/>
      <c r="M42" s="133"/>
      <c r="N42" s="133"/>
      <c r="O42" s="133"/>
      <c r="P42" s="147"/>
      <c r="Q42" s="129"/>
    </row>
    <row r="43" spans="1:17" ht="15">
      <c r="A43" s="24" t="s">
        <v>271</v>
      </c>
      <c r="B43" s="36"/>
      <c r="C43" s="36"/>
      <c r="D43" s="36"/>
      <c r="E43" s="225"/>
      <c r="F43" s="36"/>
      <c r="G43" s="36"/>
      <c r="H43" s="36"/>
      <c r="I43" s="36"/>
      <c r="J43" s="36"/>
      <c r="K43" s="133"/>
      <c r="L43" s="133"/>
      <c r="M43" s="133"/>
      <c r="N43" s="133"/>
      <c r="O43" s="133"/>
      <c r="P43" s="147"/>
      <c r="Q43" s="129"/>
    </row>
    <row r="44" spans="1:17">
      <c r="A44" s="131" t="s">
        <v>177</v>
      </c>
      <c r="B44" s="36" t="s">
        <v>179</v>
      </c>
      <c r="C44" s="36"/>
      <c r="D44" s="36"/>
      <c r="E44" s="225" t="s">
        <v>12</v>
      </c>
      <c r="F44" s="36"/>
      <c r="G44" s="36"/>
      <c r="H44" s="36"/>
      <c r="I44" s="36"/>
      <c r="J44" s="36"/>
      <c r="K44" s="195">
        <f>IEDA</f>
        <v>0</v>
      </c>
      <c r="L44" s="195">
        <f>IEDA</f>
        <v>0</v>
      </c>
      <c r="M44" s="195">
        <f>IEDA</f>
        <v>0</v>
      </c>
      <c r="N44" s="195">
        <f>IEDA</f>
        <v>0</v>
      </c>
      <c r="O44" s="195">
        <f>IEDA</f>
        <v>0</v>
      </c>
      <c r="P44" s="147" t="s">
        <v>179</v>
      </c>
      <c r="Q44" s="129"/>
    </row>
    <row r="45" spans="1:17">
      <c r="A45" s="131"/>
      <c r="B45" s="36"/>
      <c r="C45" s="36"/>
      <c r="D45" s="36"/>
      <c r="E45" s="225"/>
      <c r="F45" s="36"/>
      <c r="G45" s="36"/>
      <c r="H45" s="36"/>
      <c r="I45" s="36"/>
      <c r="J45" s="36"/>
      <c r="K45" s="133"/>
      <c r="L45" s="133"/>
      <c r="M45" s="133"/>
      <c r="N45" s="133"/>
      <c r="O45" s="133"/>
      <c r="P45" s="147"/>
      <c r="Q45" s="129"/>
    </row>
    <row r="46" spans="1:17" ht="15">
      <c r="A46" s="24" t="s">
        <v>175</v>
      </c>
      <c r="B46" s="36"/>
      <c r="C46" s="36"/>
      <c r="D46" s="36"/>
      <c r="E46" s="225"/>
      <c r="F46" s="36"/>
      <c r="G46" s="36"/>
      <c r="H46" s="36"/>
      <c r="I46" s="36"/>
      <c r="J46" s="36"/>
      <c r="K46" s="134"/>
      <c r="L46" s="134"/>
      <c r="M46" s="134"/>
      <c r="N46" s="134"/>
      <c r="O46" s="134"/>
      <c r="P46" s="147"/>
    </row>
    <row r="47" spans="1:17">
      <c r="A47" s="5" t="s">
        <v>357</v>
      </c>
      <c r="B47" s="36"/>
      <c r="C47" s="36"/>
      <c r="D47" s="36"/>
      <c r="E47" s="225" t="s">
        <v>8</v>
      </c>
      <c r="F47" s="36"/>
      <c r="G47" s="36"/>
      <c r="H47" s="36"/>
      <c r="I47" s="36"/>
      <c r="J47" s="36"/>
      <c r="K47" s="167">
        <f>PIAG</f>
        <v>1</v>
      </c>
      <c r="L47" s="167">
        <f>PIAG</f>
        <v>1.0468999999999999</v>
      </c>
      <c r="M47" s="167">
        <f>PIAG</f>
        <v>1.1011294199999999</v>
      </c>
      <c r="N47" s="167">
        <f>PIAG</f>
        <v>1.1011294199999999</v>
      </c>
      <c r="O47" s="167">
        <f>PIAG</f>
        <v>1.1011294199999999</v>
      </c>
      <c r="P47" s="147" t="s">
        <v>169</v>
      </c>
    </row>
    <row r="48" spans="1:17">
      <c r="A48" s="5" t="s">
        <v>393</v>
      </c>
      <c r="B48" s="36"/>
      <c r="C48" s="36"/>
      <c r="D48" s="36"/>
      <c r="E48" s="225" t="s">
        <v>12</v>
      </c>
      <c r="F48" s="36"/>
      <c r="G48" s="36"/>
      <c r="H48" s="36"/>
      <c r="I48" s="36"/>
      <c r="J48" s="36"/>
      <c r="K48" s="195">
        <f>RPZM</f>
        <v>0.5</v>
      </c>
      <c r="L48" s="195">
        <f>RPZM</f>
        <v>0.5</v>
      </c>
      <c r="M48" s="195">
        <f>RPZM</f>
        <v>0.5</v>
      </c>
      <c r="N48" s="195">
        <f>RPZM</f>
        <v>0.5</v>
      </c>
      <c r="O48" s="195">
        <f>RPZM</f>
        <v>0.5</v>
      </c>
      <c r="P48" s="147" t="s">
        <v>124</v>
      </c>
    </row>
    <row r="49" spans="1:16">
      <c r="A49" s="131" t="s">
        <v>394</v>
      </c>
      <c r="B49" s="36"/>
      <c r="C49" s="36"/>
      <c r="D49" s="36"/>
      <c r="E49" s="225" t="s">
        <v>111</v>
      </c>
      <c r="F49" s="36"/>
      <c r="G49" s="36"/>
      <c r="H49" s="36"/>
      <c r="I49" s="36"/>
      <c r="J49" s="36"/>
      <c r="K49" s="195">
        <f>giz</f>
        <v>3450</v>
      </c>
      <c r="L49" s="195">
        <f>giz</f>
        <v>3450</v>
      </c>
      <c r="M49" s="195">
        <f>giz</f>
        <v>3450</v>
      </c>
      <c r="N49" s="195">
        <f>giz</f>
        <v>3450</v>
      </c>
      <c r="O49" s="195">
        <f>giz</f>
        <v>3450</v>
      </c>
      <c r="P49" s="147" t="s">
        <v>123</v>
      </c>
    </row>
    <row r="50" spans="1:16">
      <c r="A50" s="131" t="s">
        <v>395</v>
      </c>
      <c r="B50" s="36"/>
      <c r="C50" s="36"/>
      <c r="D50" s="36"/>
      <c r="E50" s="225" t="s">
        <v>29</v>
      </c>
      <c r="F50" s="36"/>
      <c r="G50" s="36"/>
      <c r="H50" s="36"/>
      <c r="I50" s="36"/>
      <c r="J50" s="36"/>
      <c r="K50" s="195">
        <f>gcz</f>
        <v>0</v>
      </c>
      <c r="L50" s="195">
        <f>gcz</f>
        <v>0</v>
      </c>
      <c r="M50" s="195">
        <f>gcz</f>
        <v>0</v>
      </c>
      <c r="N50" s="195">
        <f>gcz</f>
        <v>0</v>
      </c>
      <c r="O50" s="195">
        <f>gcz</f>
        <v>0</v>
      </c>
      <c r="P50" s="147" t="s">
        <v>32</v>
      </c>
    </row>
    <row r="51" spans="1:16">
      <c r="A51" s="392" t="s">
        <v>392</v>
      </c>
      <c r="B51" s="393"/>
      <c r="C51" s="36"/>
      <c r="D51" s="36"/>
      <c r="E51" s="225" t="s">
        <v>12</v>
      </c>
      <c r="F51" s="36"/>
      <c r="G51" s="36"/>
      <c r="H51" s="36"/>
      <c r="I51" s="36"/>
      <c r="J51" s="36"/>
      <c r="K51" s="196">
        <f>PIAG*MIN(RPZM,(giz*gcz)/1000000)</f>
        <v>0</v>
      </c>
      <c r="L51" s="196">
        <f>PIAG*MIN(RPZM,(giz*gcz)/1000000)</f>
        <v>0</v>
      </c>
      <c r="M51" s="196">
        <f>PIAG*MIN(RPZM,(giz*gcz)/1000000)</f>
        <v>0</v>
      </c>
      <c r="N51" s="196">
        <f>PIAG*MIN(RPZM,(giz*gcz)/1000000)</f>
        <v>0</v>
      </c>
      <c r="O51" s="196">
        <f>PIAG*MIN(RPZM,(giz*gcz)/1000000)</f>
        <v>0</v>
      </c>
      <c r="P51" s="147" t="s">
        <v>122</v>
      </c>
    </row>
    <row r="52" spans="1:16">
      <c r="A52" s="131"/>
      <c r="B52" s="36"/>
      <c r="C52" s="36"/>
      <c r="D52" s="36"/>
      <c r="E52" s="225"/>
      <c r="F52" s="36"/>
      <c r="G52" s="36"/>
      <c r="H52" s="36"/>
      <c r="I52" s="36"/>
      <c r="J52" s="36"/>
      <c r="K52" s="36"/>
      <c r="L52" s="36"/>
      <c r="M52" s="36"/>
      <c r="N52" s="36"/>
      <c r="O52" s="36"/>
      <c r="P52" s="147"/>
    </row>
    <row r="53" spans="1:16" ht="15">
      <c r="A53" s="24" t="s">
        <v>398</v>
      </c>
      <c r="B53" s="37"/>
      <c r="C53" s="37"/>
      <c r="D53" s="37"/>
      <c r="E53" s="232" t="s">
        <v>12</v>
      </c>
      <c r="F53" s="37"/>
      <c r="G53" s="37"/>
      <c r="H53" s="37"/>
      <c r="I53" s="37"/>
      <c r="K53" s="197">
        <f>GI+GP+GO+GL+IEDA+RPZ</f>
        <v>0</v>
      </c>
      <c r="L53" s="197">
        <f>GI+GP+GO+GL+IEDA+RPZ</f>
        <v>0</v>
      </c>
      <c r="M53" s="197">
        <f>GI+GP+GO+GL+IEDA+RPZ</f>
        <v>0</v>
      </c>
      <c r="N53" s="197">
        <f>GI+GP+GO+GL+IEDA+RPZ</f>
        <v>0</v>
      </c>
      <c r="O53" s="197">
        <f>GI+GP+GO+GL+IEDA+RPZ</f>
        <v>0</v>
      </c>
      <c r="P53" s="210" t="s">
        <v>174</v>
      </c>
    </row>
    <row r="54" spans="1:16" s="37" customFormat="1">
      <c r="A54" s="209"/>
      <c r="E54" s="227"/>
      <c r="P54" s="147"/>
    </row>
    <row r="55" spans="1:16" s="37" customFormat="1" hidden="1">
      <c r="A55" s="209"/>
      <c r="E55" s="227"/>
      <c r="P55" s="147"/>
    </row>
    <row r="56" spans="1:16" s="37" customFormat="1" hidden="1">
      <c r="A56" s="209"/>
      <c r="E56" s="227"/>
      <c r="P56" s="147"/>
    </row>
    <row r="57" spans="1:16" s="37" customFormat="1" hidden="1">
      <c r="A57" s="209"/>
      <c r="E57" s="227"/>
      <c r="P57" s="147"/>
    </row>
    <row r="58" spans="1:16" s="37" customFormat="1" hidden="1">
      <c r="A58" s="209"/>
      <c r="E58" s="227"/>
      <c r="P58" s="147"/>
    </row>
    <row r="59" spans="1:16" s="37" customFormat="1" hidden="1">
      <c r="A59" s="209"/>
      <c r="E59" s="227"/>
      <c r="P59" s="147"/>
    </row>
    <row r="60" spans="1:16" s="37" customFormat="1" hidden="1">
      <c r="A60" s="209"/>
      <c r="E60" s="227"/>
      <c r="P60" s="147"/>
    </row>
    <row r="61" spans="1:16" s="37" customFormat="1" hidden="1">
      <c r="A61" s="209"/>
      <c r="E61" s="227"/>
      <c r="P61" s="147"/>
    </row>
    <row r="62" spans="1:16" s="37" customFormat="1" hidden="1">
      <c r="A62" s="209"/>
      <c r="E62" s="227"/>
      <c r="P62" s="147"/>
    </row>
    <row r="63" spans="1:16" s="37" customFormat="1" hidden="1">
      <c r="A63" s="209"/>
      <c r="E63" s="227"/>
      <c r="P63" s="147"/>
    </row>
    <row r="64" spans="1:16" s="37" customFormat="1" hidden="1">
      <c r="A64" s="209"/>
      <c r="E64" s="227"/>
      <c r="P64" s="147"/>
    </row>
    <row r="65" spans="1:16" s="37" customFormat="1" hidden="1">
      <c r="A65" s="209"/>
      <c r="E65" s="227"/>
      <c r="P65" s="147"/>
    </row>
    <row r="66" spans="1:16" s="37" customFormat="1" hidden="1">
      <c r="E66" s="227"/>
      <c r="P66" s="147"/>
    </row>
    <row r="67" spans="1:16" s="37" customFormat="1" hidden="1">
      <c r="E67" s="227"/>
      <c r="P67" s="147"/>
    </row>
    <row r="68" spans="1:16" s="37" customFormat="1" hidden="1">
      <c r="E68" s="227"/>
      <c r="P68" s="147"/>
    </row>
    <row r="69" spans="1:16" s="37" customFormat="1" hidden="1">
      <c r="E69" s="227"/>
      <c r="P69" s="147"/>
    </row>
    <row r="70" spans="1:16" s="37" customFormat="1" hidden="1">
      <c r="E70" s="227"/>
      <c r="P70" s="147"/>
    </row>
    <row r="71" spans="1:16" s="37" customFormat="1" hidden="1">
      <c r="E71" s="227"/>
      <c r="P71" s="147"/>
    </row>
    <row r="72" spans="1:16" s="37" customFormat="1" hidden="1">
      <c r="E72" s="227"/>
      <c r="P72" s="147"/>
    </row>
    <row r="73" spans="1:16" s="37" customFormat="1" hidden="1">
      <c r="E73" s="227"/>
      <c r="P73" s="147"/>
    </row>
    <row r="74" spans="1:16" s="37" customFormat="1" hidden="1">
      <c r="E74" s="227"/>
      <c r="P74" s="147"/>
    </row>
    <row r="75" spans="1:16" s="37" customFormat="1" hidden="1">
      <c r="E75" s="227"/>
      <c r="P75" s="147"/>
    </row>
    <row r="76" spans="1:16" s="37" customFormat="1" hidden="1">
      <c r="E76" s="227"/>
      <c r="P76" s="147"/>
    </row>
    <row r="77" spans="1:16" s="37" customFormat="1" hidden="1">
      <c r="E77" s="227"/>
      <c r="P77" s="147"/>
    </row>
    <row r="78" spans="1:16" s="37" customFormat="1" hidden="1">
      <c r="E78" s="227"/>
      <c r="P78" s="147"/>
    </row>
    <row r="79" spans="1:16" s="37" customFormat="1" hidden="1">
      <c r="E79" s="227"/>
      <c r="P79" s="147"/>
    </row>
    <row r="80" spans="1:16" s="37" customFormat="1" hidden="1">
      <c r="E80" s="227"/>
      <c r="P80" s="147"/>
    </row>
    <row r="81" spans="5:16" s="37" customFormat="1" hidden="1">
      <c r="E81" s="227"/>
      <c r="P81" s="147"/>
    </row>
    <row r="82" spans="5:16" s="37" customFormat="1" hidden="1">
      <c r="E82" s="227"/>
      <c r="P82" s="147"/>
    </row>
    <row r="83" spans="5:16" s="37" customFormat="1" hidden="1">
      <c r="E83" s="227"/>
      <c r="P83" s="147"/>
    </row>
    <row r="84" spans="5:16" s="37" customFormat="1" hidden="1">
      <c r="E84" s="227"/>
      <c r="P84" s="147"/>
    </row>
    <row r="85" spans="5:16" s="37" customFormat="1" hidden="1">
      <c r="E85" s="227"/>
      <c r="P85" s="147"/>
    </row>
    <row r="86" spans="5:16" s="37" customFormat="1" hidden="1">
      <c r="E86" s="227"/>
      <c r="P86" s="147"/>
    </row>
    <row r="87" spans="5:16" s="37" customFormat="1" hidden="1">
      <c r="E87" s="227"/>
      <c r="P87" s="147"/>
    </row>
    <row r="88" spans="5:16" s="37" customFormat="1" hidden="1">
      <c r="E88" s="227"/>
      <c r="P88" s="147"/>
    </row>
    <row r="89" spans="5:16" s="37" customFormat="1" hidden="1">
      <c r="E89" s="227"/>
      <c r="P89" s="147"/>
    </row>
    <row r="90" spans="5:16" s="37" customFormat="1" hidden="1">
      <c r="E90" s="227"/>
      <c r="P90" s="147"/>
    </row>
    <row r="91" spans="5:16" s="37" customFormat="1" hidden="1">
      <c r="E91" s="227"/>
      <c r="P91" s="147"/>
    </row>
    <row r="92" spans="5:16" s="37" customFormat="1" hidden="1">
      <c r="E92" s="227"/>
      <c r="P92" s="147"/>
    </row>
    <row r="93" spans="5:16" s="37" customFormat="1" hidden="1">
      <c r="E93" s="227"/>
      <c r="P93" s="147"/>
    </row>
    <row r="94" spans="5:16" s="37" customFormat="1" hidden="1">
      <c r="E94" s="227"/>
      <c r="P94" s="147"/>
    </row>
    <row r="95" spans="5:16" s="37" customFormat="1" hidden="1">
      <c r="E95" s="227"/>
      <c r="P95" s="147"/>
    </row>
    <row r="96" spans="5:16" s="37" customFormat="1" hidden="1">
      <c r="E96" s="227"/>
      <c r="P96" s="147"/>
    </row>
    <row r="97" spans="5:16" s="37" customFormat="1" hidden="1">
      <c r="E97" s="227"/>
      <c r="P97" s="147"/>
    </row>
    <row r="98" spans="5:16" s="37" customFormat="1" hidden="1">
      <c r="E98" s="227"/>
      <c r="P98" s="147"/>
    </row>
    <row r="99" spans="5:16" s="37" customFormat="1" hidden="1">
      <c r="E99" s="227"/>
      <c r="P99" s="147"/>
    </row>
    <row r="100" spans="5:16" s="37" customFormat="1" hidden="1">
      <c r="E100" s="227"/>
      <c r="P100" s="147"/>
    </row>
    <row r="101" spans="5:16" s="37" customFormat="1" hidden="1">
      <c r="E101" s="227"/>
      <c r="P101" s="147"/>
    </row>
    <row r="102" spans="5:16" s="37" customFormat="1" hidden="1">
      <c r="E102" s="227"/>
      <c r="P102" s="147"/>
    </row>
    <row r="103" spans="5:16" s="37" customFormat="1" hidden="1">
      <c r="E103" s="227"/>
      <c r="P103" s="147"/>
    </row>
    <row r="104" spans="5:16" hidden="1"/>
  </sheetData>
  <sheetProtection password="E1CD" sheet="1" objects="1" scenarios="1" formatCells="0" formatColumns="0" formatRows="0" insertHyperlinks="0" autoFilter="0" pivotTables="0"/>
  <mergeCells count="7">
    <mergeCell ref="K3:M3"/>
    <mergeCell ref="A51:B51"/>
    <mergeCell ref="A41:B41"/>
    <mergeCell ref="A35:B35"/>
    <mergeCell ref="A34:B34"/>
    <mergeCell ref="A36:B36"/>
    <mergeCell ref="A40:B40"/>
  </mergeCells>
  <pageMargins left="0.70866141732283472" right="0.51181102362204722" top="0.55118110236220474" bottom="0.74803149606299213" header="0.11811023622047245" footer="0.11811023622047245"/>
  <pageSetup paperSize="8" fitToHeight="0" orientation="landscape" r:id="rId1"/>
  <headerFooter>
    <oddHeader>&amp;C&amp;A</oddHeader>
    <oddFooter>&amp;L&amp;D &amp;T&amp;C&amp;Z&amp;F&amp;R&amp;A</oddFooter>
  </headerFooter>
</worksheet>
</file>

<file path=xl/worksheets/sheet15.xml><?xml version="1.0" encoding="utf-8"?>
<worksheet xmlns="http://schemas.openxmlformats.org/spreadsheetml/2006/main" xmlns:r="http://schemas.openxmlformats.org/officeDocument/2006/relationships">
  <sheetPr codeName="Sheet15">
    <tabColor rgb="FFCCFFCC"/>
    <pageSetUpPr fitToPage="1"/>
  </sheetPr>
  <dimension ref="A1:R69"/>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J12" sqref="J12"/>
    </sheetView>
  </sheetViews>
  <sheetFormatPr defaultColWidth="0" defaultRowHeight="12.75" zeroHeight="1"/>
  <cols>
    <col min="1" max="1" width="43.625" style="31" customWidth="1"/>
    <col min="2" max="2" width="7.625" style="31" customWidth="1"/>
    <col min="3" max="4" width="1.125" style="31" customWidth="1"/>
    <col min="5" max="5" width="5.75" style="211" bestFit="1" customWidth="1"/>
    <col min="6" max="10" width="0.75" style="31" customWidth="1"/>
    <col min="11" max="15" width="10.625" style="31" customWidth="1"/>
    <col min="16" max="16" width="11.625" style="31" customWidth="1"/>
    <col min="17" max="17" width="9" style="31" hidden="1" customWidth="1"/>
    <col min="18" max="18" width="0" style="31" hidden="1" customWidth="1"/>
    <col min="19" max="16384" width="9" style="31" hidden="1"/>
  </cols>
  <sheetData>
    <row r="1" spans="1:16" s="20" customFormat="1" ht="15">
      <c r="A1" s="120" t="s">
        <v>490</v>
      </c>
      <c r="E1" s="154"/>
    </row>
    <row r="2" spans="1:16" s="20" customFormat="1" ht="15">
      <c r="A2" s="120" t="str">
        <f>COMPNAME</f>
        <v>Company Name of Electricity Distribution Network Operator Limited</v>
      </c>
      <c r="E2" s="154"/>
      <c r="F2" s="125"/>
      <c r="G2" s="125"/>
      <c r="H2" s="125"/>
      <c r="I2" s="125"/>
      <c r="J2" s="125"/>
      <c r="K2" s="125"/>
      <c r="L2" s="125"/>
      <c r="M2" s="125"/>
      <c r="N2" s="125"/>
      <c r="O2" s="125"/>
      <c r="P2" s="126"/>
    </row>
    <row r="3" spans="1:16" s="20" customFormat="1">
      <c r="A3" s="155" t="str">
        <f>'R5 Input page'!K8</f>
        <v>Regulatory Year ending 31 March 2012</v>
      </c>
      <c r="E3" s="154"/>
      <c r="K3" s="396" t="s">
        <v>645</v>
      </c>
      <c r="L3" s="396"/>
      <c r="M3" s="396"/>
      <c r="N3" s="125"/>
      <c r="O3" s="125"/>
      <c r="P3" s="127"/>
    </row>
    <row r="4" spans="1:16" s="9" customFormat="1">
      <c r="A4" s="31"/>
      <c r="B4" s="31"/>
      <c r="C4" s="31"/>
      <c r="D4" s="20"/>
      <c r="E4" s="128" t="s">
        <v>5</v>
      </c>
      <c r="F4" s="20"/>
      <c r="G4" s="20"/>
      <c r="H4" s="20"/>
      <c r="I4" s="20"/>
      <c r="J4" s="20"/>
      <c r="K4" s="125">
        <v>2011</v>
      </c>
      <c r="L4" s="125">
        <v>2012</v>
      </c>
      <c r="M4" s="125">
        <v>2013</v>
      </c>
      <c r="N4" s="125">
        <v>2014</v>
      </c>
      <c r="O4" s="125">
        <v>2015</v>
      </c>
      <c r="P4" s="126" t="s">
        <v>6</v>
      </c>
    </row>
    <row r="5" spans="1:16" s="9" customFormat="1" ht="15">
      <c r="A5" s="24" t="s">
        <v>26</v>
      </c>
      <c r="B5" s="20"/>
      <c r="C5" s="20"/>
      <c r="D5" s="20"/>
      <c r="E5" s="154"/>
      <c r="F5" s="20"/>
      <c r="G5" s="20"/>
      <c r="H5" s="20"/>
      <c r="I5" s="20"/>
      <c r="J5" s="20"/>
      <c r="K5" s="20"/>
      <c r="L5" s="20"/>
      <c r="M5" s="20"/>
      <c r="N5" s="20"/>
      <c r="O5" s="31"/>
      <c r="P5" s="127"/>
    </row>
    <row r="6" spans="1:16" s="9" customFormat="1" ht="14.25">
      <c r="A6" s="156" t="s">
        <v>410</v>
      </c>
      <c r="B6" s="123" t="s">
        <v>505</v>
      </c>
      <c r="C6" s="31"/>
      <c r="D6" s="20"/>
      <c r="E6" s="154" t="s">
        <v>12</v>
      </c>
      <c r="F6" s="20"/>
      <c r="G6" s="20"/>
      <c r="H6" s="20"/>
      <c r="I6" s="20"/>
      <c r="J6" s="20"/>
      <c r="K6" s="195">
        <f>RD</f>
        <v>0</v>
      </c>
      <c r="L6" s="195">
        <f>RD</f>
        <v>0</v>
      </c>
      <c r="M6" s="195">
        <f>RD</f>
        <v>0</v>
      </c>
      <c r="N6" s="195">
        <f>RD</f>
        <v>0</v>
      </c>
      <c r="O6" s="195">
        <f>RD</f>
        <v>0</v>
      </c>
      <c r="P6" s="127" t="s">
        <v>411</v>
      </c>
    </row>
    <row r="7" spans="1:16" s="9" customFormat="1" ht="14.25">
      <c r="A7" s="157"/>
      <c r="B7" s="123" t="s">
        <v>506</v>
      </c>
      <c r="C7" s="31"/>
      <c r="D7" s="20"/>
      <c r="E7" s="154" t="s">
        <v>12</v>
      </c>
      <c r="F7" s="20"/>
      <c r="G7" s="20"/>
      <c r="H7" s="20"/>
      <c r="I7" s="20"/>
      <c r="J7" s="20"/>
      <c r="K7" s="195">
        <f>RDt_1_2010_11</f>
        <v>0</v>
      </c>
      <c r="L7" s="196">
        <f>K6</f>
        <v>0</v>
      </c>
      <c r="M7" s="196">
        <f t="shared" ref="M7:O9" si="0">L6</f>
        <v>0</v>
      </c>
      <c r="N7" s="196">
        <f t="shared" si="0"/>
        <v>0</v>
      </c>
      <c r="O7" s="196">
        <f t="shared" si="0"/>
        <v>0</v>
      </c>
      <c r="P7" s="127" t="s">
        <v>546</v>
      </c>
    </row>
    <row r="8" spans="1:16" s="9" customFormat="1" ht="14.25">
      <c r="A8" s="20" t="s">
        <v>282</v>
      </c>
      <c r="B8" s="123" t="s">
        <v>614</v>
      </c>
      <c r="C8" s="31"/>
      <c r="D8" s="20"/>
      <c r="E8" s="154" t="s">
        <v>12</v>
      </c>
      <c r="F8" s="20"/>
      <c r="G8" s="20"/>
      <c r="H8" s="20"/>
      <c r="I8" s="20"/>
      <c r="J8" s="20"/>
      <c r="K8" s="195">
        <f>ARt</f>
        <v>0</v>
      </c>
      <c r="L8" s="195">
        <f>ARt</f>
        <v>0</v>
      </c>
      <c r="M8" s="195">
        <f>ARt</f>
        <v>0</v>
      </c>
      <c r="N8" s="195">
        <f>ARt</f>
        <v>0</v>
      </c>
      <c r="O8" s="195">
        <f>ARt</f>
        <v>0</v>
      </c>
      <c r="P8" s="127" t="s">
        <v>619</v>
      </c>
    </row>
    <row r="9" spans="1:16" s="9" customFormat="1" ht="14.25">
      <c r="A9" s="20"/>
      <c r="B9" s="123" t="s">
        <v>615</v>
      </c>
      <c r="C9" s="31"/>
      <c r="D9" s="20"/>
      <c r="E9" s="154" t="s">
        <v>12</v>
      </c>
      <c r="F9" s="20"/>
      <c r="G9" s="20"/>
      <c r="H9" s="20"/>
      <c r="I9" s="20"/>
      <c r="J9" s="20"/>
      <c r="K9" s="195">
        <f>ARt_1_2010_11</f>
        <v>0</v>
      </c>
      <c r="L9" s="196">
        <f>K8</f>
        <v>0</v>
      </c>
      <c r="M9" s="196">
        <f t="shared" si="0"/>
        <v>0</v>
      </c>
      <c r="N9" s="196">
        <f t="shared" si="0"/>
        <v>0</v>
      </c>
      <c r="O9" s="196">
        <f t="shared" si="0"/>
        <v>0</v>
      </c>
      <c r="P9" s="127" t="s">
        <v>618</v>
      </c>
    </row>
    <row r="10" spans="1:16" s="9" customFormat="1">
      <c r="A10" s="20" t="s">
        <v>146</v>
      </c>
      <c r="B10" s="31"/>
      <c r="C10" s="31"/>
      <c r="D10" s="20"/>
      <c r="E10" s="154" t="s">
        <v>12</v>
      </c>
      <c r="F10" s="20"/>
      <c r="G10" s="20"/>
      <c r="H10" s="20"/>
      <c r="I10" s="20"/>
      <c r="J10" s="20"/>
      <c r="K10" s="195">
        <f>RDt_1-ARt_1</f>
        <v>0</v>
      </c>
      <c r="L10" s="195">
        <f>RDt_1-ARt_1</f>
        <v>0</v>
      </c>
      <c r="M10" s="195">
        <f>RDt_1-ARt_1</f>
        <v>0</v>
      </c>
      <c r="N10" s="195">
        <f>RDt_1-ARt_1</f>
        <v>0</v>
      </c>
      <c r="O10" s="195">
        <f>RDt_1-ARt_1</f>
        <v>0</v>
      </c>
      <c r="P10" s="127"/>
    </row>
    <row r="11" spans="1:16" s="9" customFormat="1" ht="14.25">
      <c r="A11" s="124" t="s">
        <v>143</v>
      </c>
      <c r="B11" s="123" t="s">
        <v>251</v>
      </c>
      <c r="C11" s="31"/>
      <c r="D11" s="20"/>
      <c r="E11" s="204" t="s">
        <v>8</v>
      </c>
      <c r="F11" s="124"/>
      <c r="G11" s="124"/>
      <c r="H11" s="124"/>
      <c r="I11" s="124"/>
      <c r="J11" s="124"/>
      <c r="K11" s="201">
        <f>Int_rate</f>
        <v>5.0000000000000001E-3</v>
      </c>
      <c r="L11" s="201">
        <f>Int_rate</f>
        <v>5.0000000000000001E-3</v>
      </c>
      <c r="M11" s="201">
        <f>Int_rate</f>
        <v>0</v>
      </c>
      <c r="N11" s="201">
        <f>Int_rate</f>
        <v>0</v>
      </c>
      <c r="O11" s="201">
        <f>Int_rate</f>
        <v>0</v>
      </c>
      <c r="P11" s="127" t="s">
        <v>9</v>
      </c>
    </row>
    <row r="12" spans="1:16" s="9" customFormat="1" ht="14.25">
      <c r="A12" s="20" t="s">
        <v>144</v>
      </c>
      <c r="B12" s="123" t="s">
        <v>252</v>
      </c>
      <c r="C12" s="31"/>
      <c r="D12" s="20"/>
      <c r="E12" s="154" t="s">
        <v>8</v>
      </c>
      <c r="F12" s="20"/>
      <c r="G12" s="20"/>
      <c r="H12" s="20"/>
      <c r="I12" s="20"/>
      <c r="J12" s="20"/>
      <c r="K12" s="206">
        <f>IF(K7&gt;1.03*K9,'R4 Licence Condition Values'!$K$39,IF(K7&lt;0.97*K9,'R4 Licence Condition Values'!$K$42,'R4 Licence Condition Values'!$K$40))</f>
        <v>1.4999999999999999E-2</v>
      </c>
      <c r="L12" s="206">
        <f>IF(L7&gt;1.03*L9,'R4 Licence Condition Values'!$K$39,IF(L7&lt;0.97*L9,'R4 Licence Condition Values'!$K$42,'R4 Licence Condition Values'!$K$40))</f>
        <v>1.4999999999999999E-2</v>
      </c>
      <c r="M12" s="206">
        <f>IF(M7&gt;1.03*M9,'R4 Licence Condition Values'!$K$39,IF(M7&lt;0.97*M9,'R4 Licence Condition Values'!$K$42,'R4 Licence Condition Values'!$K$40))</f>
        <v>1.4999999999999999E-2</v>
      </c>
      <c r="N12" s="206">
        <f>IF(N7&gt;1.03*N9,'R4 Licence Condition Values'!$K$39,IF(N7&lt;0.97*N9,'R4 Licence Condition Values'!$K$42,'R4 Licence Condition Values'!$K$40))</f>
        <v>1.4999999999999999E-2</v>
      </c>
      <c r="O12" s="206">
        <f>IF(O7&gt;1.03*O9,'R4 Licence Condition Values'!$K$39,IF(O7&lt;0.97*O9,'R4 Licence Condition Values'!$K$42,'R4 Licence Condition Values'!$K$40))</f>
        <v>1.4999999999999999E-2</v>
      </c>
      <c r="P12" s="127" t="s">
        <v>142</v>
      </c>
    </row>
    <row r="13" spans="1:16" s="9" customFormat="1" ht="14.25">
      <c r="A13" s="124"/>
      <c r="B13" s="123" t="s">
        <v>253</v>
      </c>
      <c r="C13" s="31"/>
      <c r="D13" s="20"/>
      <c r="E13" s="204" t="s">
        <v>8</v>
      </c>
      <c r="F13" s="124"/>
      <c r="G13" s="124"/>
      <c r="H13" s="124"/>
      <c r="I13" s="124"/>
      <c r="J13" s="124"/>
      <c r="K13" s="201">
        <f>Int_rate+PR</f>
        <v>0.02</v>
      </c>
      <c r="L13" s="201">
        <f>Int_rate+PR</f>
        <v>0.02</v>
      </c>
      <c r="M13" s="201">
        <f>Int_rate+PR</f>
        <v>1.4999999999999999E-2</v>
      </c>
      <c r="N13" s="201">
        <f>Int_rate+PR</f>
        <v>1.4999999999999999E-2</v>
      </c>
      <c r="O13" s="201">
        <f>Int_rate+PR</f>
        <v>1.4999999999999999E-2</v>
      </c>
      <c r="P13" s="127"/>
    </row>
    <row r="14" spans="1:16" s="9" customFormat="1" ht="14.25">
      <c r="A14" s="124" t="s">
        <v>26</v>
      </c>
      <c r="B14" s="123" t="s">
        <v>284</v>
      </c>
      <c r="C14" s="31"/>
      <c r="D14" s="20"/>
      <c r="E14" s="204" t="s">
        <v>12</v>
      </c>
      <c r="F14" s="124"/>
      <c r="G14" s="124"/>
      <c r="H14" s="124"/>
      <c r="I14" s="124"/>
      <c r="J14" s="124"/>
      <c r="K14" s="196">
        <f>(K10)*(1+K13)</f>
        <v>0</v>
      </c>
      <c r="L14" s="196">
        <f>(L10)*(1+L13)</f>
        <v>0</v>
      </c>
      <c r="M14" s="196">
        <f>(M10)*(1+M13)</f>
        <v>0</v>
      </c>
      <c r="N14" s="196">
        <f>(N10)*(1+N13)</f>
        <v>0</v>
      </c>
      <c r="O14" s="196">
        <f>(O10)*(1+O13)</f>
        <v>0</v>
      </c>
      <c r="P14" s="127" t="s">
        <v>273</v>
      </c>
    </row>
    <row r="15" spans="1:16" s="9" customFormat="1">
      <c r="A15" s="31"/>
      <c r="B15" s="31"/>
      <c r="C15" s="31"/>
      <c r="D15" s="31"/>
      <c r="E15" s="211"/>
      <c r="F15" s="31"/>
      <c r="G15" s="31"/>
      <c r="H15" s="31"/>
      <c r="I15" s="31"/>
      <c r="J15" s="31"/>
      <c r="K15" s="31"/>
      <c r="L15" s="31"/>
      <c r="M15" s="31"/>
      <c r="N15" s="31"/>
      <c r="O15" s="31"/>
      <c r="P15" s="31"/>
    </row>
    <row r="16" spans="1:16" s="9" customFormat="1" hidden="1">
      <c r="E16" s="212"/>
    </row>
    <row r="17" spans="5:5" s="9" customFormat="1" hidden="1">
      <c r="E17" s="212"/>
    </row>
    <row r="18" spans="5:5" s="9" customFormat="1" hidden="1">
      <c r="E18" s="212"/>
    </row>
    <row r="19" spans="5:5" s="9" customFormat="1" hidden="1">
      <c r="E19" s="212"/>
    </row>
    <row r="20" spans="5:5" s="9" customFormat="1" hidden="1">
      <c r="E20" s="212"/>
    </row>
    <row r="21" spans="5:5" s="9" customFormat="1" hidden="1">
      <c r="E21" s="212"/>
    </row>
    <row r="22" spans="5:5" s="9" customFormat="1" hidden="1">
      <c r="E22" s="212"/>
    </row>
    <row r="23" spans="5:5" s="9" customFormat="1" hidden="1">
      <c r="E23" s="212"/>
    </row>
    <row r="24" spans="5:5" s="9" customFormat="1" hidden="1">
      <c r="E24" s="212"/>
    </row>
    <row r="25" spans="5:5" s="9" customFormat="1" hidden="1">
      <c r="E25" s="212"/>
    </row>
    <row r="26" spans="5:5" s="9" customFormat="1" hidden="1">
      <c r="E26" s="212"/>
    </row>
    <row r="27" spans="5:5" s="9" customFormat="1" hidden="1">
      <c r="E27" s="212"/>
    </row>
    <row r="28" spans="5:5" s="9" customFormat="1" hidden="1">
      <c r="E28" s="212"/>
    </row>
    <row r="29" spans="5:5" s="9" customFormat="1" hidden="1">
      <c r="E29" s="212"/>
    </row>
    <row r="30" spans="5:5" s="9" customFormat="1" hidden="1">
      <c r="E30" s="212"/>
    </row>
    <row r="31" spans="5:5" s="9" customFormat="1" hidden="1">
      <c r="E31" s="212"/>
    </row>
    <row r="32" spans="5:5" s="9" customFormat="1" hidden="1">
      <c r="E32" s="212"/>
    </row>
    <row r="33" spans="5:5" s="9" customFormat="1" hidden="1">
      <c r="E33" s="212"/>
    </row>
    <row r="34" spans="5:5" s="9" customFormat="1" hidden="1">
      <c r="E34" s="212"/>
    </row>
    <row r="35" spans="5:5" s="9" customFormat="1" hidden="1">
      <c r="E35" s="212"/>
    </row>
    <row r="36" spans="5:5" s="9" customFormat="1" hidden="1">
      <c r="E36" s="212"/>
    </row>
    <row r="37" spans="5:5" s="9" customFormat="1" hidden="1">
      <c r="E37" s="212"/>
    </row>
    <row r="38" spans="5:5" s="9" customFormat="1" hidden="1">
      <c r="E38" s="212"/>
    </row>
    <row r="39" spans="5:5" s="9" customFormat="1" hidden="1">
      <c r="E39" s="212"/>
    </row>
    <row r="40" spans="5:5" s="9" customFormat="1" hidden="1">
      <c r="E40" s="212"/>
    </row>
    <row r="41" spans="5:5" s="9" customFormat="1" hidden="1">
      <c r="E41" s="212"/>
    </row>
    <row r="42" spans="5:5" s="9" customFormat="1" hidden="1">
      <c r="E42" s="212"/>
    </row>
    <row r="43" spans="5:5" s="9" customFormat="1" hidden="1">
      <c r="E43" s="212"/>
    </row>
    <row r="44" spans="5:5" s="9" customFormat="1" hidden="1">
      <c r="E44" s="212"/>
    </row>
    <row r="45" spans="5:5" s="9" customFormat="1" hidden="1">
      <c r="E45" s="212"/>
    </row>
    <row r="46" spans="5:5" s="9" customFormat="1" hidden="1">
      <c r="E46" s="212"/>
    </row>
    <row r="47" spans="5:5" s="9" customFormat="1" hidden="1">
      <c r="E47" s="212"/>
    </row>
    <row r="48" spans="5:5" s="9" customFormat="1" hidden="1">
      <c r="E48" s="212"/>
    </row>
    <row r="49" spans="5:5" s="9" customFormat="1" hidden="1">
      <c r="E49" s="212"/>
    </row>
    <row r="50" spans="5:5" s="9" customFormat="1" hidden="1">
      <c r="E50" s="212"/>
    </row>
    <row r="51" spans="5:5" s="9" customFormat="1" hidden="1">
      <c r="E51" s="212"/>
    </row>
    <row r="52" spans="5:5" s="9" customFormat="1" hidden="1">
      <c r="E52" s="212"/>
    </row>
    <row r="53" spans="5:5" s="9" customFormat="1" hidden="1">
      <c r="E53" s="212"/>
    </row>
    <row r="54" spans="5:5" s="9" customFormat="1" hidden="1">
      <c r="E54" s="212"/>
    </row>
    <row r="55" spans="5:5" s="9" customFormat="1" hidden="1">
      <c r="E55" s="212"/>
    </row>
    <row r="56" spans="5:5" s="9" customFormat="1" hidden="1">
      <c r="E56" s="212"/>
    </row>
    <row r="57" spans="5:5" s="9" customFormat="1" hidden="1">
      <c r="E57" s="212"/>
    </row>
    <row r="58" spans="5:5" s="9" customFormat="1" hidden="1">
      <c r="E58" s="212"/>
    </row>
    <row r="59" spans="5:5" s="9" customFormat="1" hidden="1">
      <c r="E59" s="212"/>
    </row>
    <row r="60" spans="5:5" s="9" customFormat="1" hidden="1">
      <c r="E60" s="212"/>
    </row>
    <row r="61" spans="5:5" s="9" customFormat="1" hidden="1">
      <c r="E61" s="212"/>
    </row>
    <row r="62" spans="5:5" s="9" customFormat="1" hidden="1">
      <c r="E62" s="212"/>
    </row>
    <row r="63" spans="5:5" s="9" customFormat="1" hidden="1">
      <c r="E63" s="212"/>
    </row>
    <row r="64" spans="5:5" hidden="1"/>
    <row r="65" hidden="1"/>
    <row r="66" hidden="1"/>
    <row r="67" hidden="1"/>
    <row r="68" hidden="1"/>
    <row r="69" hidden="1"/>
  </sheetData>
  <sheetProtection password="E1CD" sheet="1" objects="1" scenarios="1" formatCells="0" formatColumns="0" formatRows="0" insertHyperlinks="0" autoFilter="0" pivotTables="0"/>
  <mergeCells count="1">
    <mergeCell ref="K3:M3"/>
  </mergeCells>
  <pageMargins left="0.19685039370078741" right="0.19685039370078741" top="0.55118110236220474" bottom="0.55118110236220474" header="0.11811023622047245" footer="0.11811023622047245"/>
  <pageSetup paperSize="9" fitToHeight="0" orientation="landscape" r:id="rId1"/>
  <headerFooter>
    <oddHeader>&amp;C&amp;A</oddHeader>
    <oddFooter>&amp;L&amp;D &amp;T&amp;C&amp;Z&amp;F&amp;R&amp;A</oddFooter>
  </headerFooter>
</worksheet>
</file>

<file path=xl/worksheets/sheet16.xml><?xml version="1.0" encoding="utf-8"?>
<worksheet xmlns="http://schemas.openxmlformats.org/spreadsheetml/2006/main" xmlns:r="http://schemas.openxmlformats.org/officeDocument/2006/relationships">
  <sheetPr>
    <tabColor rgb="FFCCFFCC"/>
    <pageSetUpPr fitToPage="1"/>
  </sheetPr>
  <dimension ref="A1:Z201"/>
  <sheetViews>
    <sheetView showGridLines="0" view="pageBreakPreview" zoomScaleNormal="90" zoomScaleSheetLayoutView="100" workbookViewId="0">
      <pane xSplit="3" ySplit="4" topLeftCell="D5" activePane="bottomRight" state="frozen"/>
      <selection pane="topRight" activeCell="D1" sqref="D1"/>
      <selection pane="bottomLeft" activeCell="A5" sqref="A5"/>
      <selection pane="bottomRight" activeCell="A31" sqref="A31"/>
    </sheetView>
  </sheetViews>
  <sheetFormatPr defaultColWidth="0" defaultRowHeight="12.75" customHeight="1" zeroHeight="1"/>
  <cols>
    <col min="1" max="1" width="52.625" style="10" customWidth="1"/>
    <col min="2" max="4" width="0.875" style="10" customWidth="1"/>
    <col min="5" max="5" width="5.625" style="13" customWidth="1"/>
    <col min="6" max="8" width="0.875" style="10" customWidth="1"/>
    <col min="9" max="10" width="0.875" style="14" customWidth="1"/>
    <col min="11" max="15" width="10.625" style="10" customWidth="1"/>
    <col min="16" max="16" width="7.625" style="10" customWidth="1"/>
    <col min="17" max="17" width="18.25" style="14" hidden="1" customWidth="1"/>
    <col min="18" max="26" width="0" style="10" hidden="1" customWidth="1"/>
    <col min="27" max="16384" width="9" style="10" hidden="1"/>
  </cols>
  <sheetData>
    <row r="1" spans="1:17" s="5" customFormat="1" ht="15">
      <c r="A1" s="8" t="s">
        <v>491</v>
      </c>
      <c r="E1" s="61"/>
      <c r="Q1" s="14"/>
    </row>
    <row r="2" spans="1:17" s="5" customFormat="1" ht="15">
      <c r="A2" s="8" t="str">
        <f>COMPNAME</f>
        <v>Company Name of Electricity Distribution Network Operator Limited</v>
      </c>
      <c r="E2" s="61"/>
      <c r="Q2" s="14"/>
    </row>
    <row r="3" spans="1:17">
      <c r="A3" s="155" t="str">
        <f>'R5 Input page'!K8</f>
        <v>Regulatory Year ending 31 March 2012</v>
      </c>
      <c r="B3" s="5"/>
      <c r="C3" s="5"/>
      <c r="D3" s="5"/>
      <c r="E3" s="61"/>
      <c r="F3" s="5"/>
      <c r="G3" s="5"/>
      <c r="H3" s="5"/>
      <c r="I3" s="5"/>
      <c r="J3" s="5"/>
      <c r="K3" s="389" t="s">
        <v>645</v>
      </c>
      <c r="L3" s="390"/>
      <c r="M3" s="390"/>
      <c r="N3" s="94"/>
      <c r="O3" s="74"/>
      <c r="P3" s="118"/>
    </row>
    <row r="4" spans="1:17">
      <c r="A4" s="14"/>
      <c r="B4" s="5"/>
      <c r="C4" s="5"/>
      <c r="D4" s="5"/>
      <c r="E4" s="94" t="s">
        <v>5</v>
      </c>
      <c r="F4" s="5"/>
      <c r="G4" s="5"/>
      <c r="H4" s="5"/>
      <c r="I4" s="5"/>
      <c r="J4" s="5"/>
      <c r="K4" s="74">
        <v>2011</v>
      </c>
      <c r="L4" s="94">
        <v>2012</v>
      </c>
      <c r="M4" s="74">
        <v>2013</v>
      </c>
      <c r="N4" s="94">
        <v>2014</v>
      </c>
      <c r="O4" s="74">
        <v>2015</v>
      </c>
      <c r="P4" s="118"/>
    </row>
    <row r="5" spans="1:17">
      <c r="A5" s="102" t="s">
        <v>102</v>
      </c>
      <c r="B5" s="5"/>
      <c r="C5" s="5"/>
      <c r="D5" s="5"/>
      <c r="E5" s="61"/>
      <c r="F5" s="5"/>
      <c r="G5" s="5"/>
      <c r="H5" s="5"/>
      <c r="I5" s="5"/>
      <c r="J5" s="5"/>
      <c r="K5" s="74"/>
      <c r="L5" s="94"/>
      <c r="M5" s="74"/>
      <c r="N5" s="94"/>
      <c r="O5" s="74"/>
      <c r="P5" s="118"/>
    </row>
    <row r="6" spans="1:17" ht="14.25">
      <c r="A6" t="s">
        <v>518</v>
      </c>
      <c r="B6" s="5"/>
      <c r="C6" s="5"/>
      <c r="D6" s="5"/>
      <c r="E6" s="165" t="s">
        <v>12</v>
      </c>
      <c r="F6" s="5"/>
      <c r="G6" s="5"/>
      <c r="H6" s="5"/>
      <c r="I6" s="5"/>
      <c r="K6" s="195">
        <f>BR</f>
        <v>0</v>
      </c>
      <c r="L6" s="195">
        <f>BR</f>
        <v>0</v>
      </c>
      <c r="M6" s="195">
        <f>BR</f>
        <v>0</v>
      </c>
      <c r="N6" s="195">
        <f>BR</f>
        <v>0</v>
      </c>
      <c r="O6" s="195">
        <f>BR</f>
        <v>0</v>
      </c>
      <c r="P6" s="179" t="s">
        <v>141</v>
      </c>
    </row>
    <row r="7" spans="1:17">
      <c r="A7" s="102"/>
      <c r="B7" s="5"/>
      <c r="C7" s="5"/>
      <c r="D7" s="5"/>
      <c r="E7" s="61"/>
      <c r="F7" s="5"/>
      <c r="G7" s="5"/>
      <c r="H7" s="5"/>
      <c r="I7" s="5"/>
      <c r="K7" s="74"/>
      <c r="L7" s="94"/>
      <c r="M7" s="74"/>
      <c r="N7" s="94"/>
      <c r="O7" s="74"/>
      <c r="P7" s="179"/>
    </row>
    <row r="8" spans="1:17">
      <c r="A8" s="102" t="s">
        <v>403</v>
      </c>
      <c r="B8" s="5"/>
      <c r="C8" s="5"/>
      <c r="D8" s="5"/>
      <c r="E8" s="61"/>
      <c r="F8" s="5"/>
      <c r="G8" s="5"/>
      <c r="H8" s="5"/>
      <c r="I8" s="5"/>
      <c r="K8" s="74"/>
      <c r="L8" s="94"/>
      <c r="M8" s="74"/>
      <c r="N8" s="94"/>
      <c r="O8" s="74"/>
      <c r="P8" s="179"/>
    </row>
    <row r="9" spans="1:17" ht="14.25">
      <c r="A9" t="s">
        <v>517</v>
      </c>
      <c r="B9" s="5"/>
      <c r="C9" s="5"/>
      <c r="D9" s="5"/>
      <c r="E9" s="165" t="s">
        <v>12</v>
      </c>
      <c r="F9" s="5"/>
      <c r="G9" s="5"/>
      <c r="H9" s="5"/>
      <c r="I9" s="5"/>
      <c r="K9" s="195">
        <f>PT</f>
        <v>0</v>
      </c>
      <c r="L9" s="195">
        <f>PT</f>
        <v>0</v>
      </c>
      <c r="M9" s="195">
        <f>PT</f>
        <v>0</v>
      </c>
      <c r="N9" s="195">
        <f>PT</f>
        <v>0</v>
      </c>
      <c r="O9" s="195">
        <f>PT</f>
        <v>0</v>
      </c>
      <c r="P9" s="179" t="s">
        <v>157</v>
      </c>
    </row>
    <row r="10" spans="1:17">
      <c r="A10" s="5"/>
      <c r="B10" s="5"/>
      <c r="C10" s="5"/>
      <c r="D10" s="5"/>
      <c r="E10" s="61"/>
      <c r="F10" s="5"/>
      <c r="G10" s="5"/>
      <c r="H10" s="5"/>
      <c r="I10" s="5"/>
      <c r="K10" s="74"/>
      <c r="L10" s="94"/>
      <c r="M10" s="74"/>
      <c r="N10" s="94"/>
      <c r="O10" s="74"/>
      <c r="P10" s="179"/>
    </row>
    <row r="11" spans="1:17">
      <c r="A11" s="102" t="s">
        <v>28</v>
      </c>
      <c r="B11" s="5"/>
      <c r="C11" s="5"/>
      <c r="D11" s="5"/>
      <c r="E11" s="61"/>
      <c r="F11" s="5"/>
      <c r="G11" s="5"/>
      <c r="H11" s="5"/>
      <c r="I11" s="5"/>
      <c r="K11" s="74"/>
      <c r="L11" s="94"/>
      <c r="M11" s="74"/>
      <c r="N11" s="94"/>
      <c r="O11" s="74"/>
      <c r="P11" s="179"/>
    </row>
    <row r="12" spans="1:17" ht="14.25">
      <c r="A12" t="s">
        <v>516</v>
      </c>
      <c r="B12" s="5"/>
      <c r="C12" s="5"/>
      <c r="D12" s="5"/>
      <c r="E12" s="165" t="s">
        <v>12</v>
      </c>
      <c r="F12" s="5"/>
      <c r="G12" s="5"/>
      <c r="H12" s="5"/>
      <c r="I12" s="5"/>
      <c r="K12" s="195">
        <f>IP</f>
        <v>0</v>
      </c>
      <c r="L12" s="195">
        <f>IP</f>
        <v>0</v>
      </c>
      <c r="M12" s="195">
        <f>IP</f>
        <v>0</v>
      </c>
      <c r="N12" s="195">
        <f>IP</f>
        <v>0</v>
      </c>
      <c r="O12" s="195">
        <f>IP</f>
        <v>0</v>
      </c>
      <c r="P12" s="179" t="s">
        <v>140</v>
      </c>
    </row>
    <row r="13" spans="1:17">
      <c r="A13" s="5"/>
      <c r="B13" s="5"/>
      <c r="C13" s="5"/>
      <c r="D13" s="5"/>
      <c r="E13" s="61"/>
      <c r="F13" s="5"/>
      <c r="G13" s="5"/>
      <c r="H13" s="5"/>
      <c r="I13" s="5"/>
      <c r="K13" s="74"/>
      <c r="L13" s="94"/>
      <c r="M13" s="74"/>
      <c r="N13" s="94"/>
      <c r="O13" s="74"/>
      <c r="P13" s="179"/>
    </row>
    <row r="14" spans="1:17">
      <c r="A14" s="102" t="s">
        <v>404</v>
      </c>
      <c r="B14" s="5"/>
      <c r="C14" s="5"/>
      <c r="D14" s="5"/>
      <c r="E14" s="61"/>
      <c r="F14" s="5"/>
      <c r="G14" s="5"/>
      <c r="H14" s="5"/>
      <c r="I14" s="5"/>
      <c r="K14" s="74"/>
      <c r="L14" s="94"/>
      <c r="M14" s="74"/>
      <c r="N14" s="94"/>
      <c r="O14" s="74"/>
      <c r="P14" s="179"/>
    </row>
    <row r="15" spans="1:17" ht="14.25">
      <c r="A15" s="5" t="s">
        <v>515</v>
      </c>
      <c r="B15" s="5"/>
      <c r="C15" s="5"/>
      <c r="D15" s="5"/>
      <c r="E15" s="165" t="s">
        <v>12</v>
      </c>
      <c r="F15" s="5"/>
      <c r="G15" s="5"/>
      <c r="H15" s="5"/>
      <c r="I15" s="5"/>
      <c r="K15" s="195">
        <f>LCN</f>
        <v>0</v>
      </c>
      <c r="L15" s="195">
        <f>LCN</f>
        <v>0</v>
      </c>
      <c r="M15" s="195">
        <f>LCN</f>
        <v>0</v>
      </c>
      <c r="N15" s="195">
        <f>LCN</f>
        <v>0</v>
      </c>
      <c r="O15" s="195">
        <f>LCN</f>
        <v>0</v>
      </c>
      <c r="P15" s="179" t="s">
        <v>272</v>
      </c>
    </row>
    <row r="16" spans="1:17">
      <c r="A16" s="5"/>
      <c r="B16" s="5"/>
      <c r="C16" s="5"/>
      <c r="D16" s="5"/>
      <c r="E16" s="61"/>
      <c r="F16" s="5"/>
      <c r="G16" s="5"/>
      <c r="H16" s="5"/>
      <c r="I16" s="5"/>
      <c r="K16" s="74"/>
      <c r="L16" s="94"/>
      <c r="M16" s="74"/>
      <c r="N16" s="94"/>
      <c r="O16" s="74"/>
      <c r="P16" s="179"/>
    </row>
    <row r="17" spans="1:16">
      <c r="A17" s="102" t="s">
        <v>405</v>
      </c>
      <c r="B17" s="5"/>
      <c r="C17" s="5"/>
      <c r="D17" s="5"/>
      <c r="E17" s="61"/>
      <c r="F17" s="5"/>
      <c r="G17" s="5"/>
      <c r="H17" s="5"/>
      <c r="I17" s="5"/>
      <c r="K17" s="74"/>
      <c r="L17" s="94"/>
      <c r="M17" s="74"/>
      <c r="N17" s="94"/>
      <c r="O17" s="74"/>
      <c r="P17" s="179"/>
    </row>
    <row r="18" spans="1:16" ht="14.25">
      <c r="A18" s="5" t="s">
        <v>514</v>
      </c>
      <c r="B18" s="5"/>
      <c r="C18" s="5"/>
      <c r="D18" s="5"/>
      <c r="E18" s="165" t="s">
        <v>12</v>
      </c>
      <c r="F18" s="5"/>
      <c r="G18" s="5"/>
      <c r="H18" s="5"/>
      <c r="I18" s="5"/>
      <c r="K18" s="195">
        <f>IG</f>
        <v>0</v>
      </c>
      <c r="L18" s="195">
        <f>IG</f>
        <v>0</v>
      </c>
      <c r="M18" s="195">
        <f>IG</f>
        <v>0</v>
      </c>
      <c r="N18" s="195">
        <f>IG</f>
        <v>0</v>
      </c>
      <c r="O18" s="195">
        <f>IG</f>
        <v>0</v>
      </c>
      <c r="P18" s="179" t="s">
        <v>174</v>
      </c>
    </row>
    <row r="19" spans="1:16">
      <c r="A19" s="5"/>
      <c r="B19" s="5"/>
      <c r="C19" s="5"/>
      <c r="D19" s="5"/>
      <c r="E19" s="61"/>
      <c r="F19" s="5"/>
      <c r="G19" s="5"/>
      <c r="H19" s="5"/>
      <c r="I19" s="5"/>
      <c r="K19" s="74"/>
      <c r="L19" s="94"/>
      <c r="M19" s="74"/>
      <c r="N19" s="94"/>
      <c r="O19" s="74"/>
      <c r="P19" s="179"/>
    </row>
    <row r="20" spans="1:16">
      <c r="A20" s="102" t="s">
        <v>26</v>
      </c>
      <c r="B20" s="5"/>
      <c r="C20" s="5"/>
      <c r="D20" s="5"/>
      <c r="E20" s="61"/>
      <c r="F20" s="5"/>
      <c r="G20" s="5"/>
      <c r="H20" s="5"/>
      <c r="I20" s="5"/>
      <c r="K20" s="74"/>
      <c r="L20" s="94"/>
      <c r="M20" s="74"/>
      <c r="N20" s="94"/>
      <c r="O20" s="74"/>
      <c r="P20" s="179"/>
    </row>
    <row r="21" spans="1:16" ht="14.25">
      <c r="A21" s="5" t="s">
        <v>513</v>
      </c>
      <c r="B21" s="5"/>
      <c r="C21" s="5"/>
      <c r="D21" s="5"/>
      <c r="E21" s="165" t="s">
        <v>12</v>
      </c>
      <c r="F21" s="5"/>
      <c r="G21" s="5"/>
      <c r="H21" s="5"/>
      <c r="I21" s="5"/>
      <c r="K21" s="195">
        <f>K</f>
        <v>0</v>
      </c>
      <c r="L21" s="195">
        <f>K</f>
        <v>0</v>
      </c>
      <c r="M21" s="195">
        <f>K</f>
        <v>0</v>
      </c>
      <c r="N21" s="195">
        <f>K</f>
        <v>0</v>
      </c>
      <c r="O21" s="195">
        <f>K</f>
        <v>0</v>
      </c>
      <c r="P21" s="179" t="s">
        <v>273</v>
      </c>
    </row>
    <row r="22" spans="1:16">
      <c r="B22" s="5"/>
      <c r="C22" s="5"/>
      <c r="D22" s="5"/>
      <c r="E22" s="61"/>
      <c r="F22" s="5"/>
      <c r="G22" s="5"/>
      <c r="H22" s="5"/>
      <c r="I22" s="5"/>
      <c r="K22" s="74"/>
      <c r="L22" s="94"/>
      <c r="M22" s="74"/>
      <c r="N22" s="94"/>
      <c r="O22" s="74"/>
      <c r="P22" s="179"/>
    </row>
    <row r="23" spans="1:16">
      <c r="A23" s="102" t="s">
        <v>629</v>
      </c>
      <c r="B23" s="5"/>
      <c r="C23" s="5"/>
      <c r="D23" s="5"/>
      <c r="E23" s="61"/>
      <c r="F23" s="5"/>
      <c r="G23" s="5"/>
      <c r="H23" s="5"/>
      <c r="I23" s="5"/>
      <c r="K23" s="74"/>
      <c r="L23" s="94"/>
      <c r="M23" s="74"/>
      <c r="N23" s="94"/>
      <c r="O23" s="74"/>
      <c r="P23" s="179"/>
    </row>
    <row r="24" spans="1:16" ht="14.25">
      <c r="A24" s="5" t="s">
        <v>625</v>
      </c>
      <c r="B24" s="5"/>
      <c r="C24" s="5"/>
      <c r="D24" s="5"/>
      <c r="E24" s="165" t="s">
        <v>12</v>
      </c>
      <c r="F24" s="5"/>
      <c r="G24" s="5"/>
      <c r="H24" s="5"/>
      <c r="I24" s="5"/>
      <c r="K24" s="195">
        <f>AUM</f>
        <v>0</v>
      </c>
      <c r="L24" s="195">
        <f>AUM</f>
        <v>0</v>
      </c>
      <c r="M24" s="195">
        <f>AUM</f>
        <v>0</v>
      </c>
      <c r="N24" s="195">
        <f>AUM</f>
        <v>0</v>
      </c>
      <c r="O24" s="195">
        <f>AUM</f>
        <v>0</v>
      </c>
      <c r="P24" s="179" t="s">
        <v>626</v>
      </c>
    </row>
    <row r="25" spans="1:16">
      <c r="A25" s="5"/>
      <c r="B25" s="5"/>
      <c r="C25" s="5"/>
      <c r="D25" s="5"/>
      <c r="E25" s="61"/>
      <c r="F25" s="5"/>
      <c r="G25" s="5"/>
      <c r="H25" s="5"/>
      <c r="I25" s="5"/>
      <c r="K25" s="74"/>
      <c r="L25" s="94"/>
      <c r="M25" s="74"/>
      <c r="N25" s="94"/>
      <c r="O25" s="74"/>
      <c r="P25" s="179"/>
    </row>
    <row r="26" spans="1:16">
      <c r="A26" s="102" t="s">
        <v>630</v>
      </c>
      <c r="B26" s="5"/>
      <c r="C26" s="5"/>
      <c r="D26" s="5"/>
      <c r="E26" s="61"/>
      <c r="F26" s="5"/>
      <c r="G26" s="5"/>
      <c r="H26" s="5"/>
      <c r="I26" s="5"/>
      <c r="K26" s="74"/>
      <c r="L26" s="94"/>
      <c r="M26" s="74"/>
      <c r="N26" s="94"/>
      <c r="O26" s="74"/>
      <c r="P26" s="179"/>
    </row>
    <row r="27" spans="1:16" ht="14.25">
      <c r="A27" s="5" t="s">
        <v>624</v>
      </c>
      <c r="B27" s="5"/>
      <c r="C27" s="5"/>
      <c r="D27" s="5"/>
      <c r="E27" s="165" t="s">
        <v>12</v>
      </c>
      <c r="F27" s="5"/>
      <c r="G27" s="5"/>
      <c r="H27" s="5"/>
      <c r="I27" s="5"/>
      <c r="K27" s="195">
        <f>CGSSP</f>
        <v>0</v>
      </c>
      <c r="L27" s="195">
        <f>CGSSP</f>
        <v>0</v>
      </c>
      <c r="M27" s="195">
        <f>CGSSP</f>
        <v>0</v>
      </c>
      <c r="N27" s="195">
        <f>CGSSP</f>
        <v>0</v>
      </c>
      <c r="O27" s="195">
        <f>CGSSP</f>
        <v>0</v>
      </c>
      <c r="P27" s="179" t="s">
        <v>627</v>
      </c>
    </row>
    <row r="28" spans="1:16">
      <c r="A28" s="5"/>
      <c r="B28" s="5"/>
      <c r="C28" s="5"/>
      <c r="D28" s="5"/>
      <c r="E28" s="61"/>
      <c r="F28" s="5"/>
      <c r="G28" s="5"/>
      <c r="H28" s="5"/>
      <c r="I28" s="5"/>
      <c r="K28" s="74"/>
      <c r="L28" s="94"/>
      <c r="M28" s="74"/>
      <c r="N28" s="94"/>
      <c r="O28" s="74"/>
      <c r="P28" s="179"/>
    </row>
    <row r="29" spans="1:16">
      <c r="A29" s="102" t="s">
        <v>631</v>
      </c>
      <c r="B29" s="5"/>
      <c r="C29" s="5"/>
      <c r="D29" s="5"/>
      <c r="E29" s="61"/>
      <c r="F29" s="5"/>
      <c r="G29" s="5"/>
      <c r="H29" s="5"/>
      <c r="I29" s="5"/>
      <c r="K29" s="74"/>
      <c r="L29" s="94"/>
      <c r="M29" s="74"/>
      <c r="N29" s="94"/>
      <c r="O29" s="74"/>
      <c r="P29" s="179"/>
    </row>
    <row r="30" spans="1:16" ht="14.25">
      <c r="A30" s="5" t="s">
        <v>623</v>
      </c>
      <c r="B30" s="5"/>
      <c r="C30" s="5"/>
      <c r="D30" s="5"/>
      <c r="E30" s="165" t="s">
        <v>12</v>
      </c>
      <c r="F30" s="5"/>
      <c r="G30" s="5"/>
      <c r="H30" s="5"/>
      <c r="I30" s="5"/>
      <c r="K30" s="195">
        <f>CGSRA</f>
        <v>0</v>
      </c>
      <c r="L30" s="195">
        <f>CGSRA</f>
        <v>0</v>
      </c>
      <c r="M30" s="195">
        <f>CGSRA</f>
        <v>0</v>
      </c>
      <c r="N30" s="195">
        <f>CGSRA</f>
        <v>0</v>
      </c>
      <c r="O30" s="195">
        <f>CGSRA</f>
        <v>0</v>
      </c>
      <c r="P30" s="179" t="s">
        <v>628</v>
      </c>
    </row>
    <row r="31" spans="1:16">
      <c r="B31" s="5"/>
      <c r="C31" s="5"/>
      <c r="D31" s="5"/>
      <c r="E31" s="61"/>
      <c r="F31" s="5"/>
      <c r="G31" s="5"/>
      <c r="H31" s="5"/>
      <c r="I31" s="5"/>
      <c r="K31" s="74"/>
      <c r="L31" s="94"/>
      <c r="M31" s="74"/>
      <c r="N31" s="94"/>
      <c r="O31" s="74"/>
      <c r="P31" s="179"/>
    </row>
    <row r="32" spans="1:16">
      <c r="A32" s="102" t="s">
        <v>692</v>
      </c>
      <c r="B32" s="5"/>
      <c r="C32" s="5"/>
      <c r="D32" s="5"/>
      <c r="E32" s="61"/>
      <c r="F32" s="5"/>
      <c r="G32" s="5"/>
      <c r="H32" s="5"/>
      <c r="I32" s="5"/>
      <c r="K32" s="74"/>
      <c r="L32" s="94"/>
      <c r="M32" s="74"/>
      <c r="N32" s="94"/>
      <c r="O32" s="74"/>
      <c r="P32" s="179"/>
    </row>
    <row r="33" spans="1:16" ht="14.25">
      <c r="A33" s="5" t="s">
        <v>694</v>
      </c>
      <c r="B33" s="5"/>
      <c r="C33" s="5"/>
      <c r="D33" s="5"/>
      <c r="E33" s="165" t="s">
        <v>12</v>
      </c>
      <c r="F33" s="5"/>
      <c r="G33" s="5"/>
      <c r="H33" s="5"/>
      <c r="I33" s="5"/>
      <c r="K33" s="74"/>
      <c r="L33" s="195">
        <f>CTRA</f>
        <v>0</v>
      </c>
      <c r="M33" s="195">
        <f>CTRA</f>
        <v>0</v>
      </c>
      <c r="N33" s="195">
        <f>CTRA</f>
        <v>0</v>
      </c>
      <c r="O33" s="195">
        <f>CTRA</f>
        <v>0</v>
      </c>
      <c r="P33" s="179" t="s">
        <v>693</v>
      </c>
    </row>
    <row r="34" spans="1:16">
      <c r="B34" s="5"/>
      <c r="C34" s="5"/>
      <c r="D34" s="5"/>
      <c r="E34" s="61"/>
      <c r="F34" s="5"/>
      <c r="G34" s="5"/>
      <c r="H34" s="5"/>
      <c r="I34" s="5"/>
      <c r="K34" s="74"/>
      <c r="L34" s="94"/>
      <c r="M34" s="74"/>
      <c r="N34" s="94"/>
      <c r="O34" s="74"/>
      <c r="P34" s="179"/>
    </row>
    <row r="35" spans="1:16" ht="15">
      <c r="A35" s="24" t="s">
        <v>145</v>
      </c>
      <c r="B35" s="14"/>
      <c r="C35" s="14"/>
      <c r="D35" s="14"/>
      <c r="E35" s="96"/>
      <c r="F35" s="14"/>
      <c r="G35" s="14"/>
      <c r="H35" s="14"/>
      <c r="K35" s="14"/>
      <c r="L35" s="14"/>
      <c r="M35" s="14"/>
      <c r="N35" s="14"/>
      <c r="O35" s="14"/>
      <c r="P35" s="180"/>
    </row>
    <row r="36" spans="1:16" ht="14.25">
      <c r="A36" s="104" t="s">
        <v>632</v>
      </c>
      <c r="B36" s="14"/>
      <c r="C36" s="14"/>
      <c r="D36" s="14"/>
      <c r="E36" s="213" t="s">
        <v>12</v>
      </c>
      <c r="F36" s="14"/>
      <c r="G36" s="14"/>
      <c r="H36" s="14"/>
      <c r="K36" s="197">
        <f>BR+PT+IP+LCN+IG-K-AUM-CGSSP+CGSRA+CTRA</f>
        <v>0</v>
      </c>
      <c r="L36" s="197">
        <f>BR+PT+IP+LCN+IG-K-AUM-CGSSP+CGSRA+CTRA</f>
        <v>0</v>
      </c>
      <c r="M36" s="197">
        <f>BR+PT+IP+LCN+IG-K-AUM-CGSSP+CGSRA+CTRA</f>
        <v>0</v>
      </c>
      <c r="N36" s="197">
        <f>BR+PT+IP+LCN+IG-K-AUM-CGSSP+CGSRA+CTRA</f>
        <v>0</v>
      </c>
      <c r="O36" s="197">
        <f>BR+PT+IP+LCN+IG-K-AUM-CGSSP+CGSRA+CTRA</f>
        <v>0</v>
      </c>
      <c r="P36" s="181" t="s">
        <v>619</v>
      </c>
    </row>
    <row r="37" spans="1:16">
      <c r="A37" s="5"/>
      <c r="B37" s="14"/>
      <c r="C37" s="14"/>
      <c r="D37" s="14"/>
      <c r="E37" s="96"/>
      <c r="F37" s="14"/>
      <c r="G37" s="14"/>
      <c r="H37" s="14"/>
      <c r="J37" s="96"/>
      <c r="K37" s="14"/>
      <c r="L37" s="14"/>
      <c r="M37" s="14"/>
      <c r="N37" s="14"/>
      <c r="O37" s="14"/>
      <c r="P37" s="14"/>
    </row>
    <row r="38" spans="1:16" hidden="1">
      <c r="A38" s="5"/>
      <c r="B38" s="14"/>
      <c r="C38" s="14"/>
      <c r="D38" s="14"/>
      <c r="E38" s="96"/>
      <c r="F38" s="14"/>
      <c r="G38" s="14"/>
      <c r="H38" s="14"/>
      <c r="J38" s="96"/>
      <c r="K38" s="14"/>
      <c r="L38" s="14"/>
      <c r="M38" s="14"/>
      <c r="N38" s="14"/>
      <c r="O38" s="14"/>
      <c r="P38" s="14"/>
    </row>
    <row r="39" spans="1:16" s="14" customFormat="1" hidden="1">
      <c r="A39" s="5"/>
      <c r="E39" s="96"/>
      <c r="J39" s="96"/>
    </row>
    <row r="40" spans="1:16" s="14" customFormat="1" hidden="1">
      <c r="A40" s="5"/>
      <c r="E40" s="96"/>
      <c r="J40" s="96"/>
    </row>
    <row r="41" spans="1:16" s="14" customFormat="1" hidden="1">
      <c r="A41" s="5"/>
      <c r="E41" s="96"/>
      <c r="J41" s="96"/>
    </row>
    <row r="42" spans="1:16" s="14" customFormat="1" hidden="1">
      <c r="A42" s="5"/>
      <c r="E42" s="96"/>
      <c r="J42" s="96"/>
    </row>
    <row r="43" spans="1:16" s="14" customFormat="1" hidden="1">
      <c r="B43" s="5"/>
      <c r="C43" s="5"/>
      <c r="D43" s="5"/>
      <c r="E43" s="61"/>
      <c r="F43" s="5"/>
      <c r="G43" s="5"/>
      <c r="H43" s="5"/>
      <c r="I43" s="5"/>
      <c r="J43" s="5"/>
      <c r="K43" s="5"/>
      <c r="L43" s="5"/>
      <c r="M43" s="5"/>
      <c r="N43" s="5"/>
      <c r="O43" s="5"/>
    </row>
    <row r="44" spans="1:16" s="14" customFormat="1" hidden="1">
      <c r="E44" s="96"/>
    </row>
    <row r="45" spans="1:16" s="14" customFormat="1" hidden="1">
      <c r="E45" s="96"/>
    </row>
    <row r="46" spans="1:16" s="14" customFormat="1" hidden="1">
      <c r="E46" s="96"/>
    </row>
    <row r="47" spans="1:16" s="14" customFormat="1" hidden="1">
      <c r="E47" s="96"/>
    </row>
    <row r="48" spans="1:16" s="14" customFormat="1" hidden="1">
      <c r="E48" s="96"/>
    </row>
    <row r="49" spans="5:5" s="14" customFormat="1" hidden="1">
      <c r="E49" s="96"/>
    </row>
    <row r="50" spans="5:5" s="14" customFormat="1" hidden="1">
      <c r="E50" s="96"/>
    </row>
    <row r="51" spans="5:5" s="14" customFormat="1" hidden="1">
      <c r="E51" s="96"/>
    </row>
    <row r="52" spans="5:5" s="14" customFormat="1" hidden="1">
      <c r="E52" s="96"/>
    </row>
    <row r="53" spans="5:5" s="14" customFormat="1" hidden="1">
      <c r="E53" s="96"/>
    </row>
    <row r="54" spans="5:5" s="14" customFormat="1" hidden="1">
      <c r="E54" s="96"/>
    </row>
    <row r="55" spans="5:5" s="14" customFormat="1" hidden="1">
      <c r="E55" s="96"/>
    </row>
    <row r="56" spans="5:5" s="14" customFormat="1" hidden="1">
      <c r="E56" s="96"/>
    </row>
    <row r="57" spans="5:5" s="14" customFormat="1" hidden="1">
      <c r="E57" s="96"/>
    </row>
    <row r="58" spans="5:5" s="14" customFormat="1" hidden="1">
      <c r="E58" s="96"/>
    </row>
    <row r="59" spans="5:5" s="14" customFormat="1" hidden="1">
      <c r="E59" s="96"/>
    </row>
    <row r="60" spans="5:5" s="14" customFormat="1" ht="12.75" hidden="1" customHeight="1">
      <c r="E60" s="96"/>
    </row>
    <row r="61" spans="5:5" s="14" customFormat="1" ht="12.75" hidden="1" customHeight="1">
      <c r="E61" s="96"/>
    </row>
    <row r="62" spans="5:5" s="14" customFormat="1" ht="12.75" hidden="1" customHeight="1">
      <c r="E62" s="96"/>
    </row>
    <row r="63" spans="5:5" s="14" customFormat="1" ht="12.75" hidden="1" customHeight="1">
      <c r="E63" s="96"/>
    </row>
    <row r="64" spans="5:5" s="14" customFormat="1" ht="12.75" hidden="1" customHeight="1">
      <c r="E64" s="96"/>
    </row>
    <row r="65" spans="5:5" s="14" customFormat="1" ht="12.75" hidden="1" customHeight="1">
      <c r="E65" s="96"/>
    </row>
    <row r="66" spans="5:5" s="14" customFormat="1" ht="12.75" hidden="1" customHeight="1">
      <c r="E66" s="96"/>
    </row>
    <row r="67" spans="5:5" s="14" customFormat="1" ht="12.75" hidden="1" customHeight="1">
      <c r="E67" s="96"/>
    </row>
    <row r="68" spans="5:5" s="14" customFormat="1" ht="12.75" hidden="1" customHeight="1">
      <c r="E68" s="96"/>
    </row>
    <row r="69" spans="5:5" s="14" customFormat="1" ht="12.75" hidden="1" customHeight="1">
      <c r="E69" s="96"/>
    </row>
    <row r="70" spans="5:5" s="14" customFormat="1" ht="12.75" hidden="1" customHeight="1">
      <c r="E70" s="96"/>
    </row>
    <row r="71" spans="5:5" s="14" customFormat="1" ht="12.75" hidden="1" customHeight="1">
      <c r="E71" s="96"/>
    </row>
    <row r="72" spans="5:5" s="14" customFormat="1" ht="12.75" hidden="1" customHeight="1">
      <c r="E72" s="96"/>
    </row>
    <row r="73" spans="5:5" s="14" customFormat="1" ht="12.75" hidden="1" customHeight="1">
      <c r="E73" s="96"/>
    </row>
    <row r="74" spans="5:5" s="14" customFormat="1" ht="12.75" hidden="1" customHeight="1">
      <c r="E74" s="96"/>
    </row>
    <row r="75" spans="5:5" s="14" customFormat="1" ht="12.75" hidden="1" customHeight="1">
      <c r="E75" s="96"/>
    </row>
    <row r="76" spans="5:5" s="14" customFormat="1" ht="12.75" hidden="1" customHeight="1">
      <c r="E76" s="96"/>
    </row>
    <row r="77" spans="5:5" s="14" customFormat="1" ht="12.75" hidden="1" customHeight="1">
      <c r="E77" s="96"/>
    </row>
    <row r="78" spans="5:5" s="14" customFormat="1" ht="12.75" hidden="1" customHeight="1">
      <c r="E78" s="96"/>
    </row>
    <row r="79" spans="5:5" s="14" customFormat="1" ht="12.75" hidden="1" customHeight="1">
      <c r="E79" s="96"/>
    </row>
    <row r="80" spans="5:5" s="14" customFormat="1" ht="12.75" hidden="1" customHeight="1">
      <c r="E80" s="96"/>
    </row>
    <row r="81" spans="5:5" s="14" customFormat="1" ht="12.75" hidden="1" customHeight="1">
      <c r="E81" s="96"/>
    </row>
    <row r="82" spans="5:5" s="14" customFormat="1" ht="12.75" hidden="1" customHeight="1">
      <c r="E82" s="96"/>
    </row>
    <row r="83" spans="5:5" s="14" customFormat="1" ht="12.75" hidden="1" customHeight="1">
      <c r="E83" s="96"/>
    </row>
    <row r="84" spans="5:5" s="14" customFormat="1" ht="12.75" hidden="1" customHeight="1">
      <c r="E84" s="96"/>
    </row>
    <row r="85" spans="5:5" s="14" customFormat="1" ht="12.75" hidden="1" customHeight="1">
      <c r="E85" s="96"/>
    </row>
    <row r="86" spans="5:5" s="14" customFormat="1" ht="12.75" hidden="1" customHeight="1">
      <c r="E86" s="96"/>
    </row>
    <row r="87" spans="5:5" s="14" customFormat="1" ht="12.75" hidden="1" customHeight="1">
      <c r="E87" s="96"/>
    </row>
    <row r="88" spans="5:5" s="14" customFormat="1" ht="12.75" hidden="1" customHeight="1">
      <c r="E88" s="96"/>
    </row>
    <row r="89" spans="5:5" s="14" customFormat="1" ht="12.75" hidden="1" customHeight="1">
      <c r="E89" s="96"/>
    </row>
    <row r="90" spans="5:5" s="14" customFormat="1" ht="12.75" hidden="1" customHeight="1">
      <c r="E90" s="96"/>
    </row>
    <row r="91" spans="5:5" s="14" customFormat="1" ht="12.75" hidden="1" customHeight="1">
      <c r="E91" s="96"/>
    </row>
    <row r="92" spans="5:5" s="14" customFormat="1" ht="12.75" hidden="1" customHeight="1">
      <c r="E92" s="96"/>
    </row>
    <row r="93" spans="5:5" s="14" customFormat="1" ht="12.75" hidden="1" customHeight="1">
      <c r="E93" s="96"/>
    </row>
    <row r="94" spans="5:5" s="14" customFormat="1" ht="12.75" hidden="1" customHeight="1">
      <c r="E94" s="96"/>
    </row>
    <row r="95" spans="5:5" s="14" customFormat="1" ht="12.75" hidden="1" customHeight="1">
      <c r="E95" s="96"/>
    </row>
    <row r="96" spans="5:5" s="14" customFormat="1" ht="12.75" hidden="1" customHeight="1">
      <c r="E96" s="96"/>
    </row>
    <row r="97" spans="5:5" s="14" customFormat="1" ht="12.75" hidden="1" customHeight="1">
      <c r="E97" s="96"/>
    </row>
    <row r="98" spans="5:5" s="14" customFormat="1" ht="12.75" hidden="1" customHeight="1">
      <c r="E98" s="96"/>
    </row>
    <row r="99" spans="5:5" s="14" customFormat="1" ht="12.75" hidden="1" customHeight="1">
      <c r="E99" s="96"/>
    </row>
    <row r="100" spans="5:5" s="14" customFormat="1" ht="12.75" hidden="1" customHeight="1">
      <c r="E100" s="96"/>
    </row>
    <row r="101" spans="5:5" s="14" customFormat="1" ht="12.75" hidden="1" customHeight="1">
      <c r="E101" s="96"/>
    </row>
    <row r="102" spans="5:5" s="14" customFormat="1" ht="12.75" hidden="1" customHeight="1">
      <c r="E102" s="96"/>
    </row>
    <row r="103" spans="5:5" s="14" customFormat="1" ht="12.75" hidden="1" customHeight="1">
      <c r="E103" s="96"/>
    </row>
    <row r="104" spans="5:5" s="14" customFormat="1" ht="12.75" hidden="1" customHeight="1">
      <c r="E104" s="96"/>
    </row>
    <row r="105" spans="5:5" s="14" customFormat="1" ht="12.75" hidden="1" customHeight="1">
      <c r="E105" s="96"/>
    </row>
    <row r="106" spans="5:5" s="14" customFormat="1" ht="12.75" hidden="1" customHeight="1">
      <c r="E106" s="96"/>
    </row>
    <row r="107" spans="5:5" s="14" customFormat="1" ht="12.75" hidden="1" customHeight="1">
      <c r="E107" s="96"/>
    </row>
    <row r="108" spans="5:5" s="14" customFormat="1" ht="12.75" hidden="1" customHeight="1">
      <c r="E108" s="96"/>
    </row>
    <row r="109" spans="5:5" s="14" customFormat="1" ht="12.75" hidden="1" customHeight="1">
      <c r="E109" s="96"/>
    </row>
    <row r="110" spans="5:5" s="14" customFormat="1" ht="12.75" hidden="1" customHeight="1">
      <c r="E110" s="96"/>
    </row>
    <row r="111" spans="5:5" s="14" customFormat="1" ht="12.75" hidden="1" customHeight="1">
      <c r="E111" s="96"/>
    </row>
    <row r="112" spans="5:5" s="14" customFormat="1" ht="12.75" hidden="1" customHeight="1">
      <c r="E112" s="96"/>
    </row>
    <row r="113" spans="5:5" s="14" customFormat="1" ht="12.75" hidden="1" customHeight="1">
      <c r="E113" s="96"/>
    </row>
    <row r="114" spans="5:5" s="14" customFormat="1" ht="12.75" hidden="1" customHeight="1">
      <c r="E114" s="96"/>
    </row>
    <row r="115" spans="5:5" s="14" customFormat="1" ht="12.75" hidden="1" customHeight="1">
      <c r="E115" s="96"/>
    </row>
    <row r="116" spans="5:5" s="14" customFormat="1" ht="12.75" hidden="1" customHeight="1">
      <c r="E116" s="96"/>
    </row>
    <row r="117" spans="5:5" s="14" customFormat="1" ht="12.75" hidden="1" customHeight="1">
      <c r="E117" s="96"/>
    </row>
    <row r="118" spans="5:5" s="14" customFormat="1" ht="12.75" hidden="1" customHeight="1">
      <c r="E118" s="96"/>
    </row>
    <row r="119" spans="5:5" s="14" customFormat="1" ht="12.75" hidden="1" customHeight="1">
      <c r="E119" s="96"/>
    </row>
    <row r="120" spans="5:5" s="14" customFormat="1" ht="12.75" hidden="1" customHeight="1">
      <c r="E120" s="96"/>
    </row>
    <row r="121" spans="5:5" s="14" customFormat="1" ht="12.75" hidden="1" customHeight="1">
      <c r="E121" s="96"/>
    </row>
    <row r="122" spans="5:5" s="14" customFormat="1" ht="12.75" hidden="1" customHeight="1">
      <c r="E122" s="96"/>
    </row>
    <row r="123" spans="5:5" s="14" customFormat="1" ht="12.75" hidden="1" customHeight="1">
      <c r="E123" s="96"/>
    </row>
    <row r="124" spans="5:5" s="14" customFormat="1" ht="12.75" hidden="1" customHeight="1">
      <c r="E124" s="96"/>
    </row>
    <row r="125" spans="5:5" s="14" customFormat="1" ht="12.75" hidden="1" customHeight="1">
      <c r="E125" s="96"/>
    </row>
    <row r="126" spans="5:5" s="14" customFormat="1" ht="12.75" hidden="1" customHeight="1">
      <c r="E126" s="96"/>
    </row>
    <row r="127" spans="5:5" s="14" customFormat="1" ht="12.75" hidden="1" customHeight="1">
      <c r="E127" s="96"/>
    </row>
    <row r="128" spans="5:5" s="14" customFormat="1" ht="12.75" hidden="1" customHeight="1">
      <c r="E128" s="96"/>
    </row>
    <row r="129" spans="5:5" s="14" customFormat="1" ht="12.75" hidden="1" customHeight="1">
      <c r="E129" s="96"/>
    </row>
    <row r="130" spans="5:5" s="14" customFormat="1" ht="12.75" hidden="1" customHeight="1">
      <c r="E130" s="96"/>
    </row>
    <row r="131" spans="5:5" s="14" customFormat="1" ht="12.75" hidden="1" customHeight="1">
      <c r="E131" s="96"/>
    </row>
    <row r="132" spans="5:5" s="14" customFormat="1" ht="12.75" hidden="1" customHeight="1">
      <c r="E132" s="96"/>
    </row>
    <row r="133" spans="5:5" s="14" customFormat="1" ht="12.75" hidden="1" customHeight="1">
      <c r="E133" s="96"/>
    </row>
    <row r="134" spans="5:5" s="14" customFormat="1" ht="12.75" hidden="1" customHeight="1">
      <c r="E134" s="96"/>
    </row>
    <row r="135" spans="5:5" s="14" customFormat="1" ht="12.75" hidden="1" customHeight="1">
      <c r="E135" s="96"/>
    </row>
    <row r="136" spans="5:5" s="14" customFormat="1" ht="12.75" hidden="1" customHeight="1">
      <c r="E136" s="96"/>
    </row>
    <row r="137" spans="5:5" s="14" customFormat="1" ht="12.75" hidden="1" customHeight="1">
      <c r="E137" s="96"/>
    </row>
    <row r="138" spans="5:5" s="14" customFormat="1" ht="12.75" hidden="1" customHeight="1">
      <c r="E138" s="96"/>
    </row>
    <row r="139" spans="5:5" s="14" customFormat="1" ht="12.75" hidden="1" customHeight="1">
      <c r="E139" s="96"/>
    </row>
    <row r="140" spans="5:5" s="14" customFormat="1" ht="12.75" hidden="1" customHeight="1">
      <c r="E140" s="96"/>
    </row>
    <row r="141" spans="5:5" s="14" customFormat="1" ht="12.75" hidden="1" customHeight="1">
      <c r="E141" s="96"/>
    </row>
    <row r="142" spans="5:5" s="14" customFormat="1" ht="12.75" hidden="1" customHeight="1">
      <c r="E142" s="96"/>
    </row>
    <row r="143" spans="5:5" s="14" customFormat="1" ht="12.75" hidden="1" customHeight="1">
      <c r="E143" s="96"/>
    </row>
    <row r="144" spans="5:5" s="14" customFormat="1" ht="12.75" hidden="1" customHeight="1">
      <c r="E144" s="96"/>
    </row>
    <row r="145" spans="5:5" s="14" customFormat="1" ht="12.75" hidden="1" customHeight="1">
      <c r="E145" s="96"/>
    </row>
    <row r="146" spans="5:5" s="14" customFormat="1" ht="12.75" hidden="1" customHeight="1">
      <c r="E146" s="96"/>
    </row>
    <row r="147" spans="5:5" s="14" customFormat="1" ht="12.75" hidden="1" customHeight="1">
      <c r="E147" s="96"/>
    </row>
    <row r="148" spans="5:5" s="14" customFormat="1" ht="12.75" hidden="1" customHeight="1">
      <c r="E148" s="96"/>
    </row>
    <row r="149" spans="5:5" s="14" customFormat="1" ht="12.75" hidden="1" customHeight="1">
      <c r="E149" s="96"/>
    </row>
    <row r="150" spans="5:5" s="14" customFormat="1" ht="12.75" hidden="1" customHeight="1">
      <c r="E150" s="96"/>
    </row>
    <row r="151" spans="5:5" s="14" customFormat="1" ht="12.75" hidden="1" customHeight="1">
      <c r="E151" s="96"/>
    </row>
    <row r="152" spans="5:5" s="14" customFormat="1" ht="12.75" hidden="1" customHeight="1">
      <c r="E152" s="96"/>
    </row>
    <row r="153" spans="5:5" s="14" customFormat="1" ht="12.75" hidden="1" customHeight="1">
      <c r="E153" s="96"/>
    </row>
    <row r="154" spans="5:5" s="14" customFormat="1" ht="12.75" hidden="1" customHeight="1">
      <c r="E154" s="96"/>
    </row>
    <row r="155" spans="5:5" s="14" customFormat="1" ht="12.75" hidden="1" customHeight="1">
      <c r="E155" s="96"/>
    </row>
    <row r="156" spans="5:5" s="14" customFormat="1" ht="12.75" hidden="1" customHeight="1">
      <c r="E156" s="96"/>
    </row>
    <row r="157" spans="5:5" s="14" customFormat="1" ht="12.75" hidden="1" customHeight="1">
      <c r="E157" s="96"/>
    </row>
    <row r="158" spans="5:5" s="14" customFormat="1" ht="12.75" hidden="1" customHeight="1">
      <c r="E158" s="96"/>
    </row>
    <row r="159" spans="5:5" s="14" customFormat="1" ht="12.75" hidden="1" customHeight="1">
      <c r="E159" s="96"/>
    </row>
    <row r="160" spans="5:5" s="14" customFormat="1" ht="12.75" hidden="1" customHeight="1">
      <c r="E160" s="96"/>
    </row>
    <row r="161" spans="5:5" s="14" customFormat="1" ht="12.75" hidden="1" customHeight="1">
      <c r="E161" s="96"/>
    </row>
    <row r="162" spans="5:5" s="14" customFormat="1" ht="12.75" hidden="1" customHeight="1">
      <c r="E162" s="96"/>
    </row>
    <row r="163" spans="5:5" s="14" customFormat="1" ht="12.75" hidden="1" customHeight="1">
      <c r="E163" s="96"/>
    </row>
    <row r="164" spans="5:5" s="14" customFormat="1" ht="12.75" hidden="1" customHeight="1">
      <c r="E164" s="96"/>
    </row>
    <row r="165" spans="5:5" s="14" customFormat="1" ht="12.75" hidden="1" customHeight="1">
      <c r="E165" s="96"/>
    </row>
    <row r="166" spans="5:5" s="14" customFormat="1" ht="12.75" hidden="1" customHeight="1">
      <c r="E166" s="96"/>
    </row>
    <row r="167" spans="5:5" s="14" customFormat="1" ht="12.75" hidden="1" customHeight="1">
      <c r="E167" s="96"/>
    </row>
    <row r="168" spans="5:5" s="14" customFormat="1" ht="12.75" hidden="1" customHeight="1">
      <c r="E168" s="96"/>
    </row>
    <row r="169" spans="5:5" s="14" customFormat="1" ht="12.75" hidden="1" customHeight="1">
      <c r="E169" s="96"/>
    </row>
    <row r="170" spans="5:5" s="14" customFormat="1" ht="12.75" hidden="1" customHeight="1">
      <c r="E170" s="96"/>
    </row>
    <row r="171" spans="5:5" s="14" customFormat="1" ht="12.75" hidden="1" customHeight="1">
      <c r="E171" s="96"/>
    </row>
    <row r="172" spans="5:5" s="14" customFormat="1" ht="12.75" hidden="1" customHeight="1">
      <c r="E172" s="96"/>
    </row>
    <row r="173" spans="5:5" s="14" customFormat="1" ht="12.75" hidden="1" customHeight="1">
      <c r="E173" s="96"/>
    </row>
    <row r="174" spans="5:5" s="14" customFormat="1" ht="12.75" hidden="1" customHeight="1">
      <c r="E174" s="96"/>
    </row>
    <row r="175" spans="5:5" s="14" customFormat="1" ht="12.75" hidden="1" customHeight="1">
      <c r="E175" s="96"/>
    </row>
    <row r="176" spans="5:5" s="14" customFormat="1" ht="12.75" hidden="1" customHeight="1">
      <c r="E176" s="96"/>
    </row>
    <row r="177" spans="5:5" s="14" customFormat="1" ht="12.75" hidden="1" customHeight="1">
      <c r="E177" s="96"/>
    </row>
    <row r="178" spans="5:5" s="14" customFormat="1" ht="12.75" hidden="1" customHeight="1">
      <c r="E178" s="96"/>
    </row>
    <row r="179" spans="5:5" s="14" customFormat="1" ht="12.75" hidden="1" customHeight="1">
      <c r="E179" s="96"/>
    </row>
    <row r="180" spans="5:5" s="14" customFormat="1" ht="12.75" hidden="1" customHeight="1">
      <c r="E180" s="96"/>
    </row>
    <row r="181" spans="5:5" s="14" customFormat="1" ht="12.75" hidden="1" customHeight="1">
      <c r="E181" s="96"/>
    </row>
    <row r="182" spans="5:5" s="14" customFormat="1" ht="12.75" hidden="1" customHeight="1">
      <c r="E182" s="96"/>
    </row>
    <row r="183" spans="5:5" s="14" customFormat="1" ht="12.75" hidden="1" customHeight="1">
      <c r="E183" s="96"/>
    </row>
    <row r="184" spans="5:5" s="14" customFormat="1" ht="12.75" hidden="1" customHeight="1">
      <c r="E184" s="96"/>
    </row>
    <row r="185" spans="5:5" s="14" customFormat="1" ht="12.75" hidden="1" customHeight="1">
      <c r="E185" s="96"/>
    </row>
    <row r="186" spans="5:5" s="14" customFormat="1" ht="12.75" hidden="1" customHeight="1">
      <c r="E186" s="96"/>
    </row>
    <row r="187" spans="5:5" s="14" customFormat="1" ht="12.75" hidden="1" customHeight="1">
      <c r="E187" s="96"/>
    </row>
    <row r="188" spans="5:5" s="14" customFormat="1" ht="12.75" hidden="1" customHeight="1">
      <c r="E188" s="96"/>
    </row>
    <row r="189" spans="5:5" s="14" customFormat="1" ht="12.75" hidden="1" customHeight="1">
      <c r="E189" s="96"/>
    </row>
    <row r="190" spans="5:5" s="14" customFormat="1" ht="12.75" hidden="1" customHeight="1">
      <c r="E190" s="96"/>
    </row>
    <row r="191" spans="5:5" s="14" customFormat="1" ht="12.75" hidden="1" customHeight="1">
      <c r="E191" s="96"/>
    </row>
    <row r="192" spans="5:5" s="14" customFormat="1" ht="12.75" hidden="1" customHeight="1">
      <c r="E192" s="96"/>
    </row>
    <row r="193" spans="5:5" s="14" customFormat="1" ht="12.75" hidden="1" customHeight="1">
      <c r="E193" s="96"/>
    </row>
    <row r="194" spans="5:5" s="14" customFormat="1" ht="12.75" hidden="1" customHeight="1">
      <c r="E194" s="96"/>
    </row>
    <row r="195" spans="5:5" s="14" customFormat="1" ht="12.75" hidden="1" customHeight="1">
      <c r="E195" s="96"/>
    </row>
    <row r="196" spans="5:5" s="14" customFormat="1" ht="12.75" hidden="1" customHeight="1">
      <c r="E196" s="96"/>
    </row>
    <row r="197" spans="5:5" s="14" customFormat="1" ht="12.75" hidden="1" customHeight="1">
      <c r="E197" s="96"/>
    </row>
    <row r="198" spans="5:5" s="14" customFormat="1" ht="12.75" hidden="1" customHeight="1">
      <c r="E198" s="96"/>
    </row>
    <row r="199" spans="5:5" s="14" customFormat="1" ht="12.75" hidden="1" customHeight="1">
      <c r="E199" s="96"/>
    </row>
    <row r="200" spans="5:5" s="14" customFormat="1" ht="12.75" hidden="1" customHeight="1">
      <c r="E200" s="96"/>
    </row>
    <row r="201" spans="5:5" s="14" customFormat="1" ht="12.75" hidden="1" customHeight="1">
      <c r="E201" s="96"/>
    </row>
  </sheetData>
  <sheetProtection password="E1CD" sheet="1" objects="1" scenarios="1" formatCells="0" formatColumns="0" formatRows="0" insertHyperlinks="0" autoFilter="0" pivotTables="0"/>
  <mergeCells count="1">
    <mergeCell ref="K3:M3"/>
  </mergeCells>
  <pageMargins left="0.19685039370078741" right="0.19685039370078741" top="0.55118110236220474" bottom="0.55118110236220474" header="0.11811023622047245" footer="0.11811023622047245"/>
  <pageSetup paperSize="9" fitToHeight="0" orientation="landscape" r:id="rId1"/>
  <headerFooter>
    <oddHeader>&amp;C&amp;A</oddHeader>
    <oddFooter>&amp;L&amp;D &amp;T&amp;C&amp;Z&amp;F&amp;R&amp;A</oddFooter>
  </headerFooter>
</worksheet>
</file>

<file path=xl/worksheets/sheet17.xml><?xml version="1.0" encoding="utf-8"?>
<worksheet xmlns="http://schemas.openxmlformats.org/spreadsheetml/2006/main" xmlns:r="http://schemas.openxmlformats.org/officeDocument/2006/relationships">
  <sheetPr>
    <tabColor rgb="FFCCFFCC"/>
    <pageSetUpPr fitToPage="1"/>
  </sheetPr>
  <dimension ref="A1:Q308"/>
  <sheetViews>
    <sheetView view="pageBreakPreview" zoomScaleNormal="100" zoomScaleSheetLayoutView="100" workbookViewId="0">
      <pane ySplit="4" topLeftCell="A5" activePane="bottomLeft" state="frozen"/>
      <selection pane="bottomLeft" activeCell="A5" sqref="A5"/>
    </sheetView>
  </sheetViews>
  <sheetFormatPr defaultColWidth="0" defaultRowHeight="12.75" zeroHeight="1"/>
  <cols>
    <col min="1" max="1" width="37" style="37" customWidth="1"/>
    <col min="2" max="2" width="17.625" style="37" customWidth="1"/>
    <col min="3" max="4" width="1.625" style="37" customWidth="1"/>
    <col min="5" max="5" width="5.75" style="227" bestFit="1" customWidth="1"/>
    <col min="6" max="10" width="6.125" style="31" bestFit="1" customWidth="1"/>
    <col min="11" max="15" width="8.625" style="31" customWidth="1"/>
    <col min="16" max="16" width="15.625" style="23" customWidth="1"/>
    <col min="17" max="17" width="18.25" style="31" hidden="1" customWidth="1"/>
    <col min="18" max="16384" width="9" style="31" hidden="1"/>
  </cols>
  <sheetData>
    <row r="1" spans="1:16" s="20" customFormat="1" ht="15">
      <c r="A1" s="120" t="s">
        <v>492</v>
      </c>
      <c r="B1" s="36"/>
      <c r="C1" s="120"/>
      <c r="D1" s="120"/>
      <c r="E1" s="225"/>
      <c r="P1" s="23"/>
    </row>
    <row r="2" spans="1:16" s="20" customFormat="1" ht="15">
      <c r="A2" s="120" t="str">
        <f>COMPNAME</f>
        <v>Company Name of Electricity Distribution Network Operator Limited</v>
      </c>
      <c r="B2" s="36"/>
      <c r="C2" s="35"/>
      <c r="D2" s="35"/>
      <c r="E2" s="225"/>
      <c r="P2" s="23"/>
    </row>
    <row r="3" spans="1:16" s="9" customFormat="1" ht="18">
      <c r="A3" s="155" t="str">
        <f>'R5 Input page'!K8</f>
        <v>Regulatory Year ending 31 March 2012</v>
      </c>
      <c r="B3" s="139"/>
      <c r="C3" s="142"/>
      <c r="D3" s="142"/>
      <c r="E3" s="226"/>
      <c r="F3" s="135"/>
      <c r="G3" s="143"/>
      <c r="H3" s="144"/>
      <c r="I3" s="31"/>
      <c r="J3" s="31"/>
      <c r="K3" s="399" t="s">
        <v>645</v>
      </c>
      <c r="L3" s="399"/>
      <c r="M3" s="399"/>
      <c r="N3" s="122"/>
      <c r="O3" s="122"/>
      <c r="P3" s="23"/>
    </row>
    <row r="4" spans="1:16" s="121" customFormat="1">
      <c r="A4" s="132"/>
      <c r="B4" s="37"/>
      <c r="C4" s="132"/>
      <c r="D4" s="132"/>
      <c r="E4" s="232" t="s">
        <v>5</v>
      </c>
      <c r="F4" s="128">
        <v>2006</v>
      </c>
      <c r="G4" s="128">
        <v>2007</v>
      </c>
      <c r="H4" s="128">
        <v>2008</v>
      </c>
      <c r="I4" s="128">
        <v>2009</v>
      </c>
      <c r="J4" s="128">
        <v>2010</v>
      </c>
      <c r="K4" s="128">
        <v>2011</v>
      </c>
      <c r="L4" s="128">
        <v>2012</v>
      </c>
      <c r="M4" s="128">
        <v>2013</v>
      </c>
      <c r="N4" s="128">
        <v>2014</v>
      </c>
      <c r="O4" s="128">
        <v>2015</v>
      </c>
      <c r="P4" s="23" t="s">
        <v>6</v>
      </c>
    </row>
    <row r="5" spans="1:16" s="121" customFormat="1" ht="5.0999999999999996" customHeight="1">
      <c r="A5" s="132"/>
      <c r="B5" s="37"/>
      <c r="C5" s="132"/>
      <c r="D5" s="132"/>
      <c r="E5" s="227"/>
      <c r="F5" s="31"/>
      <c r="G5" s="128"/>
      <c r="H5" s="128"/>
      <c r="I5" s="128"/>
      <c r="J5" s="128"/>
      <c r="K5" s="136"/>
      <c r="L5" s="136"/>
      <c r="M5" s="136"/>
      <c r="N5" s="136"/>
      <c r="O5" s="136"/>
      <c r="P5" s="23"/>
    </row>
    <row r="6" spans="1:16" s="121" customFormat="1">
      <c r="A6" s="203" t="s">
        <v>7</v>
      </c>
      <c r="B6" s="31"/>
      <c r="C6" s="203"/>
      <c r="D6" s="203"/>
      <c r="E6" s="211" t="s">
        <v>8</v>
      </c>
      <c r="F6" s="31"/>
      <c r="G6" s="31"/>
      <c r="H6" s="31"/>
      <c r="I6" s="31"/>
      <c r="J6" s="20"/>
      <c r="K6" s="93">
        <f>RPI</f>
        <v>-3.8999999999999998E-3</v>
      </c>
      <c r="L6" s="93">
        <f>RPI</f>
        <v>4.6899999999999997E-2</v>
      </c>
      <c r="M6" s="93">
        <f>RPI</f>
        <v>5.1799999999999999E-2</v>
      </c>
      <c r="N6" s="93">
        <f>RPI</f>
        <v>0</v>
      </c>
      <c r="O6" s="93">
        <f>RPI</f>
        <v>0</v>
      </c>
      <c r="P6" s="23" t="s">
        <v>7</v>
      </c>
    </row>
    <row r="7" spans="1:16" s="121" customFormat="1">
      <c r="A7" s="20" t="s">
        <v>315</v>
      </c>
      <c r="B7" s="20"/>
      <c r="C7" s="20"/>
      <c r="D7" s="20"/>
      <c r="E7" s="211" t="s">
        <v>8</v>
      </c>
      <c r="F7" s="93">
        <f>RPI_DPCR4</f>
        <v>3.2500000000000001E-2</v>
      </c>
      <c r="G7" s="93">
        <f>RPI_DPCR4</f>
        <v>2.58E-2</v>
      </c>
      <c r="H7" s="93">
        <f>RPI_DPCR4</f>
        <v>3.7199999999999997E-2</v>
      </c>
      <c r="I7" s="93">
        <f>RPI_DPCR4</f>
        <v>4.07E-2</v>
      </c>
      <c r="J7" s="93">
        <f>RPI_DPCR4</f>
        <v>3.8199999999999998E-2</v>
      </c>
      <c r="K7" s="20"/>
      <c r="L7" s="20"/>
      <c r="M7" s="20"/>
      <c r="N7" s="20"/>
      <c r="O7" s="20"/>
      <c r="P7" s="23" t="s">
        <v>316</v>
      </c>
    </row>
    <row r="8" spans="1:16" s="121" customFormat="1">
      <c r="B8" s="20"/>
      <c r="C8" s="20"/>
      <c r="D8" s="20"/>
      <c r="E8" s="211"/>
      <c r="F8" s="20"/>
      <c r="G8" s="20"/>
      <c r="H8" s="20"/>
      <c r="I8" s="20"/>
      <c r="J8" s="20"/>
      <c r="K8" s="128">
        <v>2001</v>
      </c>
      <c r="L8" s="136">
        <v>2002</v>
      </c>
      <c r="M8" s="128">
        <v>2003</v>
      </c>
      <c r="N8" s="136">
        <v>2004</v>
      </c>
      <c r="O8" s="128">
        <v>2005</v>
      </c>
      <c r="P8" s="23"/>
    </row>
    <row r="9" spans="1:16" s="9" customFormat="1">
      <c r="A9" s="20" t="s">
        <v>413</v>
      </c>
      <c r="B9" s="20"/>
      <c r="C9" s="20"/>
      <c r="D9" s="20"/>
      <c r="E9" s="214" t="s">
        <v>8</v>
      </c>
      <c r="F9" s="20"/>
      <c r="G9" s="20"/>
      <c r="H9" s="20"/>
      <c r="I9" s="20"/>
      <c r="J9" s="31"/>
      <c r="K9" s="93">
        <f>RPI_DPCR3</f>
        <v>1.3100000000000001E-2</v>
      </c>
      <c r="L9" s="93">
        <f>RPI_DPCR3</f>
        <v>3.1399999999999997E-2</v>
      </c>
      <c r="M9" s="93">
        <f>RPI_DPCR3</f>
        <v>1.4200000000000001E-2</v>
      </c>
      <c r="N9" s="93">
        <f>RPI_DPCR3</f>
        <v>2.0400000000000001E-2</v>
      </c>
      <c r="O9" s="93">
        <f>RPI_DPCR3</f>
        <v>2.7900000000000001E-2</v>
      </c>
      <c r="P9" s="23" t="s">
        <v>504</v>
      </c>
    </row>
    <row r="10" spans="1:16" s="9" customFormat="1" ht="5.0999999999999996" customHeight="1">
      <c r="A10" s="20"/>
      <c r="B10" s="20"/>
      <c r="C10" s="20"/>
      <c r="D10" s="20"/>
      <c r="E10" s="154"/>
      <c r="F10" s="20"/>
      <c r="G10" s="20"/>
      <c r="H10" s="20"/>
      <c r="I10" s="20"/>
      <c r="J10" s="214"/>
      <c r="K10" s="20"/>
      <c r="L10" s="20"/>
      <c r="M10" s="20"/>
      <c r="N10" s="20"/>
      <c r="O10" s="20"/>
      <c r="P10" s="23"/>
    </row>
    <row r="11" spans="1:16" s="9" customFormat="1" ht="9" customHeight="1">
      <c r="A11" s="20"/>
      <c r="B11" s="20"/>
      <c r="C11" s="20"/>
      <c r="D11" s="20"/>
      <c r="E11" s="154"/>
      <c r="F11" s="20"/>
      <c r="G11" s="20"/>
      <c r="H11" s="20"/>
      <c r="I11" s="20"/>
      <c r="J11" s="214"/>
      <c r="K11" s="128"/>
      <c r="L11" s="128"/>
      <c r="M11" s="128"/>
      <c r="N11" s="128"/>
      <c r="O11" s="128"/>
      <c r="P11" s="23"/>
    </row>
    <row r="12" spans="1:16" s="9" customFormat="1" ht="15">
      <c r="A12" s="24" t="s">
        <v>180</v>
      </c>
      <c r="B12" s="37"/>
      <c r="C12" s="68"/>
      <c r="D12" s="68"/>
      <c r="E12" s="227"/>
      <c r="F12" s="31"/>
      <c r="G12" s="31"/>
      <c r="H12" s="31"/>
      <c r="I12" s="31"/>
      <c r="J12" s="31"/>
      <c r="K12" s="128">
        <v>2011</v>
      </c>
      <c r="L12" s="128">
        <v>2012</v>
      </c>
      <c r="M12" s="128">
        <v>2013</v>
      </c>
      <c r="N12" s="128">
        <v>2014</v>
      </c>
      <c r="O12" s="128">
        <v>2015</v>
      </c>
      <c r="P12" s="23"/>
    </row>
    <row r="13" spans="1:16" s="9" customFormat="1" ht="25.5">
      <c r="A13" s="140" t="s">
        <v>181</v>
      </c>
      <c r="B13" s="139" t="s">
        <v>126</v>
      </c>
      <c r="C13" s="139"/>
      <c r="D13" s="139"/>
      <c r="E13" s="211" t="s">
        <v>14</v>
      </c>
      <c r="F13" s="135"/>
      <c r="G13" s="135"/>
      <c r="H13" s="135"/>
      <c r="I13" s="135"/>
      <c r="J13" s="31"/>
      <c r="K13" s="215">
        <f>FV_SRCM</f>
        <v>1.1200000000000001</v>
      </c>
      <c r="L13" s="215">
        <f>FV_SRCM</f>
        <v>1.1200000000000001</v>
      </c>
      <c r="M13" s="215">
        <f>FV_SRCM</f>
        <v>1.1200000000000001</v>
      </c>
      <c r="N13" s="215">
        <f>FV_SRCM</f>
        <v>1.1200000000000001</v>
      </c>
      <c r="O13" s="215">
        <f>FV_SRCM</f>
        <v>1.1200000000000001</v>
      </c>
      <c r="P13" s="23" t="s">
        <v>127</v>
      </c>
    </row>
    <row r="14" spans="1:16" s="9" customFormat="1">
      <c r="A14" s="139"/>
      <c r="B14" s="139" t="s">
        <v>182</v>
      </c>
      <c r="C14" s="139"/>
      <c r="D14" s="139"/>
      <c r="E14" s="214" t="s">
        <v>8</v>
      </c>
      <c r="F14" s="135"/>
      <c r="G14" s="135"/>
      <c r="H14" s="135"/>
      <c r="I14" s="135"/>
      <c r="J14" s="31"/>
      <c r="K14" s="206">
        <f>(1+K6)*(1+J7)*(1+I7)*(1+H7)*(1+G7)*(1+F7)*(1+O9)*(1+N9)</f>
        <v>1.2400697066439257</v>
      </c>
      <c r="L14" s="206">
        <f>(1+RPI)*K14</f>
        <v>1.2982289758855257</v>
      </c>
      <c r="M14" s="206">
        <f>(1+RPI)*L14</f>
        <v>1.3654772368363959</v>
      </c>
      <c r="N14" s="206">
        <f>(1+RPI)*M14</f>
        <v>1.3654772368363959</v>
      </c>
      <c r="O14" s="206">
        <f>(1+RPI)*N14</f>
        <v>1.3654772368363959</v>
      </c>
      <c r="P14" s="23" t="s">
        <v>183</v>
      </c>
    </row>
    <row r="15" spans="1:16" s="9" customFormat="1" ht="17.25">
      <c r="A15" s="139"/>
      <c r="B15" s="139" t="s">
        <v>216</v>
      </c>
      <c r="C15" s="139"/>
      <c r="D15" s="139"/>
      <c r="E15" s="211" t="s">
        <v>14</v>
      </c>
      <c r="F15" s="135"/>
      <c r="G15" s="135"/>
      <c r="H15" s="135"/>
      <c r="I15" s="135"/>
      <c r="J15" s="31"/>
      <c r="K15" s="215">
        <f>AF</f>
        <v>0</v>
      </c>
      <c r="L15" s="215">
        <f>AF</f>
        <v>0</v>
      </c>
      <c r="M15" s="215">
        <f>AF</f>
        <v>0</v>
      </c>
      <c r="N15" s="215">
        <f>AF</f>
        <v>0</v>
      </c>
      <c r="O15" s="215">
        <f>AF</f>
        <v>0</v>
      </c>
      <c r="P15" s="23" t="s">
        <v>203</v>
      </c>
    </row>
    <row r="16" spans="1:16" s="9" customFormat="1">
      <c r="A16" s="139"/>
      <c r="B16" s="139" t="s">
        <v>184</v>
      </c>
      <c r="C16" s="139"/>
      <c r="D16" s="139"/>
      <c r="E16" s="211" t="s">
        <v>14</v>
      </c>
      <c r="F16" s="135"/>
      <c r="G16" s="135"/>
      <c r="H16" s="135"/>
      <c r="I16" s="135"/>
      <c r="J16" s="31"/>
      <c r="K16" s="196">
        <f>FV_SRCM*PIT+AF</f>
        <v>1.3888780714411968</v>
      </c>
      <c r="L16" s="196">
        <f>FV_SRCM*PIT+AF</f>
        <v>1.4540164529917889</v>
      </c>
      <c r="M16" s="196">
        <f>FV_SRCM*PIT+AF</f>
        <v>1.5293345052567635</v>
      </c>
      <c r="N16" s="196">
        <f>FV_SRCM*PIT+AF</f>
        <v>1.5293345052567635</v>
      </c>
      <c r="O16" s="196">
        <f>FV_SRCM*PIT+AF</f>
        <v>1.5293345052567635</v>
      </c>
      <c r="P16" s="23" t="s">
        <v>184</v>
      </c>
    </row>
    <row r="17" spans="1:16" s="9" customFormat="1">
      <c r="A17" s="149" t="s">
        <v>634</v>
      </c>
      <c r="B17" s="139"/>
      <c r="C17" s="139"/>
      <c r="D17" s="139"/>
      <c r="E17" s="214" t="s">
        <v>14</v>
      </c>
      <c r="F17" s="135"/>
      <c r="G17" s="135"/>
      <c r="H17" s="135"/>
      <c r="I17" s="135"/>
      <c r="J17" s="31"/>
      <c r="K17" s="215">
        <f>Chg_SRCM</f>
        <v>0</v>
      </c>
      <c r="L17" s="215">
        <f>Chg_SRCM</f>
        <v>0</v>
      </c>
      <c r="M17" s="215">
        <f>Chg_SRCM</f>
        <v>0</v>
      </c>
      <c r="N17" s="215">
        <f>Chg_SRCM</f>
        <v>0</v>
      </c>
      <c r="O17" s="215">
        <f>Chg_SRCM</f>
        <v>0</v>
      </c>
      <c r="P17" s="23" t="s">
        <v>530</v>
      </c>
    </row>
    <row r="18" spans="1:16">
      <c r="A18" s="139"/>
      <c r="B18" s="139"/>
      <c r="C18" s="139"/>
      <c r="D18" s="139"/>
      <c r="E18" s="211"/>
      <c r="F18" s="135"/>
      <c r="G18" s="135"/>
      <c r="H18" s="135"/>
      <c r="I18" s="135"/>
      <c r="K18" s="238" t="str">
        <f>IF(Chg_SRCM&lt;=SRCM,"ok","error")</f>
        <v>ok</v>
      </c>
      <c r="L18" s="238" t="str">
        <f>IF(Chg_SRCM&lt;=SRCM,"ok","error")</f>
        <v>ok</v>
      </c>
      <c r="M18" s="238" t="str">
        <f>IF(Chg_SRCM&lt;=SRCM,"ok","error")</f>
        <v>ok</v>
      </c>
      <c r="N18" s="238" t="str">
        <f>IF(Chg_SRCM&lt;=SRCM,"ok","error")</f>
        <v>ok</v>
      </c>
      <c r="O18" s="238" t="str">
        <f>IF(Chg_SRCM&lt;=SRCM,"ok","error")</f>
        <v>ok</v>
      </c>
    </row>
    <row r="19" spans="1:16" s="9" customFormat="1" ht="25.5">
      <c r="A19" s="140" t="s">
        <v>185</v>
      </c>
      <c r="B19" s="139" t="s">
        <v>129</v>
      </c>
      <c r="C19" s="139"/>
      <c r="D19" s="139"/>
      <c r="E19" s="211" t="s">
        <v>14</v>
      </c>
      <c r="F19" s="135"/>
      <c r="G19" s="135"/>
      <c r="H19" s="135"/>
      <c r="I19" s="135"/>
      <c r="J19" s="31"/>
      <c r="K19" s="215">
        <f>TTPMAV</f>
        <v>59</v>
      </c>
      <c r="L19" s="215">
        <f>TTPMAV</f>
        <v>59</v>
      </c>
      <c r="M19" s="215">
        <f>TTPMAV</f>
        <v>59</v>
      </c>
      <c r="N19" s="215">
        <f>TTPMAV</f>
        <v>59</v>
      </c>
      <c r="O19" s="215">
        <f>TTPMAV</f>
        <v>59</v>
      </c>
      <c r="P19" s="23" t="s">
        <v>129</v>
      </c>
    </row>
    <row r="20" spans="1:16" s="9" customFormat="1">
      <c r="A20" s="139"/>
      <c r="B20" s="149" t="s">
        <v>186</v>
      </c>
      <c r="C20" s="139"/>
      <c r="D20" s="139"/>
      <c r="E20" s="211" t="s">
        <v>82</v>
      </c>
      <c r="F20" s="135"/>
      <c r="G20" s="135"/>
      <c r="H20" s="135"/>
      <c r="I20" s="135"/>
      <c r="J20" s="31"/>
      <c r="K20" s="216">
        <f>LTok</f>
        <v>9.7200000000000006</v>
      </c>
      <c r="L20" s="216">
        <f>LTok</f>
        <v>9.7200000000000006</v>
      </c>
      <c r="M20" s="216">
        <f>LTok</f>
        <v>9.7200000000000006</v>
      </c>
      <c r="N20" s="216">
        <f>LTok</f>
        <v>9.7200000000000006</v>
      </c>
      <c r="O20" s="216">
        <f>LTok</f>
        <v>9.7200000000000006</v>
      </c>
      <c r="P20" s="23" t="s">
        <v>301</v>
      </c>
    </row>
    <row r="21" spans="1:16" s="9" customFormat="1">
      <c r="A21" s="139"/>
      <c r="B21" s="139" t="s">
        <v>187</v>
      </c>
      <c r="C21" s="139"/>
      <c r="D21" s="139"/>
      <c r="E21" s="211" t="s">
        <v>82</v>
      </c>
      <c r="F21" s="135"/>
      <c r="G21" s="135"/>
      <c r="H21" s="135"/>
      <c r="I21" s="135"/>
      <c r="J21" s="31"/>
      <c r="K21" s="188">
        <f>ROUNDDOWN(K20,0)</f>
        <v>9</v>
      </c>
      <c r="L21" s="188">
        <f>ROUNDDOWN(L20,0)</f>
        <v>9</v>
      </c>
      <c r="M21" s="188">
        <f>ROUNDDOWN(M20,0)</f>
        <v>9</v>
      </c>
      <c r="N21" s="188">
        <f>ROUNDDOWN(N20,0)</f>
        <v>9</v>
      </c>
      <c r="O21" s="188">
        <f>ROUNDDOWN(O20,0)</f>
        <v>9</v>
      </c>
      <c r="P21" s="23" t="s">
        <v>187</v>
      </c>
    </row>
    <row r="22" spans="1:16" s="9" customFormat="1">
      <c r="A22" s="139"/>
      <c r="B22" s="139" t="s">
        <v>183</v>
      </c>
      <c r="C22" s="139"/>
      <c r="D22" s="139"/>
      <c r="E22" s="214" t="s">
        <v>8</v>
      </c>
      <c r="F22" s="135"/>
      <c r="G22" s="135"/>
      <c r="H22" s="135"/>
      <c r="I22" s="135"/>
      <c r="J22" s="31"/>
      <c r="K22" s="202">
        <f>PIT</f>
        <v>1.2400697066439257</v>
      </c>
      <c r="L22" s="202">
        <f>PIT</f>
        <v>1.2982289758855257</v>
      </c>
      <c r="M22" s="202">
        <f>PIT</f>
        <v>1.3654772368363959</v>
      </c>
      <c r="N22" s="202">
        <f>PIT</f>
        <v>1.3654772368363959</v>
      </c>
      <c r="O22" s="202">
        <f>PIT</f>
        <v>1.3654772368363959</v>
      </c>
      <c r="P22" s="23" t="s">
        <v>183</v>
      </c>
    </row>
    <row r="23" spans="1:16" s="9" customFormat="1" ht="17.25">
      <c r="A23" s="139"/>
      <c r="B23" s="139" t="s">
        <v>216</v>
      </c>
      <c r="C23" s="139"/>
      <c r="D23" s="139"/>
      <c r="E23" s="211" t="s">
        <v>14</v>
      </c>
      <c r="F23" s="135"/>
      <c r="G23" s="135"/>
      <c r="H23" s="135"/>
      <c r="I23" s="135"/>
      <c r="J23" s="31"/>
      <c r="K23" s="215">
        <f>AF</f>
        <v>0</v>
      </c>
      <c r="L23" s="215">
        <f>AF</f>
        <v>0</v>
      </c>
      <c r="M23" s="215">
        <f>AF</f>
        <v>0</v>
      </c>
      <c r="N23" s="215">
        <f>AF</f>
        <v>0</v>
      </c>
      <c r="O23" s="215">
        <f>AF</f>
        <v>0</v>
      </c>
      <c r="P23" s="23" t="s">
        <v>203</v>
      </c>
    </row>
    <row r="24" spans="1:16" s="9" customFormat="1">
      <c r="A24" s="139"/>
      <c r="B24" s="139" t="s">
        <v>188</v>
      </c>
      <c r="C24" s="139"/>
      <c r="D24" s="139"/>
      <c r="E24" s="211" t="s">
        <v>14</v>
      </c>
      <c r="F24" s="135"/>
      <c r="G24" s="135"/>
      <c r="H24" s="135"/>
      <c r="I24" s="135"/>
      <c r="J24" s="31"/>
      <c r="K24" s="196">
        <f>(((TTPMAV/LTok)*(1+(1+LTW)*(6.9/100-6.9/200*LTW/LTok))+0.242))*PIT+AF</f>
        <v>10.616504391363987</v>
      </c>
      <c r="L24" s="196">
        <f>(((TTPMAV/LTok)*(1+(1+LTW)*(6.9/100-6.9/200*LTW/LTok))+0.242))*PIT+AF</f>
        <v>11.114418447318958</v>
      </c>
      <c r="M24" s="196">
        <f>(((TTPMAV/LTok)*(1+(1+LTW)*(6.9/100-6.9/200*LTW/LTok))+0.242))*PIT+AF</f>
        <v>11.690145322890078</v>
      </c>
      <c r="N24" s="196">
        <f>(((TTPMAV/LTok)*(1+(1+LTW)*(6.9/100-6.9/200*LTW/LTok))+0.242))*PIT+AF</f>
        <v>11.690145322890078</v>
      </c>
      <c r="O24" s="196">
        <f>(((TTPMAV/LTok)*(1+(1+LTW)*(6.9/100-6.9/200*LTW/LTok))+0.242))*PIT+AF</f>
        <v>11.690145322890078</v>
      </c>
      <c r="P24" s="23" t="s">
        <v>188</v>
      </c>
    </row>
    <row r="25" spans="1:16" s="9" customFormat="1">
      <c r="A25" s="149" t="s">
        <v>634</v>
      </c>
      <c r="B25" s="139"/>
      <c r="C25" s="139"/>
      <c r="D25" s="139"/>
      <c r="E25" s="214" t="s">
        <v>14</v>
      </c>
      <c r="F25" s="135"/>
      <c r="G25" s="135"/>
      <c r="H25" s="135"/>
      <c r="I25" s="135"/>
      <c r="J25" s="31"/>
      <c r="K25" s="215">
        <f>Chg_TPPM</f>
        <v>0</v>
      </c>
      <c r="L25" s="215">
        <f>Chg_TPPM</f>
        <v>0</v>
      </c>
      <c r="M25" s="215">
        <f>Chg_TPPM</f>
        <v>0</v>
      </c>
      <c r="N25" s="215">
        <f>Chg_TPPM</f>
        <v>0</v>
      </c>
      <c r="O25" s="215">
        <f>Chg_TPPM</f>
        <v>0</v>
      </c>
      <c r="P25" s="23" t="s">
        <v>531</v>
      </c>
    </row>
    <row r="26" spans="1:16" s="9" customFormat="1">
      <c r="A26" s="139"/>
      <c r="B26" s="139"/>
      <c r="C26" s="139"/>
      <c r="D26" s="139"/>
      <c r="E26" s="211"/>
      <c r="F26" s="135"/>
      <c r="G26" s="135"/>
      <c r="H26" s="135"/>
      <c r="I26" s="135"/>
      <c r="J26" s="31"/>
      <c r="K26" s="238" t="str">
        <f>IF(Chg_TPPM&lt;=TPPM,"ok","error")</f>
        <v>ok</v>
      </c>
      <c r="L26" s="238" t="str">
        <f>IF(Chg_TPPM&lt;=TPPM,"ok","error")</f>
        <v>ok</v>
      </c>
      <c r="M26" s="238" t="str">
        <f>IF(Chg_TPPM&lt;=TPPM,"ok","error")</f>
        <v>ok</v>
      </c>
      <c r="N26" s="238" t="str">
        <f>IF(Chg_TPPM&lt;=TPPM,"ok","error")</f>
        <v>ok</v>
      </c>
      <c r="O26" s="238" t="str">
        <f>IF(Chg_TPPM&lt;=TPPM,"ok","error")</f>
        <v>ok</v>
      </c>
      <c r="P26" s="23"/>
    </row>
    <row r="27" spans="1:16" s="9" customFormat="1" ht="25.5">
      <c r="A27" s="140" t="s">
        <v>130</v>
      </c>
      <c r="B27" s="139" t="s">
        <v>131</v>
      </c>
      <c r="C27" s="140"/>
      <c r="D27" s="140"/>
      <c r="E27" s="211" t="s">
        <v>14</v>
      </c>
      <c r="F27" s="135"/>
      <c r="G27" s="135"/>
      <c r="H27" s="135"/>
      <c r="I27" s="135"/>
      <c r="J27" s="31"/>
      <c r="K27" s="215">
        <f>KPPMAV</f>
        <v>60.31</v>
      </c>
      <c r="L27" s="215">
        <f>KPPMAV</f>
        <v>60.31</v>
      </c>
      <c r="M27" s="215">
        <f>KPPMAV</f>
        <v>60.31</v>
      </c>
      <c r="N27" s="215">
        <f>KPPMAV</f>
        <v>60.31</v>
      </c>
      <c r="O27" s="215">
        <f>KPPMAV</f>
        <v>60.31</v>
      </c>
      <c r="P27" s="23" t="s">
        <v>131</v>
      </c>
    </row>
    <row r="28" spans="1:16" s="9" customFormat="1">
      <c r="A28" s="140"/>
      <c r="B28" s="149" t="s">
        <v>189</v>
      </c>
      <c r="C28" s="140"/>
      <c r="D28" s="140"/>
      <c r="E28" s="211" t="s">
        <v>82</v>
      </c>
      <c r="F28" s="135"/>
      <c r="G28" s="135"/>
      <c r="H28" s="135"/>
      <c r="I28" s="135"/>
      <c r="J28" s="31"/>
      <c r="K28" s="216">
        <f>LK</f>
        <v>9.34</v>
      </c>
      <c r="L28" s="216">
        <f>LK</f>
        <v>9.34</v>
      </c>
      <c r="M28" s="216">
        <f>LK</f>
        <v>9.34</v>
      </c>
      <c r="N28" s="216">
        <f>LK</f>
        <v>9.34</v>
      </c>
      <c r="O28" s="216">
        <f>LK</f>
        <v>9.34</v>
      </c>
      <c r="P28" s="23" t="s">
        <v>189</v>
      </c>
    </row>
    <row r="29" spans="1:16" s="9" customFormat="1">
      <c r="A29" s="140"/>
      <c r="B29" s="139" t="s">
        <v>204</v>
      </c>
      <c r="C29" s="140"/>
      <c r="D29" s="140"/>
      <c r="E29" s="211" t="s">
        <v>82</v>
      </c>
      <c r="F29" s="135"/>
      <c r="G29" s="135"/>
      <c r="H29" s="135"/>
      <c r="I29" s="135"/>
      <c r="J29" s="31"/>
      <c r="K29" s="188">
        <f>ROUNDDOWN(K28,0)</f>
        <v>9</v>
      </c>
      <c r="L29" s="188">
        <f>ROUNDDOWN(L28,0)</f>
        <v>9</v>
      </c>
      <c r="M29" s="188">
        <f>ROUNDDOWN(M28,0)</f>
        <v>9</v>
      </c>
      <c r="N29" s="188">
        <f>ROUNDDOWN(N28,0)</f>
        <v>9</v>
      </c>
      <c r="O29" s="188">
        <f>ROUNDDOWN(O28,0)</f>
        <v>9</v>
      </c>
      <c r="P29" s="23" t="s">
        <v>204</v>
      </c>
    </row>
    <row r="30" spans="1:16" s="9" customFormat="1">
      <c r="A30" s="140"/>
      <c r="B30" s="139" t="s">
        <v>183</v>
      </c>
      <c r="C30" s="140"/>
      <c r="D30" s="140"/>
      <c r="E30" s="214" t="s">
        <v>8</v>
      </c>
      <c r="F30" s="135"/>
      <c r="G30" s="135"/>
      <c r="H30" s="135"/>
      <c r="I30" s="135"/>
      <c r="J30" s="31"/>
      <c r="K30" s="202">
        <f>PIT</f>
        <v>1.2400697066439257</v>
      </c>
      <c r="L30" s="202">
        <f>PIT</f>
        <v>1.2982289758855257</v>
      </c>
      <c r="M30" s="202">
        <f>PIT</f>
        <v>1.3654772368363959</v>
      </c>
      <c r="N30" s="202">
        <f>PIT</f>
        <v>1.3654772368363959</v>
      </c>
      <c r="O30" s="202">
        <f>PIT</f>
        <v>1.3654772368363959</v>
      </c>
      <c r="P30" s="23" t="s">
        <v>183</v>
      </c>
    </row>
    <row r="31" spans="1:16" s="9" customFormat="1" ht="15.75">
      <c r="A31" s="140"/>
      <c r="B31" s="139" t="s">
        <v>254</v>
      </c>
      <c r="C31" s="140"/>
      <c r="D31" s="140"/>
      <c r="E31" s="211" t="s">
        <v>14</v>
      </c>
      <c r="F31" s="135"/>
      <c r="G31" s="135"/>
      <c r="H31" s="135"/>
      <c r="I31" s="135"/>
      <c r="J31" s="31"/>
      <c r="K31" s="215">
        <f>AF</f>
        <v>0</v>
      </c>
      <c r="L31" s="215">
        <f>AF</f>
        <v>0</v>
      </c>
      <c r="M31" s="215">
        <f>AF</f>
        <v>0</v>
      </c>
      <c r="N31" s="215">
        <f>AF</f>
        <v>0</v>
      </c>
      <c r="O31" s="215">
        <f>AF</f>
        <v>0</v>
      </c>
      <c r="P31" s="23" t="s">
        <v>203</v>
      </c>
    </row>
    <row r="32" spans="1:16" s="9" customFormat="1">
      <c r="A32" s="139"/>
      <c r="B32" s="139" t="s">
        <v>190</v>
      </c>
      <c r="C32" s="139"/>
      <c r="D32" s="139"/>
      <c r="E32" s="211" t="s">
        <v>14</v>
      </c>
      <c r="F32" s="135"/>
      <c r="G32" s="135"/>
      <c r="H32" s="135"/>
      <c r="I32" s="135"/>
      <c r="J32" s="31"/>
      <c r="K32" s="196">
        <f>(((KPPMAV/LK)*(1+(1+LKW)*(6.9/100-6.9/200*LKW/LK))+0.242))*PIT+AF</f>
        <v>11.170539479317972</v>
      </c>
      <c r="L32" s="196">
        <f>(((KPPMAV/LK)*(1+(1+LKW)*(6.9/100-6.9/200*LKW/LK))+0.242))*PIT+AF</f>
        <v>11.694437780897983</v>
      </c>
      <c r="M32" s="196">
        <f>(((KPPMAV/LK)*(1+(1+LKW)*(6.9/100-6.9/200*LKW/LK))+0.242))*PIT+AF</f>
        <v>12.3002096579485</v>
      </c>
      <c r="N32" s="196">
        <f>(((KPPMAV/LK)*(1+(1+LKW)*(6.9/100-6.9/200*LKW/LK))+0.242))*PIT+AF</f>
        <v>12.3002096579485</v>
      </c>
      <c r="O32" s="196">
        <f>(((KPPMAV/LK)*(1+(1+LKW)*(6.9/100-6.9/200*LKW/LK))+0.242))*PIT+AF</f>
        <v>12.3002096579485</v>
      </c>
      <c r="P32" s="23" t="s">
        <v>190</v>
      </c>
    </row>
    <row r="33" spans="1:16" s="9" customFormat="1">
      <c r="A33" s="149" t="s">
        <v>634</v>
      </c>
      <c r="B33" s="139"/>
      <c r="C33" s="139"/>
      <c r="D33" s="139"/>
      <c r="E33" s="214" t="s">
        <v>14</v>
      </c>
      <c r="F33" s="135"/>
      <c r="G33" s="135"/>
      <c r="H33" s="135"/>
      <c r="I33" s="135"/>
      <c r="J33" s="31"/>
      <c r="K33" s="215">
        <f>Chg_KPPM</f>
        <v>0</v>
      </c>
      <c r="L33" s="215">
        <f>Chg_KPPM</f>
        <v>0</v>
      </c>
      <c r="M33" s="215">
        <f>Chg_KPPM</f>
        <v>0</v>
      </c>
      <c r="N33" s="215">
        <f>Chg_KPPM</f>
        <v>0</v>
      </c>
      <c r="O33" s="215">
        <f>Chg_KPPM</f>
        <v>0</v>
      </c>
      <c r="P33" s="23" t="s">
        <v>635</v>
      </c>
    </row>
    <row r="34" spans="1:16" s="9" customFormat="1">
      <c r="A34" s="139"/>
      <c r="B34" s="139"/>
      <c r="C34" s="139"/>
      <c r="D34" s="139"/>
      <c r="E34" s="211"/>
      <c r="F34" s="135"/>
      <c r="G34" s="135"/>
      <c r="H34" s="135"/>
      <c r="I34" s="135"/>
      <c r="J34" s="31"/>
      <c r="K34" s="238" t="str">
        <f>IF(Chg_KPPM&lt;=KPPM,"ok","error")</f>
        <v>ok</v>
      </c>
      <c r="L34" s="238" t="str">
        <f>IF(Chg_KPPM&lt;=KPPM,"ok","error")</f>
        <v>ok</v>
      </c>
      <c r="M34" s="238" t="str">
        <f>IF(Chg_KPPM&lt;=KPPM,"ok","error")</f>
        <v>ok</v>
      </c>
      <c r="N34" s="238" t="str">
        <f>IF(Chg_KPPM&lt;=KPPM,"ok","error")</f>
        <v>ok</v>
      </c>
      <c r="O34" s="238" t="str">
        <f>IF(Chg_KPPM&lt;=KPPM,"ok","error")</f>
        <v>ok</v>
      </c>
      <c r="P34" s="23"/>
    </row>
    <row r="35" spans="1:16" s="9" customFormat="1" ht="25.5">
      <c r="A35" s="140" t="s">
        <v>191</v>
      </c>
      <c r="B35" s="139" t="s">
        <v>133</v>
      </c>
      <c r="C35" s="140"/>
      <c r="D35" s="140"/>
      <c r="E35" s="211" t="s">
        <v>14</v>
      </c>
      <c r="F35" s="135"/>
      <c r="G35" s="135"/>
      <c r="H35" s="135"/>
      <c r="I35" s="135"/>
      <c r="J35" s="31"/>
      <c r="K35" s="215">
        <f>SPPMAV</f>
        <v>62.77</v>
      </c>
      <c r="L35" s="215">
        <f>SPPMAV</f>
        <v>62.77</v>
      </c>
      <c r="M35" s="215">
        <f>SPPMAV</f>
        <v>62.77</v>
      </c>
      <c r="N35" s="215">
        <f>SPPMAV</f>
        <v>62.77</v>
      </c>
      <c r="O35" s="215">
        <f>SPPMAV</f>
        <v>62.77</v>
      </c>
      <c r="P35" s="23" t="s">
        <v>133</v>
      </c>
    </row>
    <row r="36" spans="1:16" s="9" customFormat="1">
      <c r="A36" s="140"/>
      <c r="B36" s="139" t="s">
        <v>126</v>
      </c>
      <c r="C36" s="140"/>
      <c r="D36" s="140"/>
      <c r="E36" s="211" t="s">
        <v>82</v>
      </c>
      <c r="F36" s="135"/>
      <c r="G36" s="135"/>
      <c r="H36" s="135"/>
      <c r="I36" s="135"/>
      <c r="J36" s="31"/>
      <c r="K36" s="216">
        <f>LS</f>
        <v>7</v>
      </c>
      <c r="L36" s="216">
        <f>LS</f>
        <v>7</v>
      </c>
      <c r="M36" s="216">
        <f>LS</f>
        <v>7</v>
      </c>
      <c r="N36" s="216">
        <f>LS</f>
        <v>7</v>
      </c>
      <c r="O36" s="216">
        <f>LS</f>
        <v>7</v>
      </c>
      <c r="P36" s="23" t="s">
        <v>192</v>
      </c>
    </row>
    <row r="37" spans="1:16" s="9" customFormat="1">
      <c r="A37" s="140"/>
      <c r="B37" s="139" t="s">
        <v>193</v>
      </c>
      <c r="C37" s="140"/>
      <c r="D37" s="140"/>
      <c r="E37" s="211" t="s">
        <v>82</v>
      </c>
      <c r="F37" s="135"/>
      <c r="G37" s="135"/>
      <c r="H37" s="135"/>
      <c r="I37" s="135"/>
      <c r="J37" s="31"/>
      <c r="K37" s="188">
        <f>ROUNDDOWN(K36,0)</f>
        <v>7</v>
      </c>
      <c r="L37" s="188">
        <f>ROUNDDOWN(L36,0)</f>
        <v>7</v>
      </c>
      <c r="M37" s="188">
        <f>ROUNDDOWN(M36,0)</f>
        <v>7</v>
      </c>
      <c r="N37" s="188">
        <f>ROUNDDOWN(N36,0)</f>
        <v>7</v>
      </c>
      <c r="O37" s="188">
        <f>ROUNDDOWN(O36,0)</f>
        <v>7</v>
      </c>
      <c r="P37" s="23" t="s">
        <v>193</v>
      </c>
    </row>
    <row r="38" spans="1:16" s="9" customFormat="1">
      <c r="A38" s="140"/>
      <c r="B38" s="139" t="s">
        <v>183</v>
      </c>
      <c r="C38" s="140"/>
      <c r="D38" s="140"/>
      <c r="E38" s="214" t="s">
        <v>8</v>
      </c>
      <c r="F38" s="135"/>
      <c r="G38" s="135"/>
      <c r="H38" s="135"/>
      <c r="I38" s="135"/>
      <c r="J38" s="31"/>
      <c r="K38" s="202">
        <f>PIT</f>
        <v>1.2400697066439257</v>
      </c>
      <c r="L38" s="202">
        <f>PIT</f>
        <v>1.2982289758855257</v>
      </c>
      <c r="M38" s="202">
        <f>PIT</f>
        <v>1.3654772368363959</v>
      </c>
      <c r="N38" s="202">
        <f>PIT</f>
        <v>1.3654772368363959</v>
      </c>
      <c r="O38" s="202">
        <f>PIT</f>
        <v>1.3654772368363959</v>
      </c>
      <c r="P38" s="23" t="s">
        <v>183</v>
      </c>
    </row>
    <row r="39" spans="1:16" s="9" customFormat="1" ht="14.25">
      <c r="A39" s="140"/>
      <c r="B39" s="139" t="s">
        <v>255</v>
      </c>
      <c r="C39" s="140"/>
      <c r="D39" s="140"/>
      <c r="E39" s="211" t="s">
        <v>14</v>
      </c>
      <c r="F39" s="135"/>
      <c r="G39" s="135"/>
      <c r="H39" s="135"/>
      <c r="I39" s="135"/>
      <c r="J39" s="31"/>
      <c r="K39" s="215">
        <f>AF</f>
        <v>0</v>
      </c>
      <c r="L39" s="215">
        <f>AF</f>
        <v>0</v>
      </c>
      <c r="M39" s="215">
        <f>AF</f>
        <v>0</v>
      </c>
      <c r="N39" s="215">
        <f>AF</f>
        <v>0</v>
      </c>
      <c r="O39" s="215">
        <f>AF</f>
        <v>0</v>
      </c>
      <c r="P39" s="23" t="s">
        <v>203</v>
      </c>
    </row>
    <row r="40" spans="1:16" s="9" customFormat="1">
      <c r="A40" s="140"/>
      <c r="B40" s="139" t="s">
        <v>194</v>
      </c>
      <c r="C40" s="140"/>
      <c r="D40" s="140"/>
      <c r="E40" s="211" t="s">
        <v>14</v>
      </c>
      <c r="F40" s="135"/>
      <c r="G40" s="135"/>
      <c r="H40" s="135"/>
      <c r="I40" s="135"/>
      <c r="J40" s="31"/>
      <c r="K40" s="196">
        <f>(((SPPMAV/LS)*(1+(1+LSW)*(6.9/100-6.9/200*LSW/LS))+0.242))*PIT+AF</f>
        <v>14.489066571891549</v>
      </c>
      <c r="L40" s="196">
        <f>(((SPPMAV/LS)*(1+(1+LSW)*(6.9/100-6.9/200*LSW/LS))+0.242))*PIT+AF</f>
        <v>15.168603794113261</v>
      </c>
      <c r="M40" s="196">
        <f>(((SPPMAV/LS)*(1+(1+LSW)*(6.9/100-6.9/200*LSW/LS))+0.242))*PIT+AF</f>
        <v>15.954337470648328</v>
      </c>
      <c r="N40" s="196">
        <f>(((SPPMAV/LS)*(1+(1+LSW)*(6.9/100-6.9/200*LSW/LS))+0.242))*PIT+AF</f>
        <v>15.954337470648328</v>
      </c>
      <c r="O40" s="196">
        <f>(((SPPMAV/LS)*(1+(1+LSW)*(6.9/100-6.9/200*LSW/LS))+0.242))*PIT+AF</f>
        <v>15.954337470648328</v>
      </c>
      <c r="P40" s="23" t="s">
        <v>194</v>
      </c>
    </row>
    <row r="41" spans="1:16" s="9" customFormat="1">
      <c r="A41" s="149" t="s">
        <v>634</v>
      </c>
      <c r="B41" s="139"/>
      <c r="C41" s="140"/>
      <c r="D41" s="140"/>
      <c r="E41" s="214" t="s">
        <v>14</v>
      </c>
      <c r="F41" s="135"/>
      <c r="G41" s="135"/>
      <c r="H41" s="135"/>
      <c r="I41" s="135"/>
      <c r="J41" s="31"/>
      <c r="K41" s="215">
        <f>Chg_SPPM</f>
        <v>0</v>
      </c>
      <c r="L41" s="215">
        <f>Chg_SPPM</f>
        <v>0</v>
      </c>
      <c r="M41" s="215">
        <f>Chg_SPPM</f>
        <v>0</v>
      </c>
      <c r="N41" s="215">
        <f>Chg_SPPM</f>
        <v>0</v>
      </c>
      <c r="O41" s="215">
        <f>Chg_SPPM</f>
        <v>0</v>
      </c>
      <c r="P41" s="23" t="s">
        <v>533</v>
      </c>
    </row>
    <row r="42" spans="1:16" s="9" customFormat="1">
      <c r="B42" s="139"/>
      <c r="C42" s="139"/>
      <c r="D42" s="139"/>
      <c r="E42" s="211"/>
      <c r="F42" s="135"/>
      <c r="G42" s="135"/>
      <c r="H42" s="135"/>
      <c r="I42" s="135"/>
      <c r="J42" s="31"/>
      <c r="K42" s="238" t="str">
        <f>IF(Chg_SPPM&lt;=SPPM,"ok","error")</f>
        <v>ok</v>
      </c>
      <c r="L42" s="238" t="str">
        <f>IF(Chg_SPPM&lt;=SPPM,"ok","error")</f>
        <v>ok</v>
      </c>
      <c r="M42" s="238" t="str">
        <f>IF(Chg_SPPM&lt;=SPPM,"ok","error")</f>
        <v>ok</v>
      </c>
      <c r="N42" s="238" t="str">
        <f>IF(Chg_SPPM&lt;=SPPM,"ok","error")</f>
        <v>ok</v>
      </c>
      <c r="O42" s="238" t="str">
        <f>IF(Chg_SPPM&lt;=SPPM,"ok","error")</f>
        <v>ok</v>
      </c>
      <c r="P42" s="23"/>
    </row>
    <row r="43" spans="1:16" s="9" customFormat="1" ht="39.75" customHeight="1">
      <c r="A43" s="139"/>
      <c r="B43" s="139"/>
      <c r="C43" s="139"/>
      <c r="D43" s="139"/>
      <c r="E43" s="211"/>
      <c r="F43" s="135"/>
      <c r="G43" s="135"/>
      <c r="H43" s="135"/>
      <c r="I43" s="135"/>
      <c r="J43" s="31"/>
      <c r="K43" s="397" t="s">
        <v>539</v>
      </c>
      <c r="L43" s="397"/>
      <c r="M43" s="397"/>
      <c r="N43" s="397"/>
      <c r="O43" s="397"/>
      <c r="P43" s="23"/>
    </row>
    <row r="44" spans="1:16" s="9" customFormat="1" ht="5.0999999999999996" customHeight="1">
      <c r="A44" s="140"/>
      <c r="B44" s="139"/>
      <c r="C44" s="140"/>
      <c r="D44" s="140"/>
      <c r="E44" s="211"/>
      <c r="F44" s="135"/>
      <c r="G44" s="135"/>
      <c r="H44" s="135"/>
      <c r="I44" s="135"/>
      <c r="J44" s="31"/>
      <c r="K44" s="145"/>
      <c r="L44" s="145"/>
      <c r="M44" s="145"/>
      <c r="N44" s="145"/>
      <c r="O44" s="145"/>
      <c r="P44" s="23"/>
    </row>
    <row r="45" spans="1:16" s="9" customFormat="1" ht="15">
      <c r="A45" s="24" t="s">
        <v>195</v>
      </c>
      <c r="B45" s="31"/>
      <c r="C45" s="140"/>
      <c r="D45" s="140"/>
      <c r="E45" s="211"/>
      <c r="F45" s="124"/>
      <c r="G45" s="135"/>
      <c r="H45" s="135"/>
      <c r="I45" s="135"/>
      <c r="J45" s="31"/>
      <c r="K45" s="20"/>
      <c r="L45" s="20"/>
      <c r="M45" s="20"/>
      <c r="N45" s="20"/>
      <c r="O45" s="20"/>
      <c r="P45" s="23"/>
    </row>
    <row r="46" spans="1:16" s="9" customFormat="1">
      <c r="A46" s="140" t="s">
        <v>66</v>
      </c>
      <c r="B46" s="139" t="s">
        <v>196</v>
      </c>
      <c r="C46" s="140"/>
      <c r="D46" s="140"/>
      <c r="E46" s="211" t="s">
        <v>14</v>
      </c>
      <c r="F46" s="135"/>
      <c r="G46" s="135"/>
      <c r="H46" s="135"/>
      <c r="I46" s="135"/>
      <c r="J46" s="31"/>
      <c r="K46" s="215">
        <f>MEAP_MRSPCM</f>
        <v>0</v>
      </c>
      <c r="L46" s="215">
        <f>MEAP_MRSPCM</f>
        <v>0</v>
      </c>
      <c r="M46" s="215">
        <f>MEAP_MRSPCM</f>
        <v>0</v>
      </c>
      <c r="N46" s="215">
        <f>MEAP_MRSPCM</f>
        <v>0</v>
      </c>
      <c r="O46" s="215">
        <f>MEAP_MRSPCM</f>
        <v>0</v>
      </c>
      <c r="P46" s="23" t="s">
        <v>83</v>
      </c>
    </row>
    <row r="47" spans="1:16" s="9" customFormat="1">
      <c r="A47" s="140"/>
      <c r="B47" s="139" t="s">
        <v>197</v>
      </c>
      <c r="C47" s="140"/>
      <c r="D47" s="140"/>
      <c r="E47" s="211" t="s">
        <v>198</v>
      </c>
      <c r="F47" s="135"/>
      <c r="G47" s="135"/>
      <c r="H47" s="135"/>
      <c r="I47" s="135"/>
      <c r="J47" s="31"/>
      <c r="K47" s="216">
        <f>ELA_MRSPCM</f>
        <v>0</v>
      </c>
      <c r="L47" s="216">
        <f>ELA_MRSPCM</f>
        <v>0</v>
      </c>
      <c r="M47" s="216">
        <f>ELA_MRSPCM</f>
        <v>0</v>
      </c>
      <c r="N47" s="216">
        <f>ELA_MRSPCM</f>
        <v>0</v>
      </c>
      <c r="O47" s="216">
        <f>ELA_MRSPCM</f>
        <v>0</v>
      </c>
      <c r="P47" s="23" t="s">
        <v>88</v>
      </c>
    </row>
    <row r="48" spans="1:16" s="9" customFormat="1">
      <c r="A48" s="140"/>
      <c r="B48" s="139" t="s">
        <v>183</v>
      </c>
      <c r="C48" s="140"/>
      <c r="D48" s="140"/>
      <c r="E48" s="214" t="s">
        <v>8</v>
      </c>
      <c r="F48" s="135"/>
      <c r="G48" s="135"/>
      <c r="H48" s="135"/>
      <c r="I48" s="135"/>
      <c r="J48" s="31"/>
      <c r="K48" s="202">
        <f>PIT</f>
        <v>1.2400697066439257</v>
      </c>
      <c r="L48" s="202">
        <f>PIT</f>
        <v>1.2982289758855257</v>
      </c>
      <c r="M48" s="202">
        <f>PIT</f>
        <v>1.3654772368363959</v>
      </c>
      <c r="N48" s="202">
        <f>PIT</f>
        <v>1.3654772368363959</v>
      </c>
      <c r="O48" s="202">
        <f>PIT</f>
        <v>1.3654772368363959</v>
      </c>
      <c r="P48" s="23" t="s">
        <v>183</v>
      </c>
    </row>
    <row r="49" spans="1:16" s="9" customFormat="1" ht="14.25">
      <c r="A49" s="140"/>
      <c r="B49" s="139" t="s">
        <v>255</v>
      </c>
      <c r="C49" s="140"/>
      <c r="D49" s="140"/>
      <c r="E49" s="211" t="s">
        <v>14</v>
      </c>
      <c r="F49" s="135"/>
      <c r="G49" s="135"/>
      <c r="H49" s="135"/>
      <c r="I49" s="135"/>
      <c r="J49" s="31"/>
      <c r="K49" s="215">
        <f>AF</f>
        <v>0</v>
      </c>
      <c r="L49" s="215">
        <f>AF</f>
        <v>0</v>
      </c>
      <c r="M49" s="215">
        <f>AF</f>
        <v>0</v>
      </c>
      <c r="N49" s="215">
        <f>AF</f>
        <v>0</v>
      </c>
      <c r="O49" s="215">
        <f>AF</f>
        <v>0</v>
      </c>
      <c r="P49" s="23" t="s">
        <v>203</v>
      </c>
    </row>
    <row r="50" spans="1:16" s="9" customFormat="1">
      <c r="A50" s="139"/>
      <c r="B50" s="139" t="s">
        <v>199</v>
      </c>
      <c r="C50" s="139"/>
      <c r="D50" s="139"/>
      <c r="E50" s="228" t="s">
        <v>14</v>
      </c>
      <c r="F50" s="135"/>
      <c r="G50" s="135"/>
      <c r="H50" s="135"/>
      <c r="I50" s="135"/>
      <c r="J50" s="31"/>
      <c r="K50" s="196" t="e">
        <f>(MEAP_MRSPCM/ELA_MRSPCM+MEAP_MRSPCM*6.9/200+0.242)*PIT+AF</f>
        <v>#DIV/0!</v>
      </c>
      <c r="L50" s="196" t="e">
        <f>(MEAP_MRSPCM/ELA_MRSPCM+MEAP_MRSPCM*6.9/200+0.242)*PIT+AF</f>
        <v>#DIV/0!</v>
      </c>
      <c r="M50" s="196" t="e">
        <f>(MEAP_MRSPCM/ELA_MRSPCM+MEAP_MRSPCM*6.9/200+0.242)*PIT+AF</f>
        <v>#DIV/0!</v>
      </c>
      <c r="N50" s="196" t="e">
        <f>(MEAP_MRSPCM/ELA_MRSPCM+MEAP_MRSPCM*6.9/200+0.242)*PIT+AF</f>
        <v>#DIV/0!</v>
      </c>
      <c r="O50" s="196" t="e">
        <f>(MEAP_MRSPCM/ELA_MRSPCM+MEAP_MRSPCM*6.9/200+0.242)*PIT+AF</f>
        <v>#DIV/0!</v>
      </c>
      <c r="P50" s="23" t="s">
        <v>525</v>
      </c>
    </row>
    <row r="51" spans="1:16" s="9" customFormat="1">
      <c r="A51" s="149" t="s">
        <v>634</v>
      </c>
      <c r="B51" s="139"/>
      <c r="C51" s="139"/>
      <c r="D51" s="139"/>
      <c r="E51" s="264" t="s">
        <v>14</v>
      </c>
      <c r="F51" s="135"/>
      <c r="G51" s="135"/>
      <c r="H51" s="135"/>
      <c r="I51" s="135"/>
      <c r="J51" s="31"/>
      <c r="K51" s="215">
        <f>Chg_MRSPCM</f>
        <v>0</v>
      </c>
      <c r="L51" s="215">
        <f>Chg_MRSPCM</f>
        <v>0</v>
      </c>
      <c r="M51" s="215">
        <f>Chg_MRSPCM</f>
        <v>0</v>
      </c>
      <c r="N51" s="215">
        <f>Chg_MRSPCM</f>
        <v>0</v>
      </c>
      <c r="O51" s="215">
        <f>Chg_MRSPCM</f>
        <v>0</v>
      </c>
      <c r="P51" s="23" t="s">
        <v>534</v>
      </c>
    </row>
    <row r="52" spans="1:16" s="9" customFormat="1">
      <c r="A52" s="139"/>
      <c r="B52" s="139"/>
      <c r="C52" s="139"/>
      <c r="D52" s="139"/>
      <c r="E52" s="211"/>
      <c r="F52" s="135"/>
      <c r="G52" s="135"/>
      <c r="H52" s="135"/>
      <c r="I52" s="135"/>
      <c r="J52" s="31"/>
      <c r="K52" s="238" t="e">
        <f>IF(Chg_MRSPCM&lt;=MRSPCM,"ok","error")</f>
        <v>#DIV/0!</v>
      </c>
      <c r="L52" s="238" t="e">
        <f>IF(Chg_MRSPCM&lt;=MRSPCM,"ok","error")</f>
        <v>#DIV/0!</v>
      </c>
      <c r="M52" s="238" t="e">
        <f>IF(Chg_MRSPCM&lt;=MRSPCM,"ok","error")</f>
        <v>#DIV/0!</v>
      </c>
      <c r="N52" s="238" t="e">
        <f>IF(Chg_MRSPCM&lt;=MRSPCM,"ok","error")</f>
        <v>#DIV/0!</v>
      </c>
      <c r="O52" s="238" t="e">
        <f>IF(Chg_MRSPCM&lt;=MRSPCM,"ok","error")</f>
        <v>#DIV/0!</v>
      </c>
      <c r="P52" s="23"/>
    </row>
    <row r="53" spans="1:16" s="9" customFormat="1" ht="25.5">
      <c r="A53" s="140" t="s">
        <v>69</v>
      </c>
      <c r="B53" s="139" t="s">
        <v>196</v>
      </c>
      <c r="C53" s="139"/>
      <c r="D53" s="139"/>
      <c r="E53" s="211" t="s">
        <v>14</v>
      </c>
      <c r="F53" s="135"/>
      <c r="G53" s="135"/>
      <c r="H53" s="135"/>
      <c r="I53" s="135"/>
      <c r="J53" s="31"/>
      <c r="K53" s="215">
        <f>MEAP_MRSPPM</f>
        <v>0</v>
      </c>
      <c r="L53" s="215">
        <f>MEAP_MRSPPM</f>
        <v>0</v>
      </c>
      <c r="M53" s="215">
        <f>MEAP_MRSPPM</f>
        <v>0</v>
      </c>
      <c r="N53" s="215">
        <f>MEAP_MRSPPM</f>
        <v>0</v>
      </c>
      <c r="O53" s="215">
        <f>MEAP_MRSPPM</f>
        <v>0</v>
      </c>
      <c r="P53" s="23" t="s">
        <v>84</v>
      </c>
    </row>
    <row r="54" spans="1:16" s="9" customFormat="1">
      <c r="A54" s="139"/>
      <c r="B54" s="139" t="s">
        <v>197</v>
      </c>
      <c r="C54" s="139"/>
      <c r="D54" s="139"/>
      <c r="E54" s="211" t="s">
        <v>198</v>
      </c>
      <c r="F54" s="135"/>
      <c r="G54" s="135"/>
      <c r="H54" s="135"/>
      <c r="I54" s="135"/>
      <c r="J54" s="31"/>
      <c r="K54" s="216">
        <f>ELA_MRSPPM</f>
        <v>0</v>
      </c>
      <c r="L54" s="216">
        <f>ELA_MRSPPM</f>
        <v>0</v>
      </c>
      <c r="M54" s="216">
        <f>ELA_MRSPPM</f>
        <v>0</v>
      </c>
      <c r="N54" s="216">
        <f>ELA_MRSPPM</f>
        <v>0</v>
      </c>
      <c r="O54" s="216">
        <f>ELA_MRSPPM</f>
        <v>0</v>
      </c>
      <c r="P54" s="23" t="s">
        <v>89</v>
      </c>
    </row>
    <row r="55" spans="1:16" s="9" customFormat="1">
      <c r="A55" s="139"/>
      <c r="B55" s="139" t="s">
        <v>183</v>
      </c>
      <c r="C55" s="139"/>
      <c r="D55" s="139"/>
      <c r="E55" s="214" t="s">
        <v>8</v>
      </c>
      <c r="F55" s="135"/>
      <c r="G55" s="135"/>
      <c r="H55" s="135"/>
      <c r="I55" s="135"/>
      <c r="J55" s="31"/>
      <c r="K55" s="202">
        <f>PIT</f>
        <v>1.2400697066439257</v>
      </c>
      <c r="L55" s="202">
        <f>PIT</f>
        <v>1.2982289758855257</v>
      </c>
      <c r="M55" s="202">
        <f>PIT</f>
        <v>1.3654772368363959</v>
      </c>
      <c r="N55" s="202">
        <f>PIT</f>
        <v>1.3654772368363959</v>
      </c>
      <c r="O55" s="202">
        <f>PIT</f>
        <v>1.3654772368363959</v>
      </c>
      <c r="P55" s="23" t="s">
        <v>183</v>
      </c>
    </row>
    <row r="56" spans="1:16" s="9" customFormat="1" ht="17.25">
      <c r="A56" s="139"/>
      <c r="B56" s="139" t="s">
        <v>216</v>
      </c>
      <c r="C56" s="139"/>
      <c r="D56" s="139"/>
      <c r="E56" s="211" t="s">
        <v>14</v>
      </c>
      <c r="F56" s="135"/>
      <c r="G56" s="135"/>
      <c r="H56" s="135"/>
      <c r="I56" s="135"/>
      <c r="J56" s="31"/>
      <c r="K56" s="215">
        <f>AF</f>
        <v>0</v>
      </c>
      <c r="L56" s="215">
        <f>AF</f>
        <v>0</v>
      </c>
      <c r="M56" s="215">
        <f>AF</f>
        <v>0</v>
      </c>
      <c r="N56" s="215">
        <f>AF</f>
        <v>0</v>
      </c>
      <c r="O56" s="215">
        <f>AF</f>
        <v>0</v>
      </c>
      <c r="P56" s="23" t="s">
        <v>203</v>
      </c>
    </row>
    <row r="57" spans="1:16" s="9" customFormat="1">
      <c r="A57" s="139"/>
      <c r="B57" s="139" t="s">
        <v>199</v>
      </c>
      <c r="C57" s="139"/>
      <c r="D57" s="139"/>
      <c r="E57" s="228" t="s">
        <v>14</v>
      </c>
      <c r="F57" s="135"/>
      <c r="G57" s="135"/>
      <c r="H57" s="135"/>
      <c r="I57" s="135"/>
      <c r="J57" s="31"/>
      <c r="K57" s="196" t="e">
        <f>(MEAP_MRSPPM/ELA_MRSPPM+MEAP_MRSPPM*6.9/200+0.242)*PIT+AF</f>
        <v>#DIV/0!</v>
      </c>
      <c r="L57" s="196" t="e">
        <f>(MEAP_MRSPPM/ELA_MRSPPM+MEAP_MRSPPM*6.9/200+0.242)*PIT+AF</f>
        <v>#DIV/0!</v>
      </c>
      <c r="M57" s="196" t="e">
        <f>(MEAP_MRSPPM/ELA_MRSPPM+MEAP_MRSPPM*6.9/200+0.242)*PIT+AF</f>
        <v>#DIV/0!</v>
      </c>
      <c r="N57" s="196" t="e">
        <f>(MEAP_MRSPPM/ELA_MRSPPM+MEAP_MRSPPM*6.9/200+0.242)*PIT+AF</f>
        <v>#DIV/0!</v>
      </c>
      <c r="O57" s="196" t="e">
        <f>(MEAP_MRSPPM/ELA_MRSPPM+MEAP_MRSPPM*6.9/200+0.242)*PIT+AF</f>
        <v>#DIV/0!</v>
      </c>
      <c r="P57" s="23" t="s">
        <v>528</v>
      </c>
    </row>
    <row r="58" spans="1:16" s="9" customFormat="1">
      <c r="A58" s="149" t="s">
        <v>634</v>
      </c>
      <c r="B58" s="139"/>
      <c r="C58" s="139"/>
      <c r="D58" s="139"/>
      <c r="E58" s="264" t="s">
        <v>14</v>
      </c>
      <c r="F58" s="135"/>
      <c r="G58" s="135"/>
      <c r="H58" s="135"/>
      <c r="I58" s="135"/>
      <c r="J58" s="31"/>
      <c r="K58" s="215">
        <f>Chg_MRSPPM</f>
        <v>0</v>
      </c>
      <c r="L58" s="215">
        <f>Chg_MRSPPM</f>
        <v>0</v>
      </c>
      <c r="M58" s="215">
        <f>Chg_MRSPPM</f>
        <v>0</v>
      </c>
      <c r="N58" s="215">
        <f>Chg_MRSPPM</f>
        <v>0</v>
      </c>
      <c r="O58" s="215">
        <f>Chg_MRSPPM</f>
        <v>0</v>
      </c>
      <c r="P58" s="23" t="s">
        <v>535</v>
      </c>
    </row>
    <row r="59" spans="1:16" s="9" customFormat="1">
      <c r="A59" s="139"/>
      <c r="B59" s="139"/>
      <c r="C59" s="139"/>
      <c r="D59" s="139"/>
      <c r="E59" s="211"/>
      <c r="F59" s="135"/>
      <c r="G59" s="135"/>
      <c r="H59" s="135"/>
      <c r="I59" s="135"/>
      <c r="J59" s="31"/>
      <c r="K59" s="238" t="e">
        <f>IF(Chg_MRSPPM&lt;=MRSPPM,"ok","error")</f>
        <v>#DIV/0!</v>
      </c>
      <c r="L59" s="238" t="e">
        <f>IF(Chg_MRSPPM&lt;=MRSPPM,"ok","error")</f>
        <v>#DIV/0!</v>
      </c>
      <c r="M59" s="238" t="e">
        <f>IF(Chg_MRSPPM&lt;=MRSPPM,"ok","error")</f>
        <v>#DIV/0!</v>
      </c>
      <c r="N59" s="238" t="e">
        <f>IF(Chg_MRSPPM&lt;=MRSPPM,"ok","error")</f>
        <v>#DIV/0!</v>
      </c>
      <c r="O59" s="238" t="e">
        <f>IF(Chg_MRSPPM&lt;=MRSPPM,"ok","error")</f>
        <v>#DIV/0!</v>
      </c>
      <c r="P59" s="23"/>
    </row>
    <row r="60" spans="1:16" s="9" customFormat="1" ht="25.5">
      <c r="A60" s="140" t="s">
        <v>72</v>
      </c>
      <c r="B60" s="139" t="s">
        <v>196</v>
      </c>
      <c r="C60" s="140"/>
      <c r="D60" s="140"/>
      <c r="E60" s="211" t="s">
        <v>14</v>
      </c>
      <c r="F60" s="135"/>
      <c r="G60" s="135"/>
      <c r="H60" s="135"/>
      <c r="I60" s="135"/>
      <c r="J60" s="31"/>
      <c r="K60" s="215">
        <f>MEAP_PPSRWCM</f>
        <v>0</v>
      </c>
      <c r="L60" s="215">
        <f>MEAP_PPSRWCM</f>
        <v>0</v>
      </c>
      <c r="M60" s="215">
        <f>MEAP_PPSRWCM</f>
        <v>0</v>
      </c>
      <c r="N60" s="215">
        <f>MEAP_PPSRWCM</f>
        <v>0</v>
      </c>
      <c r="O60" s="215">
        <f>MEAP_PPSRWCM</f>
        <v>0</v>
      </c>
      <c r="P60" s="23" t="s">
        <v>85</v>
      </c>
    </row>
    <row r="61" spans="1:16" s="9" customFormat="1">
      <c r="A61" s="140"/>
      <c r="B61" s="139" t="s">
        <v>197</v>
      </c>
      <c r="C61" s="140"/>
      <c r="D61" s="140"/>
      <c r="E61" s="211" t="s">
        <v>198</v>
      </c>
      <c r="F61" s="135"/>
      <c r="G61" s="135"/>
      <c r="H61" s="135"/>
      <c r="I61" s="135"/>
      <c r="J61" s="31"/>
      <c r="K61" s="216">
        <f>ELA_PPSRWCM</f>
        <v>0</v>
      </c>
      <c r="L61" s="216">
        <f>ELA_PPSRWCM</f>
        <v>0</v>
      </c>
      <c r="M61" s="216">
        <f>ELA_PPSRWCM</f>
        <v>0</v>
      </c>
      <c r="N61" s="216">
        <f>ELA_PPSRWCM</f>
        <v>0</v>
      </c>
      <c r="O61" s="216">
        <f>ELA_PPSRWCM</f>
        <v>0</v>
      </c>
      <c r="P61" s="23" t="s">
        <v>90</v>
      </c>
    </row>
    <row r="62" spans="1:16" s="9" customFormat="1">
      <c r="A62" s="140"/>
      <c r="B62" s="139" t="s">
        <v>183</v>
      </c>
      <c r="C62" s="140"/>
      <c r="D62" s="140"/>
      <c r="E62" s="214" t="s">
        <v>8</v>
      </c>
      <c r="F62" s="135"/>
      <c r="G62" s="135"/>
      <c r="H62" s="135"/>
      <c r="I62" s="135"/>
      <c r="J62" s="31"/>
      <c r="K62" s="202">
        <f>PIT</f>
        <v>1.2400697066439257</v>
      </c>
      <c r="L62" s="202">
        <f>PIT</f>
        <v>1.2982289758855257</v>
      </c>
      <c r="M62" s="202">
        <f>PIT</f>
        <v>1.3654772368363959</v>
      </c>
      <c r="N62" s="202">
        <f>PIT</f>
        <v>1.3654772368363959</v>
      </c>
      <c r="O62" s="202">
        <f>PIT</f>
        <v>1.3654772368363959</v>
      </c>
      <c r="P62" s="23" t="s">
        <v>183</v>
      </c>
    </row>
    <row r="63" spans="1:16" s="9" customFormat="1" ht="15.75">
      <c r="A63" s="140"/>
      <c r="B63" s="139" t="s">
        <v>254</v>
      </c>
      <c r="C63" s="140"/>
      <c r="D63" s="140"/>
      <c r="E63" s="211" t="s">
        <v>14</v>
      </c>
      <c r="F63" s="135"/>
      <c r="G63" s="135"/>
      <c r="H63" s="135"/>
      <c r="I63" s="135"/>
      <c r="J63" s="31"/>
      <c r="K63" s="215">
        <f>AF</f>
        <v>0</v>
      </c>
      <c r="L63" s="215">
        <f>AF</f>
        <v>0</v>
      </c>
      <c r="M63" s="215">
        <f>AF</f>
        <v>0</v>
      </c>
      <c r="N63" s="215">
        <f>AF</f>
        <v>0</v>
      </c>
      <c r="O63" s="215">
        <f>AF</f>
        <v>0</v>
      </c>
      <c r="P63" s="23" t="s">
        <v>203</v>
      </c>
    </row>
    <row r="64" spans="1:16" s="9" customFormat="1">
      <c r="A64" s="140"/>
      <c r="B64" s="139" t="s">
        <v>199</v>
      </c>
      <c r="C64" s="140"/>
      <c r="D64" s="140"/>
      <c r="E64" s="228" t="s">
        <v>14</v>
      </c>
      <c r="F64" s="135"/>
      <c r="G64" s="135"/>
      <c r="H64" s="135"/>
      <c r="I64" s="135"/>
      <c r="J64" s="31"/>
      <c r="K64" s="196" t="e">
        <f>(MEAP_PPSRWCM/ELA_PPSRWCM+MEAP_PPSRWCM*6.9/200+0.242)*PIT+AF</f>
        <v>#DIV/0!</v>
      </c>
      <c r="L64" s="196" t="e">
        <f>(MEAP_PPSRWCM/ELA_PPSRWCM+MEAP_PPSRWCM*6.9/200+0.242)*PIT+AF</f>
        <v>#DIV/0!</v>
      </c>
      <c r="M64" s="196" t="e">
        <f>(MEAP_PPSRWCM/ELA_PPSRWCM+MEAP_PPSRWCM*6.9/200+0.242)*PIT+AF</f>
        <v>#DIV/0!</v>
      </c>
      <c r="N64" s="196" t="e">
        <f>(MEAP_PPSRWCM/ELA_PPSRWCM+MEAP_PPSRWCM*6.9/200+0.242)*PIT+AF</f>
        <v>#DIV/0!</v>
      </c>
      <c r="O64" s="196" t="e">
        <f>(MEAP_PPSRWCM/ELA_PPSRWCM+MEAP_PPSRWCM*6.9/200+0.242)*PIT+AF</f>
        <v>#DIV/0!</v>
      </c>
      <c r="P64" s="23" t="s">
        <v>526</v>
      </c>
    </row>
    <row r="65" spans="1:16" s="9" customFormat="1">
      <c r="A65" s="140"/>
      <c r="B65" s="139"/>
      <c r="C65" s="140"/>
      <c r="D65" s="140"/>
      <c r="E65" s="264" t="s">
        <v>14</v>
      </c>
      <c r="F65" s="135"/>
      <c r="G65" s="135"/>
      <c r="H65" s="135"/>
      <c r="I65" s="135"/>
      <c r="J65" s="31"/>
      <c r="K65" s="215">
        <f>Chg_PPSRWCM</f>
        <v>0</v>
      </c>
      <c r="L65" s="215">
        <f>Chg_PPSRWCM</f>
        <v>0</v>
      </c>
      <c r="M65" s="215">
        <f>Chg_PPSRWCM</f>
        <v>0</v>
      </c>
      <c r="N65" s="215">
        <f>Chg_PPSRWCM</f>
        <v>0</v>
      </c>
      <c r="O65" s="215">
        <f>Chg_PPSRWCM</f>
        <v>0</v>
      </c>
      <c r="P65" s="23" t="s">
        <v>536</v>
      </c>
    </row>
    <row r="66" spans="1:16" s="9" customFormat="1">
      <c r="A66" s="139"/>
      <c r="B66" s="139"/>
      <c r="C66" s="139"/>
      <c r="D66" s="139"/>
      <c r="E66" s="211"/>
      <c r="F66" s="135"/>
      <c r="G66" s="135"/>
      <c r="H66" s="135"/>
      <c r="I66" s="135"/>
      <c r="J66" s="31"/>
      <c r="K66" s="238" t="e">
        <f>IF(Chg_PPSRWCM&lt;=PPSRWCM,"ok","error")</f>
        <v>#DIV/0!</v>
      </c>
      <c r="L66" s="238" t="e">
        <f>IF(Chg_PPSRWCM&lt;=PPSRWCM,"ok","error")</f>
        <v>#DIV/0!</v>
      </c>
      <c r="M66" s="238" t="e">
        <f>IF(Chg_PPSRWCM&lt;=PPSRWCM,"ok","error")</f>
        <v>#DIV/0!</v>
      </c>
      <c r="N66" s="238" t="e">
        <f>IF(Chg_PPSRWCM&lt;=PPSRWCM,"ok","error")</f>
        <v>#DIV/0!</v>
      </c>
      <c r="O66" s="238" t="e">
        <f>IF(Chg_PPSRWCM&lt;=PPSRWCM,"ok","error")</f>
        <v>#DIV/0!</v>
      </c>
      <c r="P66" s="23"/>
    </row>
    <row r="67" spans="1:16" s="9" customFormat="1" ht="25.5">
      <c r="A67" s="140" t="s">
        <v>75</v>
      </c>
      <c r="B67" s="139" t="s">
        <v>196</v>
      </c>
      <c r="C67" s="139"/>
      <c r="D67" s="139"/>
      <c r="E67" s="211" t="s">
        <v>14</v>
      </c>
      <c r="F67" s="135"/>
      <c r="G67" s="135"/>
      <c r="H67" s="135"/>
      <c r="I67" s="135"/>
      <c r="J67" s="31"/>
      <c r="K67" s="215">
        <f>MEAP_PPMRWCM</f>
        <v>0</v>
      </c>
      <c r="L67" s="215">
        <f>MEAP_PPMRWCM</f>
        <v>0</v>
      </c>
      <c r="M67" s="215">
        <f>MEAP_PPMRWCM</f>
        <v>0</v>
      </c>
      <c r="N67" s="215">
        <f>MEAP_PPMRWCM</f>
        <v>0</v>
      </c>
      <c r="O67" s="215">
        <f>MEAP_PPMRWCM</f>
        <v>0</v>
      </c>
      <c r="P67" s="23" t="s">
        <v>86</v>
      </c>
    </row>
    <row r="68" spans="1:16" s="9" customFormat="1">
      <c r="A68" s="139"/>
      <c r="B68" s="139" t="s">
        <v>197</v>
      </c>
      <c r="C68" s="139"/>
      <c r="D68" s="139"/>
      <c r="E68" s="211" t="s">
        <v>198</v>
      </c>
      <c r="F68" s="135"/>
      <c r="G68" s="135"/>
      <c r="H68" s="135"/>
      <c r="I68" s="135"/>
      <c r="J68" s="31"/>
      <c r="K68" s="216">
        <f>ELA_PPMRWCM</f>
        <v>0</v>
      </c>
      <c r="L68" s="216">
        <f>ELA_PPMRWCM</f>
        <v>0</v>
      </c>
      <c r="M68" s="216">
        <f>ELA_PPMRWCM</f>
        <v>0</v>
      </c>
      <c r="N68" s="216">
        <f>ELA_PPMRWCM</f>
        <v>0</v>
      </c>
      <c r="O68" s="216">
        <f>ELA_PPMRWCM</f>
        <v>0</v>
      </c>
      <c r="P68" s="23" t="s">
        <v>91</v>
      </c>
    </row>
    <row r="69" spans="1:16" s="9" customFormat="1">
      <c r="A69" s="139"/>
      <c r="B69" s="139" t="s">
        <v>183</v>
      </c>
      <c r="C69" s="139"/>
      <c r="D69" s="139"/>
      <c r="E69" s="214" t="s">
        <v>8</v>
      </c>
      <c r="F69" s="135"/>
      <c r="G69" s="135"/>
      <c r="H69" s="135"/>
      <c r="I69" s="135"/>
      <c r="J69" s="31"/>
      <c r="K69" s="202">
        <f>PIT</f>
        <v>1.2400697066439257</v>
      </c>
      <c r="L69" s="202">
        <f>PIT</f>
        <v>1.2982289758855257</v>
      </c>
      <c r="M69" s="202">
        <f>PIT</f>
        <v>1.3654772368363959</v>
      </c>
      <c r="N69" s="202">
        <f>PIT</f>
        <v>1.3654772368363959</v>
      </c>
      <c r="O69" s="202">
        <f>PIT</f>
        <v>1.3654772368363959</v>
      </c>
      <c r="P69" s="23" t="s">
        <v>183</v>
      </c>
    </row>
    <row r="70" spans="1:16" s="9" customFormat="1" ht="17.25">
      <c r="A70" s="139"/>
      <c r="B70" s="139" t="s">
        <v>216</v>
      </c>
      <c r="C70" s="139"/>
      <c r="D70" s="139"/>
      <c r="E70" s="211" t="s">
        <v>14</v>
      </c>
      <c r="F70" s="135"/>
      <c r="G70" s="135"/>
      <c r="H70" s="135"/>
      <c r="I70" s="135"/>
      <c r="J70" s="31"/>
      <c r="K70" s="215">
        <f>AF</f>
        <v>0</v>
      </c>
      <c r="L70" s="215">
        <f>AF</f>
        <v>0</v>
      </c>
      <c r="M70" s="215">
        <f>AF</f>
        <v>0</v>
      </c>
      <c r="N70" s="215">
        <f>AF</f>
        <v>0</v>
      </c>
      <c r="O70" s="215">
        <f>AF</f>
        <v>0</v>
      </c>
      <c r="P70" s="23" t="s">
        <v>203</v>
      </c>
    </row>
    <row r="71" spans="1:16" s="9" customFormat="1">
      <c r="A71" s="139"/>
      <c r="B71" s="139" t="s">
        <v>199</v>
      </c>
      <c r="C71" s="139"/>
      <c r="D71" s="139"/>
      <c r="E71" s="228" t="s">
        <v>14</v>
      </c>
      <c r="F71" s="135"/>
      <c r="G71" s="135"/>
      <c r="H71" s="135"/>
      <c r="I71" s="135"/>
      <c r="J71" s="31"/>
      <c r="K71" s="196" t="e">
        <f>(MEAP_PPMRWCM/ELA_PPMRWCM+MEAP_PPMRWCM*6.9/200+0.242)*PIT+AF</f>
        <v>#DIV/0!</v>
      </c>
      <c r="L71" s="196" t="e">
        <f>(MEAP_PPMRWCM/ELA_PPMRWCM+MEAP_PPMRWCM*6.9/200+0.242)*PIT+AF</f>
        <v>#DIV/0!</v>
      </c>
      <c r="M71" s="196" t="e">
        <f>(MEAP_PPMRWCM/ELA_PPMRWCM+MEAP_PPMRWCM*6.9/200+0.242)*PIT+AF</f>
        <v>#DIV/0!</v>
      </c>
      <c r="N71" s="196" t="e">
        <f>(MEAP_PPMRWCM/ELA_PPMRWCM+MEAP_PPMRWCM*6.9/200+0.242)*PIT+AF</f>
        <v>#DIV/0!</v>
      </c>
      <c r="O71" s="196" t="e">
        <f>(MEAP_PPMRWCM/ELA_PPMRWCM+MEAP_PPMRWCM*6.9/200+0.242)*PIT+AF</f>
        <v>#DIV/0!</v>
      </c>
      <c r="P71" s="23" t="s">
        <v>527</v>
      </c>
    </row>
    <row r="72" spans="1:16" s="9" customFormat="1">
      <c r="A72" s="149" t="s">
        <v>634</v>
      </c>
      <c r="B72" s="139"/>
      <c r="C72" s="139"/>
      <c r="D72" s="139"/>
      <c r="E72" s="264" t="s">
        <v>14</v>
      </c>
      <c r="F72" s="135"/>
      <c r="G72" s="135"/>
      <c r="H72" s="135"/>
      <c r="I72" s="135"/>
      <c r="J72" s="31"/>
      <c r="K72" s="215">
        <f>Chg_PPMRWCM</f>
        <v>0</v>
      </c>
      <c r="L72" s="215">
        <f>Chg_PPMRWCM</f>
        <v>0</v>
      </c>
      <c r="M72" s="215">
        <f>Chg_PPMRWCM</f>
        <v>0</v>
      </c>
      <c r="N72" s="215">
        <f>Chg_PPMRWCM</f>
        <v>0</v>
      </c>
      <c r="O72" s="215">
        <f>Chg_PPMRWCM</f>
        <v>0</v>
      </c>
      <c r="P72" s="23" t="s">
        <v>537</v>
      </c>
    </row>
    <row r="73" spans="1:16" s="9" customFormat="1">
      <c r="A73" s="139"/>
      <c r="B73" s="139"/>
      <c r="C73" s="139"/>
      <c r="D73" s="139"/>
      <c r="E73" s="228"/>
      <c r="F73" s="135"/>
      <c r="G73" s="135"/>
      <c r="H73" s="135"/>
      <c r="I73" s="135"/>
      <c r="J73" s="31"/>
      <c r="K73" s="238" t="e">
        <f>IF(Chg_PPMRWCM&lt;=PPMRWCM,"ok","error")</f>
        <v>#DIV/0!</v>
      </c>
      <c r="L73" s="238" t="e">
        <f>IF(Chg_PPMRWCM&lt;=PPMRWCM,"ok","error")</f>
        <v>#DIV/0!</v>
      </c>
      <c r="M73" s="238" t="e">
        <f>IF(Chg_PPMRWCM&lt;=PPMRWCM,"ok","error")</f>
        <v>#DIV/0!</v>
      </c>
      <c r="N73" s="238" t="e">
        <f>IF(Chg_PPMRWCM&lt;=PPMRWCM,"ok","error")</f>
        <v>#DIV/0!</v>
      </c>
      <c r="O73" s="238" t="e">
        <f>IF(Chg_PPMRWCM&lt;=PPMRWCM,"ok","error")</f>
        <v>#DIV/0!</v>
      </c>
      <c r="P73" s="23"/>
    </row>
    <row r="74" spans="1:16" s="9" customFormat="1" ht="25.5">
      <c r="A74" s="140" t="s">
        <v>78</v>
      </c>
      <c r="B74" s="139" t="s">
        <v>196</v>
      </c>
      <c r="C74" s="139"/>
      <c r="D74" s="139"/>
      <c r="E74" s="211" t="s">
        <v>14</v>
      </c>
      <c r="F74" s="135"/>
      <c r="G74" s="135"/>
      <c r="H74" s="135"/>
      <c r="I74" s="135"/>
      <c r="J74" s="31"/>
      <c r="K74" s="215">
        <f>MEAP_NNHCTM</f>
        <v>0</v>
      </c>
      <c r="L74" s="215">
        <f>MEAP_NNHCTM</f>
        <v>0</v>
      </c>
      <c r="M74" s="215">
        <f>MEAP_NNHCTM</f>
        <v>0</v>
      </c>
      <c r="N74" s="215">
        <f>MEAP_NNHCTM</f>
        <v>0</v>
      </c>
      <c r="O74" s="215">
        <f>MEAP_NNHCTM</f>
        <v>0</v>
      </c>
      <c r="P74" s="23" t="s">
        <v>87</v>
      </c>
    </row>
    <row r="75" spans="1:16" s="9" customFormat="1">
      <c r="A75" s="139"/>
      <c r="B75" s="139" t="s">
        <v>197</v>
      </c>
      <c r="C75" s="139"/>
      <c r="D75" s="139"/>
      <c r="E75" s="211" t="s">
        <v>198</v>
      </c>
      <c r="F75" s="135"/>
      <c r="G75" s="135"/>
      <c r="H75" s="135"/>
      <c r="I75" s="135"/>
      <c r="J75" s="31"/>
      <c r="K75" s="216">
        <f>ELA_NNHCTM</f>
        <v>0</v>
      </c>
      <c r="L75" s="216">
        <f>ELA_NNHCTM</f>
        <v>0</v>
      </c>
      <c r="M75" s="216">
        <f>ELA_NNHCTM</f>
        <v>0</v>
      </c>
      <c r="N75" s="216">
        <f>ELA_NNHCTM</f>
        <v>0</v>
      </c>
      <c r="O75" s="216">
        <f>ELA_NNHCTM</f>
        <v>0</v>
      </c>
      <c r="P75" s="23" t="s">
        <v>92</v>
      </c>
    </row>
    <row r="76" spans="1:16" s="9" customFormat="1">
      <c r="A76" s="139"/>
      <c r="B76" s="139" t="s">
        <v>183</v>
      </c>
      <c r="C76" s="139"/>
      <c r="D76" s="139"/>
      <c r="E76" s="214" t="s">
        <v>8</v>
      </c>
      <c r="F76" s="135"/>
      <c r="G76" s="135"/>
      <c r="H76" s="135"/>
      <c r="I76" s="135"/>
      <c r="J76" s="31"/>
      <c r="K76" s="202">
        <f>PIT</f>
        <v>1.2400697066439257</v>
      </c>
      <c r="L76" s="202">
        <f>PIT</f>
        <v>1.2982289758855257</v>
      </c>
      <c r="M76" s="202">
        <f>PIT</f>
        <v>1.3654772368363959</v>
      </c>
      <c r="N76" s="202">
        <f>PIT</f>
        <v>1.3654772368363959</v>
      </c>
      <c r="O76" s="202">
        <f>PIT</f>
        <v>1.3654772368363959</v>
      </c>
      <c r="P76" s="23" t="s">
        <v>183</v>
      </c>
    </row>
    <row r="77" spans="1:16" s="9" customFormat="1" ht="17.25">
      <c r="A77" s="139"/>
      <c r="B77" s="139" t="s">
        <v>216</v>
      </c>
      <c r="C77" s="139"/>
      <c r="D77" s="139"/>
      <c r="E77" s="211" t="s">
        <v>14</v>
      </c>
      <c r="F77" s="135"/>
      <c r="G77" s="135"/>
      <c r="H77" s="135"/>
      <c r="I77" s="135"/>
      <c r="J77" s="31"/>
      <c r="K77" s="215">
        <f>AF</f>
        <v>0</v>
      </c>
      <c r="L77" s="215">
        <f>AF</f>
        <v>0</v>
      </c>
      <c r="M77" s="215">
        <f>AF</f>
        <v>0</v>
      </c>
      <c r="N77" s="215">
        <f>AF</f>
        <v>0</v>
      </c>
      <c r="O77" s="215">
        <f>AF</f>
        <v>0</v>
      </c>
      <c r="P77" s="23" t="s">
        <v>203</v>
      </c>
    </row>
    <row r="78" spans="1:16" s="9" customFormat="1">
      <c r="A78" s="139"/>
      <c r="B78" s="139" t="s">
        <v>199</v>
      </c>
      <c r="C78" s="139"/>
      <c r="D78" s="139"/>
      <c r="E78" s="228" t="s">
        <v>14</v>
      </c>
      <c r="F78" s="135"/>
      <c r="G78" s="135"/>
      <c r="H78" s="135"/>
      <c r="I78" s="135"/>
      <c r="J78" s="31"/>
      <c r="K78" s="196" t="e">
        <f>(MEAP_NNHCTM/ELA_NNHCTM+MEAP_NNHCTM*6.9/200+0.242)*PIT+AF</f>
        <v>#DIV/0!</v>
      </c>
      <c r="L78" s="196" t="e">
        <f>(MEAP_NNHCTM/ELA_NNHCTM+MEAP_NNHCTM*6.9/200+0.242)*PIT+AF</f>
        <v>#DIV/0!</v>
      </c>
      <c r="M78" s="196" t="e">
        <f>(MEAP_NNHCTM/ELA_NNHCTM+MEAP_NNHCTM*6.9/200+0.242)*PIT+AF</f>
        <v>#DIV/0!</v>
      </c>
      <c r="N78" s="196" t="e">
        <f>(MEAP_NNHCTM/ELA_NNHCTM+MEAP_NNHCTM*6.9/200+0.242)*PIT+AF</f>
        <v>#DIV/0!</v>
      </c>
      <c r="O78" s="196" t="e">
        <f>(MEAP_NNHCTM/ELA_NNHCTM+MEAP_NNHCTM*6.9/200+0.242)*PIT+AF</f>
        <v>#DIV/0!</v>
      </c>
      <c r="P78" s="23" t="s">
        <v>529</v>
      </c>
    </row>
    <row r="79" spans="1:16" s="9" customFormat="1">
      <c r="A79" s="149" t="s">
        <v>634</v>
      </c>
      <c r="B79" s="139"/>
      <c r="C79" s="139"/>
      <c r="D79" s="139"/>
      <c r="E79" s="264" t="s">
        <v>14</v>
      </c>
      <c r="F79" s="135"/>
      <c r="G79" s="135"/>
      <c r="H79" s="135"/>
      <c r="I79" s="135"/>
      <c r="J79" s="31"/>
      <c r="K79" s="215">
        <f>Chg_NHHCTM</f>
        <v>0</v>
      </c>
      <c r="L79" s="215">
        <f>Chg_NHHCTM</f>
        <v>0</v>
      </c>
      <c r="M79" s="215">
        <f>Chg_NHHCTM</f>
        <v>0</v>
      </c>
      <c r="N79" s="215">
        <f>Chg_NHHCTM</f>
        <v>0</v>
      </c>
      <c r="O79" s="215">
        <f>Chg_NHHCTM</f>
        <v>0</v>
      </c>
      <c r="P79" s="23" t="s">
        <v>538</v>
      </c>
    </row>
    <row r="80" spans="1:16" s="9" customFormat="1">
      <c r="A80" s="139"/>
      <c r="B80" s="139"/>
      <c r="C80" s="139"/>
      <c r="D80" s="139"/>
      <c r="E80" s="228"/>
      <c r="F80" s="135"/>
      <c r="G80" s="135"/>
      <c r="H80" s="135"/>
      <c r="I80" s="135"/>
      <c r="J80" s="31"/>
      <c r="K80" s="238" t="e">
        <f>IF(Chg_NHHCTM&lt;=NHHCTM,"ok","error")</f>
        <v>#DIV/0!</v>
      </c>
      <c r="L80" s="238" t="e">
        <f>IF(Chg_NHHCTM&lt;=NHHCTM,"ok","error")</f>
        <v>#DIV/0!</v>
      </c>
      <c r="M80" s="238" t="e">
        <f>IF(Chg_NHHCTM&lt;=NHHCTM,"ok","error")</f>
        <v>#DIV/0!</v>
      </c>
      <c r="N80" s="238" t="e">
        <f>IF(Chg_NHHCTM&lt;=NHHCTM,"ok","error")</f>
        <v>#DIV/0!</v>
      </c>
      <c r="O80" s="238" t="e">
        <f>IF(Chg_NHHCTM&lt;=NHHCTM,"ok","error")</f>
        <v>#DIV/0!</v>
      </c>
      <c r="P80" s="23"/>
    </row>
    <row r="81" spans="1:16" s="9" customFormat="1" ht="39.75" customHeight="1">
      <c r="A81" s="139"/>
      <c r="B81" s="139"/>
      <c r="C81" s="139"/>
      <c r="D81" s="139"/>
      <c r="E81" s="211"/>
      <c r="F81" s="135"/>
      <c r="G81" s="135"/>
      <c r="H81" s="135"/>
      <c r="I81" s="135"/>
      <c r="J81" s="31"/>
      <c r="K81" s="398" t="s">
        <v>539</v>
      </c>
      <c r="L81" s="398"/>
      <c r="M81" s="398"/>
      <c r="N81" s="398"/>
      <c r="O81" s="398"/>
      <c r="P81" s="23"/>
    </row>
    <row r="82" spans="1:16" s="9" customFormat="1" ht="5.0999999999999996" customHeight="1">
      <c r="A82" s="139"/>
      <c r="B82" s="139"/>
      <c r="C82" s="139"/>
      <c r="D82" s="139"/>
      <c r="E82" s="228"/>
      <c r="F82" s="135"/>
      <c r="G82" s="135"/>
      <c r="H82" s="135"/>
      <c r="I82" s="135"/>
      <c r="J82" s="31"/>
      <c r="K82" s="136"/>
      <c r="L82" s="136"/>
      <c r="M82" s="136"/>
      <c r="N82" s="136"/>
      <c r="O82" s="136"/>
      <c r="P82" s="23"/>
    </row>
    <row r="83" spans="1:16" s="9" customFormat="1">
      <c r="A83" s="149" t="s">
        <v>416</v>
      </c>
      <c r="B83" s="139"/>
      <c r="C83" s="139"/>
      <c r="D83" s="139"/>
      <c r="E83" s="228"/>
      <c r="F83" s="135"/>
      <c r="G83" s="135"/>
      <c r="H83" s="135"/>
      <c r="I83" s="135"/>
      <c r="J83" s="31"/>
      <c r="K83" s="136"/>
      <c r="L83" s="136"/>
      <c r="M83" s="136"/>
      <c r="N83" s="136"/>
      <c r="O83" s="136"/>
      <c r="P83" s="23"/>
    </row>
    <row r="84" spans="1:16" s="9" customFormat="1">
      <c r="A84" s="182" t="str">
        <f>'R7 Metering Inputs'!A42</f>
        <v>[Sub-category 1]</v>
      </c>
      <c r="B84" s="139" t="s">
        <v>199</v>
      </c>
      <c r="C84" s="139"/>
      <c r="D84" s="139"/>
      <c r="E84" s="228" t="s">
        <v>14</v>
      </c>
      <c r="F84" s="135"/>
      <c r="G84" s="135"/>
      <c r="H84" s="135"/>
      <c r="I84" s="135"/>
      <c r="J84" s="31"/>
      <c r="K84" s="215" t="str">
        <f>'R7 Metering Inputs'!K46</f>
        <v/>
      </c>
      <c r="L84" s="215" t="str">
        <f>'R7 Metering Inputs'!L46</f>
        <v/>
      </c>
      <c r="M84" s="215" t="str">
        <f>'R7 Metering Inputs'!M46</f>
        <v/>
      </c>
      <c r="N84" s="215" t="str">
        <f>'R7 Metering Inputs'!N46</f>
        <v/>
      </c>
      <c r="O84" s="215" t="str">
        <f>'R7 Metering Inputs'!O46</f>
        <v/>
      </c>
      <c r="P84" s="23"/>
    </row>
    <row r="85" spans="1:16" s="9" customFormat="1">
      <c r="A85" s="182" t="str">
        <f>'R7 Metering Inputs'!A47</f>
        <v>[Sub-category 2]</v>
      </c>
      <c r="B85" s="139" t="s">
        <v>199</v>
      </c>
      <c r="C85" s="139"/>
      <c r="D85" s="139"/>
      <c r="E85" s="228" t="s">
        <v>14</v>
      </c>
      <c r="F85" s="135"/>
      <c r="G85" s="135"/>
      <c r="H85" s="135"/>
      <c r="I85" s="135"/>
      <c r="J85" s="31"/>
      <c r="K85" s="215" t="str">
        <f>'R7 Metering Inputs'!K51</f>
        <v/>
      </c>
      <c r="L85" s="215" t="str">
        <f>'R7 Metering Inputs'!L51</f>
        <v/>
      </c>
      <c r="M85" s="215" t="str">
        <f>'R7 Metering Inputs'!M51</f>
        <v/>
      </c>
      <c r="N85" s="215" t="str">
        <f>'R7 Metering Inputs'!N51</f>
        <v/>
      </c>
      <c r="O85" s="215" t="str">
        <f>'R7 Metering Inputs'!O51</f>
        <v/>
      </c>
      <c r="P85" s="23"/>
    </row>
    <row r="86" spans="1:16" s="9" customFormat="1">
      <c r="A86" s="182" t="str">
        <f>'R7 Metering Inputs'!A52</f>
        <v>[Sub-category 3]</v>
      </c>
      <c r="B86" s="139" t="s">
        <v>199</v>
      </c>
      <c r="C86" s="139"/>
      <c r="D86" s="139"/>
      <c r="E86" s="228" t="s">
        <v>14</v>
      </c>
      <c r="F86" s="135"/>
      <c r="G86" s="135"/>
      <c r="H86" s="135"/>
      <c r="I86" s="135"/>
      <c r="J86" s="31"/>
      <c r="K86" s="215" t="str">
        <f>'R7 Metering Inputs'!K56</f>
        <v/>
      </c>
      <c r="L86" s="215" t="str">
        <f>'R7 Metering Inputs'!L56</f>
        <v/>
      </c>
      <c r="M86" s="215" t="str">
        <f>'R7 Metering Inputs'!M56</f>
        <v/>
      </c>
      <c r="N86" s="215" t="str">
        <f>'R7 Metering Inputs'!N56</f>
        <v/>
      </c>
      <c r="O86" s="215" t="str">
        <f>'R7 Metering Inputs'!O56</f>
        <v/>
      </c>
      <c r="P86" s="23"/>
    </row>
    <row r="87" spans="1:16" s="9" customFormat="1" ht="5.0999999999999996" customHeight="1">
      <c r="A87" s="139"/>
      <c r="B87" s="139"/>
      <c r="C87" s="139"/>
      <c r="D87" s="139"/>
      <c r="E87" s="211"/>
      <c r="F87" s="135"/>
      <c r="G87" s="135"/>
      <c r="H87" s="135"/>
      <c r="I87" s="135"/>
      <c r="J87" s="31"/>
      <c r="K87" s="136"/>
      <c r="L87" s="136"/>
      <c r="M87" s="136"/>
      <c r="N87" s="136"/>
      <c r="O87" s="136"/>
      <c r="P87" s="23"/>
    </row>
    <row r="88" spans="1:16" s="9" customFormat="1">
      <c r="A88" s="141" t="s">
        <v>200</v>
      </c>
      <c r="B88" s="139"/>
      <c r="C88" s="141"/>
      <c r="D88" s="141"/>
      <c r="E88" s="211"/>
      <c r="F88" s="135"/>
      <c r="G88" s="135"/>
      <c r="H88" s="135"/>
      <c r="I88" s="135"/>
      <c r="J88" s="31"/>
      <c r="K88" s="125"/>
      <c r="L88" s="125"/>
      <c r="M88" s="125"/>
      <c r="N88" s="125"/>
      <c r="O88" s="125"/>
      <c r="P88" s="23"/>
    </row>
    <row r="89" spans="1:16" s="9" customFormat="1">
      <c r="A89" s="139" t="s">
        <v>201</v>
      </c>
      <c r="B89" s="139" t="s">
        <v>184</v>
      </c>
      <c r="C89" s="139"/>
      <c r="D89" s="139"/>
      <c r="E89" s="165" t="s">
        <v>12</v>
      </c>
      <c r="F89" s="135"/>
      <c r="G89" s="135"/>
      <c r="H89" s="138"/>
      <c r="I89" s="135"/>
      <c r="J89" s="31"/>
      <c r="K89" s="215">
        <f>Rev_SRCM</f>
        <v>0</v>
      </c>
      <c r="L89" s="215">
        <f>Rev_SRCM</f>
        <v>0</v>
      </c>
      <c r="M89" s="215">
        <f>Rev_SRCM</f>
        <v>0</v>
      </c>
      <c r="N89" s="215">
        <f>Rev_SRCM</f>
        <v>0</v>
      </c>
      <c r="O89" s="215">
        <f>Rev_SRCM</f>
        <v>0</v>
      </c>
      <c r="P89" s="23" t="s">
        <v>524</v>
      </c>
    </row>
    <row r="90" spans="1:16" s="9" customFormat="1">
      <c r="A90" s="139"/>
      <c r="B90" s="139" t="s">
        <v>188</v>
      </c>
      <c r="C90" s="139"/>
      <c r="D90" s="139"/>
      <c r="E90" s="165" t="s">
        <v>12</v>
      </c>
      <c r="F90" s="135"/>
      <c r="G90" s="135"/>
      <c r="H90" s="138"/>
      <c r="I90" s="135"/>
      <c r="J90" s="31"/>
      <c r="K90" s="215">
        <f>Rev_TPPM</f>
        <v>0</v>
      </c>
      <c r="L90" s="215">
        <f>Rev_TPPM</f>
        <v>0</v>
      </c>
      <c r="M90" s="215">
        <f>Rev_TPPM</f>
        <v>0</v>
      </c>
      <c r="N90" s="215">
        <f>Rev_TPPM</f>
        <v>0</v>
      </c>
      <c r="O90" s="215">
        <f>Rev_TPPM</f>
        <v>0</v>
      </c>
      <c r="P90" s="23" t="s">
        <v>58</v>
      </c>
    </row>
    <row r="91" spans="1:16" s="9" customFormat="1">
      <c r="A91" s="139"/>
      <c r="B91" s="139" t="s">
        <v>190</v>
      </c>
      <c r="C91" s="139"/>
      <c r="D91" s="139"/>
      <c r="E91" s="165" t="s">
        <v>12</v>
      </c>
      <c r="F91" s="135"/>
      <c r="G91" s="135"/>
      <c r="H91" s="138"/>
      <c r="I91" s="135"/>
      <c r="J91" s="31"/>
      <c r="K91" s="215">
        <f>Rev_KPPM</f>
        <v>0</v>
      </c>
      <c r="L91" s="215">
        <f>Rev_KPPM</f>
        <v>0</v>
      </c>
      <c r="M91" s="215">
        <f>Rev_KPPM</f>
        <v>0</v>
      </c>
      <c r="N91" s="215">
        <f>Rev_KPPM</f>
        <v>0</v>
      </c>
      <c r="O91" s="215">
        <f>Rev_KPPM</f>
        <v>0</v>
      </c>
      <c r="P91" s="23" t="s">
        <v>61</v>
      </c>
    </row>
    <row r="92" spans="1:16" s="9" customFormat="1">
      <c r="A92" s="139"/>
      <c r="B92" s="139" t="s">
        <v>194</v>
      </c>
      <c r="C92" s="139"/>
      <c r="D92" s="139"/>
      <c r="E92" s="165" t="s">
        <v>12</v>
      </c>
      <c r="F92" s="135"/>
      <c r="G92" s="135"/>
      <c r="H92" s="138"/>
      <c r="I92" s="135"/>
      <c r="J92" s="31"/>
      <c r="K92" s="215">
        <f>Rev_SPPM</f>
        <v>0</v>
      </c>
      <c r="L92" s="215">
        <f>Rev_SPPM</f>
        <v>0</v>
      </c>
      <c r="M92" s="215">
        <f>Rev_SPPM</f>
        <v>0</v>
      </c>
      <c r="N92" s="215">
        <f>Rev_SPPM</f>
        <v>0</v>
      </c>
      <c r="O92" s="215">
        <f>Rev_SPPM</f>
        <v>0</v>
      </c>
      <c r="P92" s="23" t="s">
        <v>64</v>
      </c>
    </row>
    <row r="93" spans="1:16" s="9" customFormat="1">
      <c r="A93" s="139"/>
      <c r="B93" s="139" t="s">
        <v>199</v>
      </c>
      <c r="C93" s="139"/>
      <c r="D93" s="139"/>
      <c r="E93" s="165" t="s">
        <v>12</v>
      </c>
      <c r="F93" s="135"/>
      <c r="G93" s="135"/>
      <c r="H93" s="138"/>
      <c r="I93" s="135"/>
      <c r="J93" s="31"/>
      <c r="K93" s="215">
        <f>Rev_OtherMeters</f>
        <v>0</v>
      </c>
      <c r="L93" s="215">
        <f>Rev_OtherMeters</f>
        <v>0</v>
      </c>
      <c r="M93" s="215">
        <f>Rev_OtherMeters</f>
        <v>0</v>
      </c>
      <c r="N93" s="215">
        <f>Rev_OtherMeters</f>
        <v>0</v>
      </c>
      <c r="O93" s="215">
        <f>Rev_OtherMeters</f>
        <v>0</v>
      </c>
      <c r="P93" s="23" t="s">
        <v>205</v>
      </c>
    </row>
    <row r="94" spans="1:16" s="9" customFormat="1">
      <c r="A94" s="139"/>
      <c r="B94" s="139" t="s">
        <v>202</v>
      </c>
      <c r="C94" s="139"/>
      <c r="D94" s="139"/>
      <c r="E94" s="165" t="s">
        <v>12</v>
      </c>
      <c r="F94" s="135"/>
      <c r="G94" s="135"/>
      <c r="H94" s="135"/>
      <c r="I94" s="135"/>
      <c r="J94" s="31"/>
      <c r="K94" s="196">
        <f>SUM(K89:K93)</f>
        <v>0</v>
      </c>
      <c r="L94" s="196">
        <f>SUM(L89:L93)</f>
        <v>0</v>
      </c>
      <c r="M94" s="196">
        <f>SUM(M89:M93)</f>
        <v>0</v>
      </c>
      <c r="N94" s="196">
        <f>SUM(N89:N93)</f>
        <v>0</v>
      </c>
      <c r="O94" s="196">
        <f>SUM(O89:O93)</f>
        <v>0</v>
      </c>
      <c r="P94" s="23" t="s">
        <v>201</v>
      </c>
    </row>
    <row r="95" spans="1:16" ht="5.0999999999999996" customHeight="1">
      <c r="A95" s="139"/>
      <c r="B95" s="139"/>
      <c r="C95" s="139"/>
      <c r="D95" s="139"/>
      <c r="E95" s="211"/>
      <c r="F95" s="135"/>
      <c r="G95" s="135"/>
      <c r="H95" s="135"/>
      <c r="I95" s="135"/>
      <c r="K95" s="20"/>
      <c r="L95" s="20"/>
      <c r="M95" s="20"/>
      <c r="N95" s="20"/>
      <c r="O95" s="20"/>
    </row>
    <row r="96" spans="1:16" hidden="1">
      <c r="A96" s="139"/>
      <c r="B96" s="139"/>
      <c r="C96" s="139"/>
      <c r="D96" s="139"/>
      <c r="E96" s="226"/>
      <c r="F96" s="135"/>
      <c r="G96" s="135"/>
      <c r="H96" s="135"/>
      <c r="I96" s="135"/>
      <c r="K96" s="20"/>
      <c r="L96" s="20"/>
      <c r="M96" s="20"/>
      <c r="N96" s="20"/>
      <c r="O96" s="20"/>
    </row>
    <row r="97" spans="1:15" hidden="1">
      <c r="A97" s="139"/>
      <c r="B97" s="139"/>
      <c r="C97" s="139"/>
      <c r="D97" s="139"/>
      <c r="E97" s="226"/>
      <c r="F97" s="135"/>
      <c r="G97" s="135"/>
      <c r="H97" s="135"/>
      <c r="I97" s="135"/>
      <c r="K97" s="20"/>
      <c r="L97" s="20"/>
      <c r="M97" s="20"/>
      <c r="N97" s="20"/>
      <c r="O97" s="20"/>
    </row>
    <row r="98" spans="1:15" ht="14.25" hidden="1">
      <c r="K98" s="122"/>
      <c r="L98" s="122"/>
      <c r="M98" s="122"/>
      <c r="N98" s="122"/>
      <c r="O98" s="122"/>
    </row>
    <row r="99" spans="1:15" ht="14.25" hidden="1">
      <c r="K99" s="122"/>
      <c r="L99" s="122"/>
      <c r="M99" s="122"/>
      <c r="N99" s="122"/>
      <c r="O99" s="122"/>
    </row>
    <row r="100" spans="1:15" ht="14.25" hidden="1">
      <c r="K100" s="122"/>
      <c r="L100" s="122"/>
      <c r="M100" s="122"/>
      <c r="N100" s="122"/>
      <c r="O100" s="122"/>
    </row>
    <row r="101" spans="1:15" ht="18" hidden="1">
      <c r="B101" s="217"/>
      <c r="E101" s="229"/>
      <c r="F101" s="218"/>
      <c r="K101" s="219"/>
      <c r="L101" s="219"/>
      <c r="M101" s="219"/>
      <c r="N101" s="219"/>
      <c r="O101" s="219"/>
    </row>
    <row r="102" spans="1:15" ht="14.25" hidden="1">
      <c r="K102" s="122"/>
      <c r="L102" s="122"/>
      <c r="M102" s="122"/>
      <c r="N102" s="122"/>
      <c r="O102" s="122"/>
    </row>
    <row r="103" spans="1:15" ht="14.25" hidden="1">
      <c r="K103" s="122"/>
      <c r="L103" s="122"/>
      <c r="M103" s="122"/>
      <c r="N103" s="122"/>
      <c r="O103" s="122"/>
    </row>
    <row r="104" spans="1:15" ht="14.25" hidden="1">
      <c r="B104" s="130"/>
      <c r="E104" s="230"/>
      <c r="F104" s="122"/>
      <c r="G104" s="122"/>
      <c r="H104" s="122"/>
      <c r="I104" s="122"/>
      <c r="J104" s="122"/>
      <c r="K104" s="143"/>
      <c r="L104" s="143"/>
      <c r="M104" s="143"/>
      <c r="N104" s="220"/>
      <c r="O104" s="220"/>
    </row>
    <row r="105" spans="1:15" ht="14.25" hidden="1">
      <c r="B105" s="130"/>
      <c r="E105" s="230"/>
      <c r="F105" s="122"/>
      <c r="G105" s="122"/>
      <c r="H105" s="122"/>
      <c r="I105" s="122"/>
      <c r="J105" s="122"/>
      <c r="K105" s="143"/>
      <c r="L105" s="143"/>
      <c r="M105" s="220"/>
      <c r="N105" s="220"/>
      <c r="O105" s="220"/>
    </row>
    <row r="106" spans="1:15" ht="14.25" hidden="1">
      <c r="B106" s="130"/>
      <c r="E106" s="230"/>
      <c r="F106" s="122"/>
      <c r="G106" s="122"/>
      <c r="H106" s="122"/>
      <c r="I106" s="122"/>
      <c r="J106" s="122"/>
      <c r="K106" s="143"/>
      <c r="L106" s="143"/>
      <c r="M106" s="220"/>
      <c r="N106" s="220"/>
      <c r="O106" s="220"/>
    </row>
    <row r="107" spans="1:15" ht="14.25" hidden="1">
      <c r="B107" s="130"/>
      <c r="E107" s="230"/>
      <c r="F107" s="122"/>
      <c r="G107" s="122"/>
      <c r="H107" s="122"/>
      <c r="I107" s="122"/>
      <c r="J107" s="122"/>
      <c r="K107" s="143"/>
      <c r="L107" s="143"/>
      <c r="M107" s="143"/>
      <c r="N107" s="143"/>
      <c r="O107" s="143"/>
    </row>
    <row r="108" spans="1:15" ht="14.25" hidden="1">
      <c r="B108" s="130"/>
      <c r="E108" s="230"/>
      <c r="F108" s="122"/>
      <c r="G108" s="122"/>
      <c r="H108" s="122"/>
      <c r="I108" s="122"/>
      <c r="J108" s="122"/>
      <c r="K108" s="143"/>
      <c r="L108" s="143"/>
      <c r="M108" s="143"/>
      <c r="N108" s="143"/>
      <c r="O108" s="143"/>
    </row>
    <row r="109" spans="1:15" ht="14.25" hidden="1">
      <c r="B109" s="130"/>
      <c r="E109" s="230"/>
      <c r="F109" s="122"/>
      <c r="G109" s="122"/>
      <c r="H109" s="122"/>
      <c r="I109" s="122"/>
      <c r="J109" s="122"/>
      <c r="K109" s="143"/>
      <c r="L109" s="143"/>
      <c r="M109" s="143"/>
      <c r="N109" s="143"/>
      <c r="O109" s="143"/>
    </row>
    <row r="110" spans="1:15" ht="14.25" hidden="1">
      <c r="B110" s="130"/>
      <c r="E110" s="230"/>
      <c r="F110" s="122"/>
      <c r="G110" s="122"/>
      <c r="H110" s="122"/>
      <c r="I110" s="122"/>
      <c r="J110" s="122"/>
      <c r="K110" s="143"/>
      <c r="L110" s="143"/>
      <c r="M110" s="143"/>
      <c r="N110" s="143"/>
      <c r="O110" s="143"/>
    </row>
    <row r="111" spans="1:15" ht="14.25" hidden="1">
      <c r="B111" s="130"/>
      <c r="E111" s="230"/>
      <c r="F111" s="122"/>
      <c r="G111" s="122"/>
      <c r="H111" s="122"/>
      <c r="I111" s="122"/>
      <c r="J111" s="122"/>
      <c r="K111" s="122"/>
      <c r="L111" s="122"/>
      <c r="M111" s="122"/>
      <c r="N111" s="122"/>
      <c r="O111" s="122"/>
    </row>
    <row r="112" spans="1:15" ht="14.25" hidden="1">
      <c r="B112" s="130"/>
      <c r="E112" s="230"/>
      <c r="F112" s="122"/>
      <c r="G112" s="122"/>
      <c r="H112" s="122"/>
      <c r="I112" s="122"/>
      <c r="J112" s="122"/>
      <c r="K112" s="122"/>
      <c r="L112" s="122"/>
      <c r="M112" s="122"/>
      <c r="N112" s="122"/>
      <c r="O112" s="122"/>
    </row>
    <row r="113" spans="2:15" ht="14.25" hidden="1">
      <c r="B113" s="130"/>
      <c r="E113" s="230"/>
      <c r="F113" s="122"/>
      <c r="G113" s="122"/>
      <c r="H113" s="122"/>
      <c r="I113" s="122"/>
      <c r="J113" s="122"/>
      <c r="K113" s="122"/>
      <c r="L113" s="122"/>
      <c r="M113" s="122"/>
      <c r="N113" s="122"/>
      <c r="O113" s="122"/>
    </row>
    <row r="114" spans="2:15" ht="14.25" hidden="1">
      <c r="B114" s="130"/>
      <c r="E114" s="230"/>
      <c r="F114" s="122"/>
      <c r="G114" s="122"/>
      <c r="H114" s="122"/>
      <c r="I114" s="122"/>
      <c r="J114" s="122"/>
      <c r="K114" s="122"/>
      <c r="L114" s="122"/>
      <c r="M114" s="122"/>
      <c r="N114" s="122"/>
      <c r="O114" s="122"/>
    </row>
    <row r="115" spans="2:15" ht="14.25" hidden="1">
      <c r="B115" s="130"/>
      <c r="E115" s="230"/>
      <c r="F115" s="122"/>
      <c r="G115" s="122"/>
      <c r="H115" s="122"/>
      <c r="I115" s="122"/>
      <c r="J115" s="122"/>
      <c r="K115" s="122"/>
      <c r="L115" s="122"/>
      <c r="M115" s="122"/>
      <c r="N115" s="122"/>
      <c r="O115" s="122"/>
    </row>
    <row r="116" spans="2:15" ht="14.25" hidden="1">
      <c r="B116" s="130"/>
      <c r="E116" s="230"/>
      <c r="F116" s="122"/>
      <c r="G116" s="122"/>
      <c r="H116" s="122"/>
      <c r="I116" s="122"/>
      <c r="J116" s="122"/>
      <c r="K116" s="122"/>
      <c r="L116" s="122"/>
      <c r="M116" s="122"/>
      <c r="N116" s="122"/>
      <c r="O116" s="122"/>
    </row>
    <row r="117" spans="2:15" ht="14.25" hidden="1">
      <c r="B117" s="130"/>
      <c r="E117" s="230"/>
      <c r="F117" s="122"/>
      <c r="G117" s="122"/>
      <c r="H117" s="122"/>
      <c r="I117" s="122"/>
      <c r="J117" s="122"/>
      <c r="K117" s="122"/>
      <c r="L117" s="122"/>
      <c r="M117" s="122"/>
      <c r="N117" s="122"/>
      <c r="O117" s="122"/>
    </row>
    <row r="118" spans="2:15" ht="14.25" hidden="1">
      <c r="B118" s="130"/>
      <c r="E118" s="230"/>
      <c r="F118" s="122"/>
      <c r="G118" s="122"/>
      <c r="H118" s="122"/>
      <c r="I118" s="122"/>
      <c r="J118" s="122"/>
      <c r="K118" s="122"/>
      <c r="L118" s="122"/>
      <c r="M118" s="122"/>
      <c r="N118" s="122"/>
      <c r="O118" s="122"/>
    </row>
    <row r="119" spans="2:15" ht="14.25" hidden="1">
      <c r="B119" s="130"/>
      <c r="E119" s="230"/>
      <c r="F119" s="122"/>
      <c r="G119" s="122"/>
      <c r="H119" s="122"/>
      <c r="I119" s="122"/>
      <c r="J119" s="122"/>
      <c r="K119" s="122"/>
      <c r="L119" s="122"/>
      <c r="M119" s="122"/>
      <c r="N119" s="122"/>
      <c r="O119" s="122"/>
    </row>
    <row r="120" spans="2:15" ht="14.25" hidden="1">
      <c r="B120" s="130"/>
      <c r="E120" s="230"/>
      <c r="F120" s="122"/>
      <c r="G120" s="122"/>
      <c r="H120" s="122"/>
      <c r="I120" s="122"/>
      <c r="J120" s="122"/>
      <c r="K120" s="122"/>
      <c r="L120" s="122"/>
      <c r="M120" s="122"/>
      <c r="N120" s="122"/>
      <c r="O120" s="122"/>
    </row>
    <row r="121" spans="2:15" ht="14.25" hidden="1">
      <c r="B121" s="130"/>
      <c r="E121" s="230"/>
      <c r="F121" s="122"/>
      <c r="G121" s="122"/>
      <c r="H121" s="122"/>
      <c r="I121" s="122"/>
      <c r="J121" s="122"/>
      <c r="K121" s="122"/>
      <c r="L121" s="122"/>
      <c r="M121" s="122"/>
      <c r="N121" s="122"/>
      <c r="O121" s="122"/>
    </row>
    <row r="122" spans="2:15" ht="14.25" hidden="1">
      <c r="B122" s="130"/>
      <c r="E122" s="230"/>
      <c r="F122" s="122"/>
      <c r="G122" s="122"/>
      <c r="H122" s="122"/>
      <c r="I122" s="122"/>
      <c r="J122" s="122"/>
      <c r="K122" s="122"/>
      <c r="L122" s="122"/>
      <c r="M122" s="122"/>
      <c r="N122" s="122"/>
      <c r="O122" s="122"/>
    </row>
    <row r="123" spans="2:15" ht="14.25" hidden="1">
      <c r="K123" s="122"/>
      <c r="L123" s="122"/>
      <c r="M123" s="122"/>
      <c r="N123" s="122"/>
      <c r="O123" s="122"/>
    </row>
    <row r="124" spans="2:15" ht="14.25" hidden="1">
      <c r="K124" s="122"/>
      <c r="L124" s="122"/>
      <c r="M124" s="122"/>
      <c r="N124" s="122"/>
      <c r="O124" s="122"/>
    </row>
    <row r="125" spans="2:15" ht="14.25" hidden="1">
      <c r="K125" s="122"/>
      <c r="L125" s="122"/>
      <c r="M125" s="122"/>
      <c r="N125" s="122"/>
      <c r="O125" s="122"/>
    </row>
    <row r="126" spans="2:15" ht="14.25" hidden="1">
      <c r="K126" s="122"/>
      <c r="L126" s="122"/>
      <c r="M126" s="122"/>
      <c r="N126" s="122"/>
      <c r="O126" s="122"/>
    </row>
    <row r="127" spans="2:15" ht="14.25" hidden="1">
      <c r="K127" s="122"/>
      <c r="L127" s="122"/>
      <c r="M127" s="122"/>
      <c r="N127" s="122"/>
      <c r="O127" s="122"/>
    </row>
    <row r="128" spans="2:15" ht="14.25" hidden="1">
      <c r="K128" s="122"/>
      <c r="L128" s="122"/>
      <c r="M128" s="122"/>
      <c r="N128" s="122"/>
      <c r="O128" s="122"/>
    </row>
    <row r="129" spans="11:15" ht="14.25" hidden="1">
      <c r="K129" s="122"/>
      <c r="L129" s="122"/>
      <c r="M129" s="122"/>
      <c r="N129" s="122"/>
      <c r="O129" s="122"/>
    </row>
    <row r="130" spans="11:15" ht="14.25" hidden="1">
      <c r="K130" s="122"/>
      <c r="L130" s="122"/>
      <c r="M130" s="122"/>
      <c r="N130" s="122"/>
      <c r="O130" s="122"/>
    </row>
    <row r="131" spans="11:15" ht="14.25" hidden="1">
      <c r="K131" s="122"/>
      <c r="L131" s="122"/>
      <c r="M131" s="122"/>
      <c r="N131" s="122"/>
      <c r="O131" s="122"/>
    </row>
    <row r="132" spans="11:15" ht="14.25" hidden="1">
      <c r="K132" s="122"/>
      <c r="L132" s="122"/>
      <c r="M132" s="122"/>
      <c r="N132" s="122"/>
      <c r="O132" s="122"/>
    </row>
    <row r="133" spans="11:15" ht="14.25" hidden="1">
      <c r="K133" s="122"/>
      <c r="L133" s="122"/>
      <c r="M133" s="122"/>
      <c r="N133" s="122"/>
      <c r="O133" s="122"/>
    </row>
    <row r="134" spans="11:15" ht="14.25" hidden="1">
      <c r="K134" s="122"/>
      <c r="L134" s="122"/>
      <c r="M134" s="122"/>
      <c r="N134" s="122"/>
      <c r="O134" s="122"/>
    </row>
    <row r="135" spans="11:15" ht="14.25" hidden="1">
      <c r="K135" s="122"/>
      <c r="L135" s="122"/>
      <c r="M135" s="122"/>
      <c r="N135" s="122"/>
      <c r="O135" s="122"/>
    </row>
    <row r="136" spans="11:15" ht="14.25" hidden="1">
      <c r="K136" s="122"/>
      <c r="L136" s="122"/>
      <c r="M136" s="122"/>
      <c r="N136" s="122"/>
      <c r="O136" s="122"/>
    </row>
    <row r="137" spans="11:15" ht="14.25" hidden="1">
      <c r="K137" s="122"/>
      <c r="L137" s="122"/>
      <c r="M137" s="122"/>
      <c r="N137" s="122"/>
      <c r="O137" s="122"/>
    </row>
    <row r="138" spans="11:15" ht="14.25" hidden="1">
      <c r="K138" s="122"/>
      <c r="L138" s="122"/>
      <c r="M138" s="122"/>
      <c r="N138" s="122"/>
      <c r="O138" s="122"/>
    </row>
    <row r="139" spans="11:15" ht="14.25" hidden="1">
      <c r="K139" s="122"/>
      <c r="L139" s="122"/>
      <c r="M139" s="122"/>
      <c r="N139" s="122"/>
      <c r="O139" s="122"/>
    </row>
    <row r="140" spans="11:15" ht="14.25" hidden="1">
      <c r="K140" s="122"/>
      <c r="L140" s="122"/>
      <c r="M140" s="122"/>
      <c r="N140" s="122"/>
      <c r="O140" s="122"/>
    </row>
    <row r="141" spans="11:15" ht="14.25" hidden="1">
      <c r="K141" s="122"/>
      <c r="L141" s="122"/>
      <c r="M141" s="122"/>
      <c r="N141" s="122"/>
      <c r="O141" s="122"/>
    </row>
    <row r="142" spans="11:15" ht="14.25" hidden="1">
      <c r="K142" s="122"/>
      <c r="L142" s="122"/>
      <c r="M142" s="122"/>
      <c r="N142" s="122"/>
      <c r="O142" s="122"/>
    </row>
    <row r="143" spans="11:15" ht="14.25" hidden="1">
      <c r="K143" s="122"/>
      <c r="L143" s="122"/>
      <c r="M143" s="122"/>
      <c r="N143" s="122"/>
      <c r="O143" s="122"/>
    </row>
    <row r="144" spans="11:15" ht="14.25" hidden="1">
      <c r="K144" s="122"/>
      <c r="L144" s="122"/>
      <c r="M144" s="122"/>
      <c r="N144" s="122"/>
      <c r="O144" s="122"/>
    </row>
    <row r="145" spans="11:15" ht="14.25" hidden="1">
      <c r="K145" s="122"/>
      <c r="L145" s="122"/>
      <c r="M145" s="122"/>
      <c r="N145" s="122"/>
      <c r="O145" s="122"/>
    </row>
    <row r="146" spans="11:15" ht="14.25" hidden="1">
      <c r="K146" s="122"/>
      <c r="L146" s="122"/>
      <c r="M146" s="122"/>
      <c r="N146" s="122"/>
      <c r="O146" s="122"/>
    </row>
    <row r="147" spans="11:15" ht="14.25" hidden="1">
      <c r="K147" s="122"/>
      <c r="L147" s="122"/>
      <c r="M147" s="122"/>
      <c r="N147" s="122"/>
      <c r="O147" s="122"/>
    </row>
    <row r="148" spans="11:15" ht="14.25" hidden="1">
      <c r="K148" s="122"/>
      <c r="L148" s="122"/>
      <c r="M148" s="122"/>
      <c r="N148" s="122"/>
      <c r="O148" s="122"/>
    </row>
    <row r="149" spans="11:15" ht="14.25" hidden="1">
      <c r="K149" s="122"/>
      <c r="L149" s="122"/>
      <c r="M149" s="122"/>
      <c r="N149" s="122"/>
      <c r="O149" s="122"/>
    </row>
    <row r="150" spans="11:15" ht="14.25" hidden="1">
      <c r="K150" s="122"/>
      <c r="L150" s="122"/>
      <c r="M150" s="122"/>
      <c r="N150" s="122"/>
      <c r="O150" s="122"/>
    </row>
    <row r="151" spans="11:15" ht="14.25" hidden="1">
      <c r="K151" s="122"/>
      <c r="L151" s="122"/>
      <c r="M151" s="122"/>
      <c r="N151" s="122"/>
      <c r="O151" s="122"/>
    </row>
    <row r="152" spans="11:15" ht="14.25" hidden="1">
      <c r="K152" s="122"/>
      <c r="L152" s="122"/>
      <c r="M152" s="122"/>
      <c r="N152" s="122"/>
      <c r="O152" s="122"/>
    </row>
    <row r="153" spans="11:15" ht="14.25" hidden="1">
      <c r="K153" s="122"/>
      <c r="L153" s="122"/>
      <c r="M153" s="122"/>
      <c r="N153" s="122"/>
      <c r="O153" s="122"/>
    </row>
    <row r="154" spans="11:15" ht="14.25" hidden="1">
      <c r="K154" s="122"/>
      <c r="L154" s="122"/>
      <c r="M154" s="122"/>
      <c r="N154" s="122"/>
      <c r="O154" s="122"/>
    </row>
    <row r="155" spans="11:15" ht="14.25" hidden="1">
      <c r="K155" s="122"/>
      <c r="L155" s="122"/>
      <c r="M155" s="122"/>
      <c r="N155" s="122"/>
      <c r="O155" s="122"/>
    </row>
    <row r="156" spans="11:15" ht="14.25" hidden="1">
      <c r="K156" s="122"/>
      <c r="L156" s="122"/>
      <c r="M156" s="122"/>
      <c r="N156" s="122"/>
      <c r="O156" s="122"/>
    </row>
    <row r="157" spans="11:15" ht="14.25" hidden="1">
      <c r="K157" s="122"/>
      <c r="L157" s="122"/>
      <c r="M157" s="122"/>
      <c r="N157" s="122"/>
      <c r="O157" s="122"/>
    </row>
    <row r="158" spans="11:15" ht="14.25" hidden="1">
      <c r="K158" s="122"/>
      <c r="L158" s="122"/>
      <c r="M158" s="122"/>
      <c r="N158" s="122"/>
      <c r="O158" s="122"/>
    </row>
    <row r="159" spans="11:15" ht="14.25" hidden="1">
      <c r="K159" s="122"/>
      <c r="L159" s="122"/>
      <c r="M159" s="122"/>
      <c r="N159" s="122"/>
      <c r="O159" s="122"/>
    </row>
    <row r="160" spans="11:15" ht="14.25" hidden="1">
      <c r="K160" s="122"/>
      <c r="L160" s="122"/>
      <c r="M160" s="122"/>
      <c r="N160" s="122"/>
      <c r="O160" s="122"/>
    </row>
    <row r="161" spans="11:15" ht="14.25" hidden="1">
      <c r="K161" s="122"/>
      <c r="L161" s="122"/>
      <c r="M161" s="122"/>
      <c r="N161" s="122"/>
      <c r="O161" s="122"/>
    </row>
    <row r="162" spans="11:15" ht="14.25" hidden="1">
      <c r="K162" s="122"/>
      <c r="L162" s="122"/>
      <c r="M162" s="122"/>
      <c r="N162" s="122"/>
      <c r="O162" s="122"/>
    </row>
    <row r="163" spans="11:15" ht="14.25" hidden="1">
      <c r="K163" s="122"/>
      <c r="L163" s="122"/>
      <c r="M163" s="122"/>
      <c r="N163" s="122"/>
      <c r="O163" s="122"/>
    </row>
    <row r="164" spans="11:15" ht="14.25" hidden="1">
      <c r="K164" s="122"/>
      <c r="L164" s="122"/>
      <c r="M164" s="122"/>
      <c r="N164" s="122"/>
      <c r="O164" s="122"/>
    </row>
    <row r="165" spans="11:15" ht="14.25" hidden="1">
      <c r="K165" s="122"/>
      <c r="L165" s="122"/>
      <c r="M165" s="122"/>
      <c r="N165" s="122"/>
      <c r="O165" s="122"/>
    </row>
    <row r="166" spans="11:15" ht="14.25" hidden="1">
      <c r="K166" s="122"/>
      <c r="L166" s="122"/>
      <c r="M166" s="122"/>
      <c r="N166" s="122"/>
      <c r="O166" s="122"/>
    </row>
    <row r="167" spans="11:15" ht="14.25" hidden="1">
      <c r="K167" s="122"/>
      <c r="L167" s="122"/>
      <c r="M167" s="122"/>
      <c r="N167" s="122"/>
      <c r="O167" s="122"/>
    </row>
    <row r="168" spans="11:15" ht="14.25" hidden="1">
      <c r="K168" s="122"/>
      <c r="L168" s="122"/>
      <c r="M168" s="122"/>
      <c r="N168" s="122"/>
      <c r="O168" s="122"/>
    </row>
    <row r="169" spans="11:15" ht="14.25" hidden="1">
      <c r="K169" s="122"/>
      <c r="L169" s="122"/>
      <c r="M169" s="122"/>
      <c r="N169" s="122"/>
      <c r="O169" s="122"/>
    </row>
    <row r="170" spans="11:15" ht="14.25" hidden="1">
      <c r="K170" s="122"/>
      <c r="L170" s="122"/>
      <c r="M170" s="122"/>
      <c r="N170" s="122"/>
      <c r="O170" s="122"/>
    </row>
    <row r="171" spans="11:15" ht="14.25" hidden="1">
      <c r="K171" s="122"/>
      <c r="L171" s="122"/>
      <c r="M171" s="122"/>
      <c r="N171" s="122"/>
      <c r="O171" s="122"/>
    </row>
    <row r="172" spans="11:15" ht="14.25" hidden="1">
      <c r="K172" s="122"/>
      <c r="L172" s="122"/>
      <c r="M172" s="122"/>
      <c r="N172" s="122"/>
      <c r="O172" s="122"/>
    </row>
    <row r="173" spans="11:15" ht="14.25" hidden="1">
      <c r="K173" s="122"/>
      <c r="L173" s="122"/>
      <c r="M173" s="122"/>
      <c r="N173" s="122"/>
      <c r="O173" s="122"/>
    </row>
    <row r="174" spans="11:15" ht="14.25" hidden="1">
      <c r="K174" s="122"/>
      <c r="L174" s="122"/>
      <c r="M174" s="122"/>
      <c r="N174" s="122"/>
      <c r="O174" s="122"/>
    </row>
    <row r="175" spans="11:15" ht="14.25" hidden="1">
      <c r="K175" s="122"/>
      <c r="L175" s="122"/>
      <c r="M175" s="122"/>
      <c r="N175" s="122"/>
      <c r="O175" s="122"/>
    </row>
    <row r="176" spans="11:15" ht="14.25" hidden="1">
      <c r="K176" s="122"/>
      <c r="L176" s="122"/>
      <c r="M176" s="122"/>
      <c r="N176" s="122"/>
      <c r="O176" s="122"/>
    </row>
    <row r="177" spans="11:15" ht="14.25" hidden="1">
      <c r="K177" s="122"/>
      <c r="L177" s="122"/>
      <c r="M177" s="122"/>
      <c r="N177" s="122"/>
      <c r="O177" s="122"/>
    </row>
    <row r="178" spans="11:15" ht="14.25" hidden="1">
      <c r="K178" s="122"/>
      <c r="L178" s="122"/>
      <c r="M178" s="122"/>
      <c r="N178" s="122"/>
      <c r="O178" s="122"/>
    </row>
    <row r="179" spans="11:15" ht="14.25" hidden="1">
      <c r="K179" s="122"/>
      <c r="L179" s="122"/>
      <c r="M179" s="122"/>
      <c r="N179" s="122"/>
      <c r="O179" s="122"/>
    </row>
    <row r="180" spans="11:15" ht="14.25" hidden="1">
      <c r="K180" s="122"/>
      <c r="L180" s="122"/>
      <c r="M180" s="122"/>
      <c r="N180" s="122"/>
      <c r="O180" s="122"/>
    </row>
    <row r="181" spans="11:15" ht="14.25" hidden="1">
      <c r="K181" s="122"/>
      <c r="L181" s="122"/>
      <c r="M181" s="122"/>
      <c r="N181" s="122"/>
      <c r="O181" s="122"/>
    </row>
    <row r="182" spans="11:15" ht="14.25" hidden="1">
      <c r="K182" s="122"/>
      <c r="L182" s="122"/>
      <c r="M182" s="122"/>
      <c r="N182" s="122"/>
      <c r="O182" s="122"/>
    </row>
    <row r="183" spans="11:15" ht="14.25" hidden="1">
      <c r="K183" s="122"/>
      <c r="L183" s="122"/>
      <c r="M183" s="122"/>
      <c r="N183" s="122"/>
      <c r="O183" s="122"/>
    </row>
    <row r="184" spans="11:15" ht="14.25" hidden="1">
      <c r="K184" s="122"/>
      <c r="L184" s="122"/>
      <c r="M184" s="122"/>
      <c r="N184" s="122"/>
      <c r="O184" s="122"/>
    </row>
    <row r="185" spans="11:15" ht="14.25" hidden="1">
      <c r="K185" s="122"/>
      <c r="L185" s="122"/>
      <c r="M185" s="122"/>
      <c r="N185" s="122"/>
      <c r="O185" s="122"/>
    </row>
    <row r="186" spans="11:15" ht="14.25" hidden="1">
      <c r="K186" s="122"/>
      <c r="L186" s="122"/>
      <c r="M186" s="122"/>
      <c r="N186" s="122"/>
      <c r="O186" s="122"/>
    </row>
    <row r="187" spans="11:15" ht="14.25" hidden="1">
      <c r="K187" s="122"/>
      <c r="L187" s="122"/>
      <c r="M187" s="122"/>
      <c r="N187" s="122"/>
      <c r="O187" s="122"/>
    </row>
    <row r="188" spans="11:15" ht="14.25" hidden="1">
      <c r="K188" s="122"/>
      <c r="L188" s="122"/>
      <c r="M188" s="122"/>
      <c r="N188" s="122"/>
      <c r="O188" s="122"/>
    </row>
    <row r="189" spans="11:15" ht="14.25" hidden="1">
      <c r="K189" s="122"/>
      <c r="L189" s="122"/>
      <c r="M189" s="122"/>
      <c r="N189" s="122"/>
      <c r="O189" s="122"/>
    </row>
    <row r="190" spans="11:15" ht="14.25" hidden="1">
      <c r="K190" s="122"/>
      <c r="L190" s="122"/>
      <c r="M190" s="122"/>
      <c r="N190" s="122"/>
      <c r="O190" s="122"/>
    </row>
    <row r="191" spans="11:15" ht="14.25" hidden="1">
      <c r="K191" s="122"/>
      <c r="L191" s="122"/>
      <c r="M191" s="122"/>
      <c r="N191" s="122"/>
      <c r="O191" s="122"/>
    </row>
    <row r="192" spans="11:15" ht="14.25" hidden="1">
      <c r="K192" s="122"/>
      <c r="L192" s="122"/>
      <c r="M192" s="122"/>
      <c r="N192" s="122"/>
      <c r="O192" s="122"/>
    </row>
    <row r="193" spans="11:15" ht="14.25" hidden="1">
      <c r="K193" s="122"/>
      <c r="L193" s="122"/>
      <c r="M193" s="122"/>
      <c r="N193" s="122"/>
      <c r="O193" s="122"/>
    </row>
    <row r="194" spans="11:15" ht="14.25" hidden="1">
      <c r="K194" s="122"/>
      <c r="L194" s="122"/>
      <c r="M194" s="122"/>
      <c r="N194" s="122"/>
      <c r="O194" s="122"/>
    </row>
    <row r="195" spans="11:15" ht="14.25" hidden="1">
      <c r="K195" s="122"/>
      <c r="L195" s="122"/>
      <c r="M195" s="122"/>
      <c r="N195" s="122"/>
      <c r="O195" s="122"/>
    </row>
    <row r="196" spans="11:15" ht="14.25" hidden="1">
      <c r="K196" s="122"/>
      <c r="L196" s="122"/>
      <c r="M196" s="122"/>
      <c r="N196" s="122"/>
      <c r="O196" s="122"/>
    </row>
    <row r="197" spans="11:15" ht="14.25" hidden="1">
      <c r="K197" s="122"/>
      <c r="L197" s="122"/>
      <c r="M197" s="122"/>
      <c r="N197" s="122"/>
      <c r="O197" s="122"/>
    </row>
    <row r="198" spans="11:15" ht="14.25" hidden="1">
      <c r="K198" s="122"/>
      <c r="L198" s="122"/>
      <c r="M198" s="122"/>
      <c r="N198" s="122"/>
      <c r="O198" s="122"/>
    </row>
    <row r="199" spans="11:15" ht="14.25" hidden="1">
      <c r="K199" s="122"/>
      <c r="L199" s="122"/>
      <c r="M199" s="122"/>
      <c r="N199" s="122"/>
      <c r="O199" s="122"/>
    </row>
    <row r="200" spans="11:15" ht="14.25" hidden="1">
      <c r="K200" s="122"/>
      <c r="L200" s="122"/>
      <c r="M200" s="122"/>
      <c r="N200" s="122"/>
      <c r="O200" s="122"/>
    </row>
    <row r="201" spans="11:15" ht="14.25" hidden="1">
      <c r="K201" s="122"/>
      <c r="L201" s="122"/>
      <c r="M201" s="122"/>
      <c r="N201" s="122"/>
      <c r="O201" s="122"/>
    </row>
    <row r="202" spans="11:15" ht="14.25" hidden="1">
      <c r="K202" s="122"/>
      <c r="L202" s="122"/>
      <c r="M202" s="122"/>
      <c r="N202" s="122"/>
      <c r="O202" s="122"/>
    </row>
    <row r="203" spans="11:15" ht="14.25" hidden="1">
      <c r="K203" s="122"/>
      <c r="L203" s="122"/>
      <c r="M203" s="122"/>
      <c r="N203" s="122"/>
      <c r="O203" s="122"/>
    </row>
    <row r="204" spans="11:15" ht="14.25" hidden="1">
      <c r="K204" s="122"/>
      <c r="L204" s="122"/>
      <c r="M204" s="122"/>
      <c r="N204" s="122"/>
      <c r="O204" s="122"/>
    </row>
    <row r="205" spans="11:15" ht="14.25" hidden="1">
      <c r="K205" s="122"/>
      <c r="L205" s="122"/>
      <c r="M205" s="122"/>
      <c r="N205" s="122"/>
      <c r="O205" s="122"/>
    </row>
    <row r="206" spans="11:15" ht="14.25" hidden="1">
      <c r="K206" s="122"/>
      <c r="L206" s="122"/>
      <c r="M206" s="122"/>
      <c r="N206" s="122"/>
      <c r="O206" s="122"/>
    </row>
    <row r="207" spans="11:15" ht="14.25" hidden="1">
      <c r="K207" s="122"/>
      <c r="L207" s="122"/>
      <c r="M207" s="122"/>
      <c r="N207" s="122"/>
      <c r="O207" s="122"/>
    </row>
    <row r="208" spans="11:15" ht="14.25" hidden="1">
      <c r="K208" s="122"/>
      <c r="L208" s="122"/>
      <c r="M208" s="122"/>
      <c r="N208" s="122"/>
      <c r="O208" s="122"/>
    </row>
    <row r="209" spans="11:15" ht="14.25" hidden="1">
      <c r="K209" s="122"/>
      <c r="L209" s="122"/>
      <c r="M209" s="122"/>
      <c r="N209" s="122"/>
      <c r="O209" s="122"/>
    </row>
    <row r="210" spans="11:15" ht="14.25" hidden="1">
      <c r="K210" s="122"/>
      <c r="L210" s="122"/>
      <c r="M210" s="122"/>
      <c r="N210" s="122"/>
      <c r="O210" s="122"/>
    </row>
    <row r="211" spans="11:15" ht="14.25" hidden="1">
      <c r="K211" s="122"/>
      <c r="L211" s="122"/>
      <c r="M211" s="122"/>
      <c r="N211" s="122"/>
      <c r="O211" s="122"/>
    </row>
    <row r="212" spans="11:15" ht="14.25" hidden="1">
      <c r="K212" s="122"/>
      <c r="L212" s="122"/>
      <c r="M212" s="122"/>
      <c r="N212" s="122"/>
      <c r="O212" s="122"/>
    </row>
    <row r="213" spans="11:15" ht="14.25" hidden="1">
      <c r="K213" s="122"/>
      <c r="L213" s="122"/>
      <c r="M213" s="122"/>
      <c r="N213" s="122"/>
      <c r="O213" s="122"/>
    </row>
    <row r="214" spans="11:15" ht="14.25" hidden="1">
      <c r="K214" s="122"/>
      <c r="L214" s="122"/>
      <c r="M214" s="122"/>
      <c r="N214" s="122"/>
      <c r="O214" s="122"/>
    </row>
    <row r="215" spans="11:15" ht="14.25" hidden="1">
      <c r="K215" s="122"/>
      <c r="L215" s="122"/>
      <c r="M215" s="122"/>
      <c r="N215" s="122"/>
      <c r="O215" s="122"/>
    </row>
    <row r="216" spans="11:15" ht="14.25" hidden="1">
      <c r="K216" s="122"/>
      <c r="L216" s="122"/>
      <c r="M216" s="122"/>
      <c r="N216" s="122"/>
      <c r="O216" s="122"/>
    </row>
    <row r="217" spans="11:15" ht="14.25" hidden="1">
      <c r="K217" s="122"/>
      <c r="L217" s="122"/>
      <c r="M217" s="122"/>
      <c r="N217" s="122"/>
      <c r="O217" s="122"/>
    </row>
    <row r="218" spans="11:15" ht="14.25" hidden="1">
      <c r="K218" s="122"/>
      <c r="L218" s="122"/>
      <c r="M218" s="122"/>
      <c r="N218" s="122"/>
      <c r="O218" s="122"/>
    </row>
    <row r="219" spans="11:15" ht="14.25" hidden="1">
      <c r="K219" s="122"/>
      <c r="L219" s="122"/>
      <c r="M219" s="122"/>
      <c r="N219" s="122"/>
      <c r="O219" s="122"/>
    </row>
    <row r="220" spans="11:15" ht="14.25" hidden="1">
      <c r="K220" s="122"/>
      <c r="L220" s="122"/>
      <c r="M220" s="122"/>
      <c r="N220" s="122"/>
      <c r="O220" s="122"/>
    </row>
    <row r="221" spans="11:15" ht="14.25" hidden="1">
      <c r="K221" s="122"/>
      <c r="L221" s="122"/>
      <c r="M221" s="122"/>
      <c r="N221" s="122"/>
      <c r="O221" s="122"/>
    </row>
    <row r="222" spans="11:15" ht="14.25" hidden="1">
      <c r="K222" s="122"/>
      <c r="L222" s="122"/>
      <c r="M222" s="122"/>
      <c r="N222" s="122"/>
      <c r="O222" s="122"/>
    </row>
    <row r="223" spans="11:15" ht="14.25" hidden="1">
      <c r="K223" s="122"/>
      <c r="L223" s="122"/>
      <c r="M223" s="122"/>
      <c r="N223" s="122"/>
      <c r="O223" s="122"/>
    </row>
    <row r="224" spans="11:15" ht="14.25" hidden="1">
      <c r="K224" s="122"/>
      <c r="L224" s="122"/>
      <c r="M224" s="122"/>
      <c r="N224" s="122"/>
      <c r="O224" s="122"/>
    </row>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sheetData>
  <sheetProtection password="E1CD" sheet="1" objects="1" scenarios="1" formatCells="0" formatColumns="0" formatRows="0" insertHyperlinks="0" autoFilter="0" pivotTables="0"/>
  <mergeCells count="3">
    <mergeCell ref="K43:O43"/>
    <mergeCell ref="K81:O81"/>
    <mergeCell ref="K3:M3"/>
  </mergeCells>
  <pageMargins left="0.19685039370078741" right="0.19685039370078741" top="0.39370078740157483" bottom="0.59055118110236227" header="0.11811023622047245" footer="0.11811023622047245"/>
  <pageSetup paperSize="8" fitToHeight="0" orientation="landscape" r:id="rId1"/>
  <headerFooter>
    <oddHeader>&amp;C&amp;A</oddHeader>
    <oddFooter>&amp;L&amp;D &amp;T&amp;C&amp;Z&amp;F&amp;R&amp;A</oddFooter>
  </headerFooter>
  <rowBreaks count="1" manualBreakCount="1">
    <brk id="43" max="16383" man="1"/>
  </rowBreaks>
</worksheet>
</file>

<file path=xl/worksheets/sheet18.xml><?xml version="1.0" encoding="utf-8"?>
<worksheet xmlns="http://schemas.openxmlformats.org/spreadsheetml/2006/main" xmlns:r="http://schemas.openxmlformats.org/officeDocument/2006/relationships">
  <sheetPr>
    <tabColor rgb="FFCCFFFF"/>
    <pageSetUpPr fitToPage="1"/>
  </sheetPr>
  <dimension ref="A1:Z239"/>
  <sheetViews>
    <sheetView view="pageBreakPreview" zoomScaleNormal="100" zoomScaleSheetLayoutView="100" workbookViewId="0">
      <pane xSplit="1" ySplit="4" topLeftCell="B41" activePane="bottomRight" state="frozen"/>
      <selection pane="topRight" activeCell="B1" sqref="B1"/>
      <selection pane="bottomLeft" activeCell="A5" sqref="A5"/>
      <selection pane="bottomRight" activeCell="J50" sqref="J50"/>
    </sheetView>
  </sheetViews>
  <sheetFormatPr defaultColWidth="0" defaultRowHeight="12.75" customHeight="1" zeroHeight="1"/>
  <cols>
    <col min="1" max="1" width="65.625" style="1" customWidth="1"/>
    <col min="2" max="4" width="1.625" style="1" customWidth="1"/>
    <col min="5" max="5" width="5.625" style="224" customWidth="1"/>
    <col min="6" max="9" width="0.875" style="1" hidden="1" customWidth="1"/>
    <col min="10" max="10" width="1.625" style="5" customWidth="1"/>
    <col min="11" max="15" width="8.625" style="1" customWidth="1"/>
    <col min="16" max="16" width="1.625" style="1" customWidth="1"/>
    <col min="17" max="17" width="18.25" style="5" hidden="1" customWidth="1"/>
    <col min="18" max="26" width="0" style="1" hidden="1" customWidth="1"/>
    <col min="27" max="16384" width="9" style="1" hidden="1"/>
  </cols>
  <sheetData>
    <row r="1" spans="1:16" s="5" customFormat="1" ht="15">
      <c r="A1" s="8" t="s">
        <v>493</v>
      </c>
      <c r="E1" s="61"/>
    </row>
    <row r="2" spans="1:16" s="5" customFormat="1" ht="15">
      <c r="A2" s="8" t="str">
        <f>COMPNAME</f>
        <v>Company Name of Electricity Distribution Network Operator Limited</v>
      </c>
      <c r="E2" s="61"/>
    </row>
    <row r="3" spans="1:16">
      <c r="A3" s="155" t="str">
        <f>'R5 Input page'!K8</f>
        <v>Regulatory Year ending 31 March 2012</v>
      </c>
      <c r="B3" s="5"/>
      <c r="C3" s="5"/>
      <c r="D3" s="5"/>
      <c r="E3" s="61"/>
      <c r="F3" s="5"/>
      <c r="G3" s="5"/>
      <c r="H3" s="5"/>
      <c r="I3" s="5"/>
      <c r="K3" s="389" t="s">
        <v>645</v>
      </c>
      <c r="L3" s="390"/>
      <c r="M3" s="390"/>
      <c r="N3" s="94"/>
      <c r="O3" s="74"/>
      <c r="P3" s="63"/>
    </row>
    <row r="4" spans="1:16">
      <c r="B4" s="5"/>
      <c r="C4" s="5"/>
      <c r="D4" s="5"/>
      <c r="E4" s="94" t="s">
        <v>5</v>
      </c>
      <c r="F4" s="5"/>
      <c r="G4" s="5"/>
      <c r="H4" s="5"/>
      <c r="I4" s="5"/>
      <c r="K4" s="74">
        <v>2011</v>
      </c>
      <c r="L4" s="94">
        <v>2012</v>
      </c>
      <c r="M4" s="74">
        <v>2013</v>
      </c>
      <c r="N4" s="94">
        <v>2014</v>
      </c>
      <c r="O4" s="74">
        <v>2015</v>
      </c>
      <c r="P4" s="63"/>
    </row>
    <row r="5" spans="1:16">
      <c r="A5" s="102" t="s">
        <v>102</v>
      </c>
      <c r="B5" s="5"/>
      <c r="C5" s="5"/>
      <c r="D5" s="5"/>
      <c r="E5" s="61"/>
      <c r="F5" s="5"/>
      <c r="G5" s="5"/>
      <c r="H5" s="5"/>
      <c r="I5" s="5"/>
      <c r="K5" s="5"/>
      <c r="L5" s="5"/>
      <c r="M5" s="5"/>
      <c r="N5" s="5"/>
      <c r="O5" s="5"/>
      <c r="P5" s="63"/>
    </row>
    <row r="6" spans="1:16" ht="14.25">
      <c r="A6" s="1" t="s">
        <v>519</v>
      </c>
      <c r="B6" s="5"/>
      <c r="C6" s="5"/>
      <c r="D6" s="5"/>
      <c r="E6" s="61" t="s">
        <v>12</v>
      </c>
      <c r="F6" s="5"/>
      <c r="G6" s="5"/>
      <c r="H6" s="5"/>
      <c r="I6" s="5"/>
      <c r="K6" s="215">
        <f>BR</f>
        <v>0</v>
      </c>
      <c r="L6" s="215">
        <f>BR</f>
        <v>0</v>
      </c>
      <c r="M6" s="215">
        <f>BR</f>
        <v>0</v>
      </c>
      <c r="N6" s="215">
        <f>BR</f>
        <v>0</v>
      </c>
      <c r="O6" s="215">
        <f>BR</f>
        <v>0</v>
      </c>
      <c r="P6" s="221"/>
    </row>
    <row r="7" spans="1:16" ht="9" customHeight="1">
      <c r="A7" s="102"/>
      <c r="B7" s="5"/>
      <c r="C7" s="5"/>
      <c r="D7" s="5"/>
      <c r="E7" s="61"/>
      <c r="F7" s="5"/>
      <c r="G7" s="5"/>
      <c r="H7" s="5"/>
      <c r="I7" s="5"/>
      <c r="K7" s="74"/>
      <c r="L7" s="94"/>
      <c r="M7" s="74"/>
      <c r="N7" s="94"/>
      <c r="O7" s="74"/>
      <c r="P7" s="221"/>
    </row>
    <row r="8" spans="1:16">
      <c r="A8" s="102" t="s">
        <v>403</v>
      </c>
      <c r="B8" s="5"/>
      <c r="C8" s="5"/>
      <c r="D8" s="5"/>
      <c r="E8" s="61"/>
      <c r="F8" s="5"/>
      <c r="G8" s="5"/>
      <c r="H8" s="5"/>
      <c r="I8" s="5"/>
      <c r="K8" s="74"/>
      <c r="L8" s="94"/>
      <c r="M8" s="74"/>
      <c r="N8" s="94"/>
      <c r="O8" s="74"/>
      <c r="P8" s="221"/>
    </row>
    <row r="9" spans="1:16">
      <c r="A9" s="5" t="s">
        <v>664</v>
      </c>
      <c r="B9" s="5"/>
      <c r="C9" s="5"/>
      <c r="D9" s="5"/>
      <c r="E9" s="61" t="s">
        <v>12</v>
      </c>
      <c r="F9" s="5"/>
      <c r="G9" s="5"/>
      <c r="H9" s="5"/>
      <c r="I9" s="5"/>
      <c r="K9" s="215">
        <f>LF</f>
        <v>0</v>
      </c>
      <c r="L9" s="215">
        <f>LF</f>
        <v>0</v>
      </c>
      <c r="M9" s="215">
        <f>LF</f>
        <v>0</v>
      </c>
      <c r="N9" s="215">
        <f>LF</f>
        <v>0</v>
      </c>
      <c r="O9" s="215">
        <f>LF</f>
        <v>0</v>
      </c>
      <c r="P9" s="221"/>
    </row>
    <row r="10" spans="1:16">
      <c r="A10" s="5" t="s">
        <v>423</v>
      </c>
      <c r="B10" s="5"/>
      <c r="C10" s="5"/>
      <c r="D10" s="5"/>
      <c r="E10" s="61" t="s">
        <v>12</v>
      </c>
      <c r="F10" s="5"/>
      <c r="G10" s="5"/>
      <c r="H10" s="5"/>
      <c r="I10" s="5"/>
      <c r="K10" s="215">
        <f>RB</f>
        <v>0</v>
      </c>
      <c r="L10" s="215">
        <f>RB</f>
        <v>0</v>
      </c>
      <c r="M10" s="215">
        <f>RB</f>
        <v>0</v>
      </c>
      <c r="N10" s="215">
        <f>RB</f>
        <v>0</v>
      </c>
      <c r="O10" s="215">
        <f>RB</f>
        <v>0</v>
      </c>
      <c r="P10" s="221"/>
    </row>
    <row r="11" spans="1:16">
      <c r="A11" s="5" t="s">
        <v>463</v>
      </c>
      <c r="B11" s="5"/>
      <c r="C11" s="5"/>
      <c r="D11" s="5"/>
      <c r="E11" s="61" t="s">
        <v>12</v>
      </c>
      <c r="F11" s="5"/>
      <c r="G11" s="5"/>
      <c r="H11" s="5"/>
      <c r="I11" s="5"/>
      <c r="K11" s="215">
        <f>HB</f>
        <v>0</v>
      </c>
      <c r="L11" s="215">
        <f>HB</f>
        <v>0</v>
      </c>
      <c r="M11" s="215">
        <f>HB</f>
        <v>0</v>
      </c>
      <c r="N11" s="215">
        <f>HB</f>
        <v>0</v>
      </c>
      <c r="O11" s="215">
        <f>HB</f>
        <v>0</v>
      </c>
      <c r="P11" s="221"/>
    </row>
    <row r="12" spans="1:16">
      <c r="A12" s="5" t="s">
        <v>424</v>
      </c>
      <c r="B12" s="5"/>
      <c r="C12" s="5"/>
      <c r="D12" s="5"/>
      <c r="E12" s="61" t="s">
        <v>12</v>
      </c>
      <c r="F12" s="5"/>
      <c r="G12" s="5"/>
      <c r="H12" s="5"/>
      <c r="I12" s="5"/>
      <c r="K12" s="215">
        <f>IED</f>
        <v>0</v>
      </c>
      <c r="L12" s="215">
        <f>IED</f>
        <v>0</v>
      </c>
      <c r="M12" s="215">
        <f>IED</f>
        <v>0</v>
      </c>
      <c r="N12" s="215">
        <f>IED</f>
        <v>0</v>
      </c>
      <c r="O12" s="215">
        <f>IED</f>
        <v>0</v>
      </c>
      <c r="P12" s="221"/>
    </row>
    <row r="13" spans="1:16">
      <c r="A13" s="5" t="s">
        <v>429</v>
      </c>
      <c r="B13" s="5"/>
      <c r="C13" s="5"/>
      <c r="D13" s="5"/>
      <c r="E13" s="61" t="s">
        <v>12</v>
      </c>
      <c r="F13" s="5"/>
      <c r="G13" s="5"/>
      <c r="H13" s="5"/>
      <c r="I13" s="5"/>
      <c r="K13" s="215">
        <f>MPT</f>
        <v>0</v>
      </c>
      <c r="L13" s="215">
        <f>MPT</f>
        <v>0</v>
      </c>
      <c r="M13" s="215">
        <f>MPT</f>
        <v>0</v>
      </c>
      <c r="N13" s="215">
        <f>MPT</f>
        <v>0</v>
      </c>
      <c r="O13" s="215">
        <f>MPT</f>
        <v>0</v>
      </c>
      <c r="P13" s="221"/>
    </row>
    <row r="14" spans="1:16">
      <c r="A14" s="5" t="s">
        <v>425</v>
      </c>
      <c r="B14" s="5"/>
      <c r="C14" s="5"/>
      <c r="D14" s="5"/>
      <c r="E14" s="61" t="s">
        <v>12</v>
      </c>
      <c r="F14" s="5"/>
      <c r="G14" s="5"/>
      <c r="H14" s="5"/>
      <c r="I14" s="5"/>
      <c r="K14" s="215">
        <f>TB</f>
        <v>0</v>
      </c>
      <c r="L14" s="215">
        <f>TB</f>
        <v>0</v>
      </c>
      <c r="M14" s="215">
        <f>TB</f>
        <v>0</v>
      </c>
      <c r="N14" s="215">
        <f>TB</f>
        <v>0</v>
      </c>
      <c r="O14" s="215">
        <f>TB</f>
        <v>0</v>
      </c>
      <c r="P14" s="221"/>
    </row>
    <row r="15" spans="1:16">
      <c r="A15" s="5" t="s">
        <v>428</v>
      </c>
      <c r="B15" s="5"/>
      <c r="C15" s="5"/>
      <c r="D15" s="5"/>
      <c r="E15" s="61" t="s">
        <v>12</v>
      </c>
      <c r="F15" s="5"/>
      <c r="G15" s="5"/>
      <c r="H15" s="5"/>
      <c r="I15" s="5"/>
      <c r="K15" s="215">
        <f>UNC</f>
        <v>0</v>
      </c>
      <c r="L15" s="215">
        <f>UNC</f>
        <v>0</v>
      </c>
      <c r="M15" s="215">
        <f>UNC</f>
        <v>0</v>
      </c>
      <c r="N15" s="215">
        <f>UNC</f>
        <v>0</v>
      </c>
      <c r="O15" s="215">
        <f>UNC</f>
        <v>0</v>
      </c>
      <c r="P15" s="221"/>
    </row>
    <row r="16" spans="1:16" ht="14.25">
      <c r="A16" s="222" t="s">
        <v>520</v>
      </c>
      <c r="B16" s="5"/>
      <c r="C16" s="5"/>
      <c r="D16" s="5"/>
      <c r="E16" s="61" t="s">
        <v>12</v>
      </c>
      <c r="F16" s="5"/>
      <c r="G16" s="5"/>
      <c r="H16" s="5"/>
      <c r="I16" s="5"/>
      <c r="K16" s="197">
        <f>PT</f>
        <v>0</v>
      </c>
      <c r="L16" s="197">
        <f>PT</f>
        <v>0</v>
      </c>
      <c r="M16" s="197">
        <f>PT</f>
        <v>0</v>
      </c>
      <c r="N16" s="197">
        <f>PT</f>
        <v>0</v>
      </c>
      <c r="O16" s="197">
        <f>PT</f>
        <v>0</v>
      </c>
      <c r="P16" s="221"/>
    </row>
    <row r="17" spans="1:16" ht="9" customHeight="1">
      <c r="A17" s="102"/>
      <c r="B17" s="5"/>
      <c r="C17" s="5"/>
      <c r="D17" s="5"/>
      <c r="E17" s="61"/>
      <c r="F17" s="5"/>
      <c r="G17" s="5"/>
      <c r="H17" s="5"/>
      <c r="I17" s="5"/>
      <c r="K17" s="184"/>
      <c r="L17" s="94"/>
      <c r="M17" s="74"/>
      <c r="N17" s="94"/>
      <c r="O17" s="74"/>
      <c r="P17" s="221"/>
    </row>
    <row r="18" spans="1:16">
      <c r="A18" s="102" t="s">
        <v>430</v>
      </c>
      <c r="B18" s="5"/>
      <c r="C18" s="5"/>
      <c r="D18" s="5"/>
      <c r="E18" s="61"/>
      <c r="F18" s="5"/>
      <c r="G18" s="5"/>
      <c r="H18" s="5"/>
      <c r="I18" s="5"/>
      <c r="K18" s="74"/>
      <c r="L18" s="94"/>
      <c r="M18" s="74"/>
      <c r="N18" s="94"/>
      <c r="O18" s="74"/>
      <c r="P18" s="221"/>
    </row>
    <row r="19" spans="1:16">
      <c r="A19" s="5" t="s">
        <v>431</v>
      </c>
      <c r="B19" s="5"/>
      <c r="C19" s="5"/>
      <c r="D19" s="5"/>
      <c r="E19" s="61" t="s">
        <v>12</v>
      </c>
      <c r="F19" s="5"/>
      <c r="G19" s="5"/>
      <c r="H19" s="5"/>
      <c r="I19" s="5"/>
      <c r="K19" s="215">
        <f>IL</f>
        <v>0</v>
      </c>
      <c r="L19" s="215">
        <f>IL</f>
        <v>0</v>
      </c>
      <c r="M19" s="215">
        <f>IL</f>
        <v>0</v>
      </c>
      <c r="N19" s="215">
        <f>IL</f>
        <v>0</v>
      </c>
      <c r="O19" s="215">
        <f>IL</f>
        <v>0</v>
      </c>
      <c r="P19" s="221"/>
    </row>
    <row r="20" spans="1:16">
      <c r="A20" s="5" t="s">
        <v>432</v>
      </c>
      <c r="B20" s="5"/>
      <c r="C20" s="5"/>
      <c r="D20" s="5"/>
      <c r="E20" s="61" t="s">
        <v>12</v>
      </c>
      <c r="F20" s="5"/>
      <c r="G20" s="5"/>
      <c r="H20" s="5"/>
      <c r="I20" s="5"/>
      <c r="K20" s="215">
        <f>IQ</f>
        <v>0</v>
      </c>
      <c r="L20" s="215">
        <f>IQ</f>
        <v>0</v>
      </c>
      <c r="M20" s="215">
        <f>IQ</f>
        <v>0</v>
      </c>
      <c r="N20" s="215">
        <f>IQ</f>
        <v>0</v>
      </c>
      <c r="O20" s="215">
        <f>IQ</f>
        <v>0</v>
      </c>
      <c r="P20" s="221"/>
    </row>
    <row r="21" spans="1:16">
      <c r="A21" s="5" t="s">
        <v>433</v>
      </c>
      <c r="B21" s="5"/>
      <c r="C21" s="5"/>
      <c r="D21" s="5"/>
      <c r="E21" s="61" t="s">
        <v>12</v>
      </c>
      <c r="F21" s="5"/>
      <c r="G21" s="5"/>
      <c r="H21" s="5"/>
      <c r="I21" s="5"/>
      <c r="K21" s="215">
        <f>IT</f>
        <v>0</v>
      </c>
      <c r="L21" s="215">
        <f>IT</f>
        <v>0</v>
      </c>
      <c r="M21" s="215">
        <f>IT</f>
        <v>0</v>
      </c>
      <c r="N21" s="215">
        <f>IT</f>
        <v>0</v>
      </c>
      <c r="O21" s="215">
        <f>IT</f>
        <v>0</v>
      </c>
      <c r="P21" s="221"/>
    </row>
    <row r="22" spans="1:16">
      <c r="A22" s="5" t="s">
        <v>434</v>
      </c>
      <c r="B22" s="5"/>
      <c r="C22" s="5"/>
      <c r="D22" s="5"/>
      <c r="E22" s="61" t="s">
        <v>12</v>
      </c>
      <c r="F22" s="5"/>
      <c r="G22" s="5"/>
      <c r="H22" s="5"/>
      <c r="I22" s="5"/>
      <c r="K22" s="215">
        <f>IFI</f>
        <v>0</v>
      </c>
      <c r="L22" s="215">
        <f>IFI</f>
        <v>0</v>
      </c>
      <c r="M22" s="215">
        <f>IFI</f>
        <v>0</v>
      </c>
      <c r="N22" s="215">
        <f>IFI</f>
        <v>0</v>
      </c>
      <c r="O22" s="215">
        <f>IFI</f>
        <v>0</v>
      </c>
      <c r="P22" s="221"/>
    </row>
    <row r="23" spans="1:16" ht="14.25">
      <c r="A23" s="222" t="s">
        <v>521</v>
      </c>
      <c r="B23" s="5"/>
      <c r="C23" s="5"/>
      <c r="D23" s="5"/>
      <c r="E23" s="61" t="s">
        <v>12</v>
      </c>
      <c r="F23" s="5"/>
      <c r="G23" s="5"/>
      <c r="H23" s="5"/>
      <c r="I23" s="5"/>
      <c r="K23" s="197">
        <f>IP</f>
        <v>0</v>
      </c>
      <c r="L23" s="197">
        <f>IP</f>
        <v>0</v>
      </c>
      <c r="M23" s="197">
        <f>IP</f>
        <v>0</v>
      </c>
      <c r="N23" s="197">
        <f>IP</f>
        <v>0</v>
      </c>
      <c r="O23" s="197">
        <f>IP</f>
        <v>0</v>
      </c>
      <c r="P23" s="221"/>
    </row>
    <row r="24" spans="1:16" ht="9" customHeight="1">
      <c r="A24" s="102"/>
      <c r="B24" s="5"/>
      <c r="C24" s="5"/>
      <c r="D24" s="5"/>
      <c r="E24" s="61"/>
      <c r="F24" s="5"/>
      <c r="G24" s="5"/>
      <c r="H24" s="5"/>
      <c r="I24" s="5"/>
      <c r="K24" s="184"/>
      <c r="L24" s="94"/>
      <c r="M24" s="74"/>
      <c r="N24" s="94"/>
      <c r="O24" s="74"/>
      <c r="P24" s="221"/>
    </row>
    <row r="25" spans="1:16">
      <c r="A25" s="102" t="s">
        <v>404</v>
      </c>
      <c r="B25" s="5"/>
      <c r="C25" s="5"/>
      <c r="D25" s="5"/>
      <c r="E25" s="61"/>
      <c r="F25" s="5"/>
      <c r="G25" s="5"/>
      <c r="H25" s="5"/>
      <c r="I25" s="5"/>
      <c r="K25" s="74"/>
      <c r="L25" s="94"/>
      <c r="M25" s="74"/>
      <c r="N25" s="94"/>
      <c r="O25" s="74"/>
      <c r="P25" s="221"/>
    </row>
    <row r="26" spans="1:16">
      <c r="A26" s="5" t="s">
        <v>439</v>
      </c>
      <c r="B26" s="5"/>
      <c r="C26" s="5"/>
      <c r="D26" s="5"/>
      <c r="E26" s="61" t="s">
        <v>12</v>
      </c>
      <c r="F26" s="5"/>
      <c r="G26" s="5"/>
      <c r="H26" s="5"/>
      <c r="I26" s="5"/>
      <c r="K26" s="215">
        <f>LCN1_exp</f>
        <v>0</v>
      </c>
      <c r="L26" s="215">
        <f>LCN1_exp</f>
        <v>0</v>
      </c>
      <c r="M26" s="215">
        <f>LCN1_exp</f>
        <v>0</v>
      </c>
      <c r="N26" s="215">
        <f>LCN1_exp</f>
        <v>0</v>
      </c>
      <c r="O26" s="215">
        <f>LCN1_exp</f>
        <v>0</v>
      </c>
      <c r="P26" s="221"/>
    </row>
    <row r="27" spans="1:16">
      <c r="A27" s="5" t="s">
        <v>592</v>
      </c>
      <c r="B27" s="5"/>
      <c r="C27" s="5"/>
      <c r="D27" s="5"/>
      <c r="E27" s="61" t="s">
        <v>12</v>
      </c>
      <c r="F27" s="5"/>
      <c r="G27" s="5"/>
      <c r="H27" s="5"/>
      <c r="I27" s="5"/>
      <c r="K27" s="215">
        <f>LCN3_unrec</f>
        <v>0</v>
      </c>
      <c r="L27" s="215">
        <f>LCN3_unrec</f>
        <v>0</v>
      </c>
      <c r="M27" s="215">
        <f>LCN3_unrec</f>
        <v>0</v>
      </c>
      <c r="N27" s="215">
        <f>LCN3_unrec</f>
        <v>0</v>
      </c>
      <c r="O27" s="215">
        <f>LCN3_unrec</f>
        <v>0</v>
      </c>
      <c r="P27" s="221"/>
    </row>
    <row r="28" spans="1:16">
      <c r="A28" s="5" t="s">
        <v>440</v>
      </c>
      <c r="B28" s="5"/>
      <c r="C28" s="5"/>
      <c r="D28" s="5"/>
      <c r="E28" s="61" t="s">
        <v>12</v>
      </c>
      <c r="F28" s="5"/>
      <c r="G28" s="5"/>
      <c r="H28" s="5"/>
      <c r="I28" s="5"/>
      <c r="K28" s="215">
        <f>LCN2_collect</f>
        <v>0</v>
      </c>
      <c r="L28" s="215">
        <f>LCN2_collect</f>
        <v>0</v>
      </c>
      <c r="M28" s="215">
        <f>LCN2_collect</f>
        <v>0</v>
      </c>
      <c r="N28" s="215">
        <f>LCN2_collect</f>
        <v>0</v>
      </c>
      <c r="O28" s="215">
        <f>LCN2_collect</f>
        <v>0</v>
      </c>
      <c r="P28" s="221"/>
    </row>
    <row r="29" spans="1:16" ht="14.25">
      <c r="A29" s="5" t="s">
        <v>515</v>
      </c>
      <c r="B29" s="5"/>
      <c r="C29" s="5"/>
      <c r="D29" s="5"/>
      <c r="E29" s="61" t="s">
        <v>12</v>
      </c>
      <c r="F29" s="5"/>
      <c r="G29" s="5"/>
      <c r="H29" s="5"/>
      <c r="I29" s="5"/>
      <c r="K29" s="197">
        <f>LCN</f>
        <v>0</v>
      </c>
      <c r="L29" s="197">
        <f>LCN</f>
        <v>0</v>
      </c>
      <c r="M29" s="197">
        <f>LCN</f>
        <v>0</v>
      </c>
      <c r="N29" s="197">
        <f>LCN</f>
        <v>0</v>
      </c>
      <c r="O29" s="197">
        <f>LCN</f>
        <v>0</v>
      </c>
      <c r="P29" s="221"/>
    </row>
    <row r="30" spans="1:16" ht="9" customHeight="1">
      <c r="A30" s="5"/>
      <c r="B30" s="5"/>
      <c r="C30" s="5"/>
      <c r="D30" s="5"/>
      <c r="E30" s="61"/>
      <c r="F30" s="5"/>
      <c r="G30" s="5"/>
      <c r="H30" s="5"/>
      <c r="I30" s="5"/>
      <c r="K30" s="74"/>
      <c r="L30" s="74"/>
      <c r="M30" s="74"/>
      <c r="N30" s="74"/>
      <c r="O30" s="74"/>
      <c r="P30" s="221"/>
    </row>
    <row r="31" spans="1:16" ht="9" customHeight="1">
      <c r="B31" s="5"/>
      <c r="C31" s="5"/>
      <c r="D31" s="5"/>
      <c r="E31" s="61"/>
      <c r="F31" s="5"/>
      <c r="G31" s="5"/>
      <c r="H31" s="5"/>
      <c r="I31" s="5"/>
      <c r="K31" s="74"/>
      <c r="L31" s="94"/>
      <c r="M31" s="74"/>
      <c r="N31" s="94"/>
      <c r="O31" s="74"/>
      <c r="P31" s="221"/>
    </row>
    <row r="32" spans="1:16">
      <c r="A32" s="102" t="s">
        <v>405</v>
      </c>
      <c r="B32" s="5"/>
      <c r="C32" s="5"/>
      <c r="D32" s="5"/>
      <c r="E32" s="61"/>
      <c r="F32" s="5"/>
      <c r="G32" s="5"/>
      <c r="H32" s="5"/>
      <c r="I32" s="5"/>
      <c r="K32" s="74"/>
      <c r="L32" s="94"/>
      <c r="M32" s="74"/>
      <c r="N32" s="94"/>
      <c r="O32" s="74"/>
      <c r="P32" s="221"/>
    </row>
    <row r="33" spans="1:16">
      <c r="A33" s="5" t="s">
        <v>441</v>
      </c>
      <c r="B33" s="5"/>
      <c r="C33" s="5"/>
      <c r="D33" s="5"/>
      <c r="E33" s="61" t="s">
        <v>12</v>
      </c>
      <c r="F33" s="5"/>
      <c r="G33" s="5"/>
      <c r="H33" s="5"/>
      <c r="I33" s="5"/>
      <c r="K33" s="215">
        <f>GI</f>
        <v>0</v>
      </c>
      <c r="L33" s="215">
        <f>GI</f>
        <v>0</v>
      </c>
      <c r="M33" s="215">
        <f>GI</f>
        <v>0</v>
      </c>
      <c r="N33" s="215">
        <f>GI</f>
        <v>0</v>
      </c>
      <c r="O33" s="215">
        <f>GI</f>
        <v>0</v>
      </c>
      <c r="P33" s="221"/>
    </row>
    <row r="34" spans="1:16">
      <c r="A34" s="5" t="s">
        <v>442</v>
      </c>
      <c r="B34" s="5"/>
      <c r="C34" s="5"/>
      <c r="D34" s="5"/>
      <c r="E34" s="61" t="s">
        <v>12</v>
      </c>
      <c r="F34" s="5"/>
      <c r="G34" s="5"/>
      <c r="H34" s="5"/>
      <c r="I34" s="5"/>
      <c r="K34" s="215">
        <f>GP</f>
        <v>0</v>
      </c>
      <c r="L34" s="215">
        <f>GP</f>
        <v>0</v>
      </c>
      <c r="M34" s="215">
        <f>GP</f>
        <v>0</v>
      </c>
      <c r="N34" s="215">
        <f>GP</f>
        <v>0</v>
      </c>
      <c r="O34" s="215">
        <f>GP</f>
        <v>0</v>
      </c>
      <c r="P34" s="221"/>
    </row>
    <row r="35" spans="1:16">
      <c r="A35" s="5" t="s">
        <v>443</v>
      </c>
      <c r="B35" s="5"/>
      <c r="C35" s="5"/>
      <c r="D35" s="5"/>
      <c r="E35" s="61" t="s">
        <v>12</v>
      </c>
      <c r="F35" s="5"/>
      <c r="G35" s="5"/>
      <c r="H35" s="5"/>
      <c r="I35" s="5"/>
      <c r="K35" s="215">
        <f>GO</f>
        <v>0</v>
      </c>
      <c r="L35" s="215">
        <f>GO</f>
        <v>0</v>
      </c>
      <c r="M35" s="215">
        <f>GO</f>
        <v>0</v>
      </c>
      <c r="N35" s="215">
        <f>GO</f>
        <v>0</v>
      </c>
      <c r="O35" s="215">
        <f>GO</f>
        <v>0</v>
      </c>
      <c r="P35" s="221"/>
    </row>
    <row r="36" spans="1:16">
      <c r="A36" s="5" t="s">
        <v>588</v>
      </c>
      <c r="B36" s="5"/>
      <c r="C36" s="5"/>
      <c r="D36" s="5"/>
      <c r="E36" s="61" t="s">
        <v>12</v>
      </c>
      <c r="F36" s="5"/>
      <c r="G36" s="5"/>
      <c r="H36" s="5"/>
      <c r="I36" s="5"/>
      <c r="K36" s="215">
        <f>GL</f>
        <v>0</v>
      </c>
      <c r="L36" s="215">
        <f>GL</f>
        <v>0</v>
      </c>
      <c r="M36" s="215">
        <f>GL</f>
        <v>0</v>
      </c>
      <c r="N36" s="215">
        <f>GL</f>
        <v>0</v>
      </c>
      <c r="O36" s="215">
        <f>GL</f>
        <v>0</v>
      </c>
      <c r="P36" s="221"/>
    </row>
    <row r="37" spans="1:16">
      <c r="A37" s="5" t="s">
        <v>444</v>
      </c>
      <c r="B37" s="5"/>
      <c r="C37" s="5"/>
      <c r="D37" s="5"/>
      <c r="E37" s="61" t="s">
        <v>12</v>
      </c>
      <c r="F37" s="5"/>
      <c r="G37" s="5"/>
      <c r="H37" s="5"/>
      <c r="I37" s="5"/>
      <c r="K37" s="215">
        <f>RPZ</f>
        <v>0</v>
      </c>
      <c r="L37" s="215">
        <f>RPZ</f>
        <v>0</v>
      </c>
      <c r="M37" s="215">
        <f>RPZ</f>
        <v>0</v>
      </c>
      <c r="N37" s="215">
        <f>RPZ</f>
        <v>0</v>
      </c>
      <c r="O37" s="215">
        <f>RPZ</f>
        <v>0</v>
      </c>
      <c r="P37" s="221"/>
    </row>
    <row r="38" spans="1:16">
      <c r="A38" s="208" t="s">
        <v>177</v>
      </c>
      <c r="B38" s="5"/>
      <c r="C38" s="5"/>
      <c r="D38" s="5"/>
      <c r="E38" s="61" t="s">
        <v>12</v>
      </c>
      <c r="F38" s="5"/>
      <c r="G38" s="5"/>
      <c r="H38" s="5"/>
      <c r="I38" s="5"/>
      <c r="K38" s="215">
        <f>IEDA</f>
        <v>0</v>
      </c>
      <c r="L38" s="215">
        <f>IEDA</f>
        <v>0</v>
      </c>
      <c r="M38" s="215">
        <f>IEDA</f>
        <v>0</v>
      </c>
      <c r="N38" s="215">
        <f>IEDA</f>
        <v>0</v>
      </c>
      <c r="O38" s="215">
        <f>IEDA</f>
        <v>0</v>
      </c>
      <c r="P38" s="221"/>
    </row>
    <row r="39" spans="1:16" ht="14.25">
      <c r="A39" s="5" t="s">
        <v>514</v>
      </c>
      <c r="B39" s="5"/>
      <c r="C39" s="5"/>
      <c r="D39" s="5"/>
      <c r="E39" s="61" t="s">
        <v>12</v>
      </c>
      <c r="F39" s="5"/>
      <c r="G39" s="5"/>
      <c r="H39" s="5"/>
      <c r="I39" s="5"/>
      <c r="K39" s="197">
        <f>IG</f>
        <v>0</v>
      </c>
      <c r="L39" s="197">
        <f>IG</f>
        <v>0</v>
      </c>
      <c r="M39" s="197">
        <f>IG</f>
        <v>0</v>
      </c>
      <c r="N39" s="197">
        <f>IG</f>
        <v>0</v>
      </c>
      <c r="O39" s="197">
        <f>IG</f>
        <v>0</v>
      </c>
      <c r="P39" s="221"/>
    </row>
    <row r="40" spans="1:16" ht="9" customHeight="1">
      <c r="B40" s="5"/>
      <c r="C40" s="5"/>
      <c r="D40" s="5"/>
      <c r="E40" s="61"/>
      <c r="F40" s="5"/>
      <c r="G40" s="5"/>
      <c r="H40" s="5"/>
      <c r="I40" s="5"/>
      <c r="K40" s="74"/>
      <c r="L40" s="94"/>
      <c r="M40" s="74"/>
      <c r="N40" s="94"/>
      <c r="O40" s="74"/>
      <c r="P40" s="221"/>
    </row>
    <row r="41" spans="1:16" ht="9" customHeight="1">
      <c r="A41" s="5"/>
      <c r="B41" s="5"/>
      <c r="C41" s="5"/>
      <c r="D41" s="5"/>
      <c r="E41" s="61"/>
      <c r="F41" s="5"/>
      <c r="G41" s="5"/>
      <c r="H41" s="5"/>
      <c r="I41" s="5"/>
      <c r="K41" s="74"/>
      <c r="L41" s="94"/>
      <c r="M41" s="74"/>
      <c r="N41" s="94"/>
      <c r="O41" s="74"/>
      <c r="P41" s="221"/>
    </row>
    <row r="42" spans="1:16">
      <c r="A42" s="183" t="s">
        <v>422</v>
      </c>
      <c r="B42" s="5"/>
      <c r="C42" s="5"/>
      <c r="D42" s="5"/>
      <c r="E42" s="61" t="s">
        <v>12</v>
      </c>
      <c r="F42" s="5"/>
      <c r="G42" s="5"/>
      <c r="H42" s="5"/>
      <c r="I42" s="5"/>
      <c r="K42" s="215">
        <f>K</f>
        <v>0</v>
      </c>
      <c r="L42" s="215">
        <f>K</f>
        <v>0</v>
      </c>
      <c r="M42" s="215">
        <f>K</f>
        <v>0</v>
      </c>
      <c r="N42" s="215">
        <f>K</f>
        <v>0</v>
      </c>
      <c r="O42" s="215">
        <f>K</f>
        <v>0</v>
      </c>
      <c r="P42" s="221"/>
    </row>
    <row r="43" spans="1:16" ht="9" customHeight="1">
      <c r="A43" s="183"/>
      <c r="B43" s="5"/>
      <c r="C43" s="5"/>
      <c r="D43" s="5"/>
      <c r="E43" s="61"/>
      <c r="F43" s="5"/>
      <c r="G43" s="5"/>
      <c r="H43" s="5"/>
      <c r="I43" s="5"/>
      <c r="K43" s="74"/>
      <c r="L43" s="74"/>
      <c r="M43" s="74"/>
      <c r="N43" s="74"/>
      <c r="O43" s="74"/>
      <c r="P43" s="221"/>
    </row>
    <row r="44" spans="1:16">
      <c r="A44" s="183" t="s">
        <v>620</v>
      </c>
      <c r="B44" s="5"/>
      <c r="C44" s="5"/>
      <c r="D44" s="5"/>
      <c r="E44" s="61"/>
      <c r="F44" s="5"/>
      <c r="G44" s="5"/>
      <c r="H44" s="5"/>
      <c r="I44" s="5"/>
      <c r="K44" s="74"/>
      <c r="L44" s="74"/>
      <c r="M44" s="74"/>
      <c r="N44" s="74"/>
      <c r="O44" s="74"/>
      <c r="P44" s="221"/>
    </row>
    <row r="45" spans="1:16">
      <c r="A45" s="5" t="s">
        <v>629</v>
      </c>
      <c r="B45" s="5"/>
      <c r="C45" s="5"/>
      <c r="D45" s="5"/>
      <c r="E45" s="61" t="s">
        <v>12</v>
      </c>
      <c r="F45" s="5"/>
      <c r="G45" s="5"/>
      <c r="H45" s="5"/>
      <c r="I45" s="5"/>
      <c r="K45" s="215">
        <f>AUM</f>
        <v>0</v>
      </c>
      <c r="L45" s="215">
        <f>AUM</f>
        <v>0</v>
      </c>
      <c r="M45" s="215">
        <f>AUM</f>
        <v>0</v>
      </c>
      <c r="N45" s="215">
        <f>AUM</f>
        <v>0</v>
      </c>
      <c r="O45" s="215">
        <f>AUM</f>
        <v>0</v>
      </c>
      <c r="P45" s="221"/>
    </row>
    <row r="46" spans="1:16">
      <c r="A46" s="5" t="s">
        <v>630</v>
      </c>
      <c r="B46" s="5"/>
      <c r="C46" s="5"/>
      <c r="D46" s="5"/>
      <c r="E46" s="61" t="s">
        <v>12</v>
      </c>
      <c r="F46" s="5"/>
      <c r="G46" s="5"/>
      <c r="H46" s="5"/>
      <c r="I46" s="5"/>
      <c r="K46" s="215">
        <f>CGSSP</f>
        <v>0</v>
      </c>
      <c r="L46" s="215">
        <f>CGSSP</f>
        <v>0</v>
      </c>
      <c r="M46" s="215">
        <f>CGSSP</f>
        <v>0</v>
      </c>
      <c r="N46" s="215">
        <f>CGSSP</f>
        <v>0</v>
      </c>
      <c r="O46" s="215">
        <f>CGSSP</f>
        <v>0</v>
      </c>
      <c r="P46" s="221"/>
    </row>
    <row r="47" spans="1:16">
      <c r="A47" s="5" t="s">
        <v>631</v>
      </c>
      <c r="B47" s="5"/>
      <c r="C47" s="5"/>
      <c r="D47" s="5"/>
      <c r="E47" s="61" t="s">
        <v>12</v>
      </c>
      <c r="F47" s="5"/>
      <c r="G47" s="5"/>
      <c r="H47" s="5"/>
      <c r="I47" s="5"/>
      <c r="K47" s="215">
        <f>CGSRA</f>
        <v>0</v>
      </c>
      <c r="L47" s="215">
        <f>CGSRA</f>
        <v>0</v>
      </c>
      <c r="M47" s="215">
        <f>CGSRA</f>
        <v>0</v>
      </c>
      <c r="N47" s="215">
        <f>CGSRA</f>
        <v>0</v>
      </c>
      <c r="O47" s="215">
        <f>CGSRA</f>
        <v>0</v>
      </c>
      <c r="P47" s="221"/>
    </row>
    <row r="48" spans="1:16">
      <c r="A48" s="5"/>
      <c r="B48" s="5"/>
      <c r="C48" s="5"/>
      <c r="D48" s="5"/>
      <c r="E48" s="61"/>
      <c r="F48" s="5"/>
      <c r="G48" s="5"/>
      <c r="H48" s="5"/>
      <c r="I48" s="5"/>
      <c r="K48" s="5"/>
      <c r="L48" s="5"/>
      <c r="M48" s="5"/>
      <c r="N48" s="5"/>
      <c r="O48" s="5"/>
      <c r="P48" s="221"/>
    </row>
    <row r="49" spans="1:16">
      <c r="A49" s="102" t="s">
        <v>692</v>
      </c>
      <c r="B49" s="5"/>
      <c r="C49" s="5"/>
      <c r="D49" s="5"/>
      <c r="E49" s="61"/>
      <c r="F49" s="5"/>
      <c r="G49" s="5"/>
      <c r="H49" s="5"/>
      <c r="I49" s="5"/>
      <c r="K49" s="5"/>
      <c r="L49" s="5"/>
      <c r="M49" s="5"/>
      <c r="N49" s="5"/>
      <c r="O49" s="5"/>
      <c r="P49" s="325"/>
    </row>
    <row r="50" spans="1:16" ht="14.25">
      <c r="A50" s="5" t="s">
        <v>694</v>
      </c>
      <c r="B50" s="5"/>
      <c r="C50" s="5"/>
      <c r="D50" s="5"/>
      <c r="E50" s="61" t="s">
        <v>12</v>
      </c>
      <c r="F50" s="5"/>
      <c r="G50" s="5"/>
      <c r="H50" s="5"/>
      <c r="I50" s="5"/>
      <c r="K50" s="5"/>
      <c r="L50" s="215">
        <f>CTRA</f>
        <v>0</v>
      </c>
      <c r="M50" s="215">
        <f>CTRA</f>
        <v>0</v>
      </c>
      <c r="N50" s="215">
        <f>CTRA</f>
        <v>0</v>
      </c>
      <c r="O50" s="215">
        <f>CTRA</f>
        <v>0</v>
      </c>
      <c r="P50" s="325"/>
    </row>
    <row r="51" spans="1:16">
      <c r="A51" s="5"/>
      <c r="B51" s="5"/>
      <c r="C51" s="5"/>
      <c r="D51" s="5"/>
      <c r="E51" s="61"/>
      <c r="F51" s="5"/>
      <c r="G51" s="5"/>
      <c r="H51" s="5"/>
      <c r="I51" s="5"/>
      <c r="K51" s="5"/>
      <c r="L51" s="5"/>
      <c r="M51" s="5"/>
      <c r="N51" s="5"/>
      <c r="O51" s="5"/>
      <c r="P51" s="325"/>
    </row>
    <row r="52" spans="1:16" ht="15">
      <c r="A52" s="24" t="s">
        <v>145</v>
      </c>
      <c r="B52" s="5"/>
      <c r="C52" s="5"/>
      <c r="D52" s="5"/>
      <c r="E52" s="61"/>
      <c r="F52" s="5"/>
      <c r="G52" s="5"/>
      <c r="H52" s="5"/>
      <c r="I52" s="5"/>
      <c r="K52" s="5"/>
      <c r="L52" s="5"/>
      <c r="M52" s="5"/>
      <c r="N52" s="5"/>
      <c r="O52" s="5"/>
      <c r="P52" s="221"/>
    </row>
    <row r="53" spans="1:16" ht="14.25">
      <c r="A53" s="1" t="s">
        <v>633</v>
      </c>
      <c r="B53" s="5"/>
      <c r="C53" s="5"/>
      <c r="D53" s="5"/>
      <c r="E53" s="61" t="s">
        <v>12</v>
      </c>
      <c r="F53" s="5"/>
      <c r="G53" s="5"/>
      <c r="H53" s="5"/>
      <c r="I53" s="5"/>
      <c r="K53" s="197">
        <f>BR+PT+IP+LCN+IG-K-AUM-CGSSP+CGSRA+CTRA</f>
        <v>0</v>
      </c>
      <c r="L53" s="197">
        <f>BR+PT+IP+LCN+IG-K-AUM-CGSSP+CGSRA+CTRA</f>
        <v>0</v>
      </c>
      <c r="M53" s="197">
        <f>BR+PT+IP+LCN+IG-K-AUM-CGSSP+CGSRA+CTRA</f>
        <v>0</v>
      </c>
      <c r="N53" s="197">
        <f>BR+PT+IP+LCN+IG-K-AUM-CGSSP+CGSRA+CTRA</f>
        <v>0</v>
      </c>
      <c r="O53" s="197">
        <f>BR+PT+IP+LCN+IG-K-AUM-CGSSP+CGSRA+CTRA</f>
        <v>0</v>
      </c>
      <c r="P53" s="223"/>
    </row>
    <row r="54" spans="1:16">
      <c r="A54" s="5"/>
      <c r="B54" s="5"/>
      <c r="C54" s="5"/>
      <c r="D54" s="5"/>
      <c r="E54" s="61"/>
      <c r="F54" s="5"/>
      <c r="G54" s="5"/>
      <c r="H54" s="5"/>
      <c r="I54" s="5"/>
      <c r="K54" s="61"/>
      <c r="L54" s="61"/>
      <c r="M54" s="61"/>
      <c r="N54" s="61"/>
      <c r="O54" s="61"/>
      <c r="P54" s="223"/>
    </row>
    <row r="55" spans="1:16">
      <c r="A55" s="5"/>
      <c r="B55" s="5"/>
      <c r="C55" s="5"/>
      <c r="D55" s="5"/>
      <c r="E55" s="61"/>
      <c r="F55" s="5"/>
      <c r="G55" s="5"/>
      <c r="H55" s="5"/>
      <c r="I55" s="5"/>
      <c r="K55" s="5"/>
      <c r="L55" s="5"/>
      <c r="M55" s="5"/>
      <c r="N55" s="5"/>
      <c r="O55" s="5"/>
      <c r="P55" s="5"/>
    </row>
    <row r="56" spans="1:16" ht="15">
      <c r="A56" s="24" t="s">
        <v>445</v>
      </c>
      <c r="B56" s="5"/>
      <c r="C56" s="5"/>
      <c r="D56" s="5"/>
      <c r="E56" s="61"/>
      <c r="F56" s="5"/>
      <c r="G56" s="5"/>
      <c r="H56" s="5"/>
      <c r="I56" s="5"/>
      <c r="K56" s="5"/>
      <c r="L56" s="5"/>
      <c r="M56" s="5"/>
      <c r="N56" s="5"/>
      <c r="O56" s="5"/>
      <c r="P56" s="5"/>
    </row>
    <row r="57" spans="1:16">
      <c r="A57" s="102" t="s">
        <v>446</v>
      </c>
      <c r="B57" s="5"/>
      <c r="C57" s="5"/>
      <c r="D57" s="5"/>
      <c r="E57" s="61" t="s">
        <v>12</v>
      </c>
      <c r="F57" s="5"/>
      <c r="G57" s="5"/>
      <c r="H57" s="5"/>
      <c r="I57" s="5"/>
      <c r="K57" s="215">
        <f>MAP</f>
        <v>0</v>
      </c>
      <c r="L57" s="215">
        <f>MAP</f>
        <v>0</v>
      </c>
      <c r="M57" s="215">
        <f>MAP</f>
        <v>0</v>
      </c>
      <c r="N57" s="215">
        <f>MAP</f>
        <v>0</v>
      </c>
      <c r="O57" s="215">
        <f>MAP</f>
        <v>0</v>
      </c>
      <c r="P57" s="5"/>
    </row>
    <row r="58" spans="1:16">
      <c r="A58" s="102"/>
      <c r="B58" s="5"/>
      <c r="C58" s="5"/>
      <c r="D58" s="5"/>
      <c r="E58" s="61"/>
      <c r="F58" s="5"/>
      <c r="G58" s="5"/>
      <c r="H58" s="5"/>
      <c r="I58" s="5"/>
      <c r="K58" s="5"/>
      <c r="L58" s="5"/>
      <c r="M58" s="5"/>
      <c r="N58" s="5"/>
      <c r="O58" s="5"/>
      <c r="P58" s="5"/>
    </row>
    <row r="59" spans="1:16">
      <c r="A59" s="102" t="s">
        <v>471</v>
      </c>
      <c r="B59" s="5"/>
      <c r="C59" s="5"/>
      <c r="D59" s="5"/>
      <c r="E59" s="61" t="s">
        <v>12</v>
      </c>
      <c r="F59" s="5"/>
      <c r="G59" s="5"/>
      <c r="H59" s="5"/>
      <c r="I59" s="5"/>
      <c r="K59" s="215">
        <f>DS</f>
        <v>0</v>
      </c>
      <c r="L59" s="215">
        <f>DS</f>
        <v>0</v>
      </c>
      <c r="M59" s="215">
        <f>DS</f>
        <v>0</v>
      </c>
      <c r="N59" s="215">
        <f>DS</f>
        <v>0</v>
      </c>
      <c r="O59" s="215">
        <f>DS</f>
        <v>0</v>
      </c>
      <c r="P59" s="5"/>
    </row>
    <row r="60" spans="1:16">
      <c r="A60" s="5"/>
      <c r="B60" s="5"/>
      <c r="C60" s="5"/>
      <c r="D60" s="5"/>
      <c r="E60" s="61"/>
      <c r="F60" s="5"/>
      <c r="G60" s="5"/>
      <c r="H60" s="5"/>
      <c r="I60" s="5"/>
      <c r="K60" s="5"/>
      <c r="L60" s="5"/>
      <c r="M60" s="5"/>
      <c r="N60" s="5"/>
      <c r="O60" s="5"/>
      <c r="P60" s="5"/>
    </row>
    <row r="61" spans="1:16" ht="15">
      <c r="A61" s="24" t="s">
        <v>34</v>
      </c>
      <c r="B61" s="5"/>
      <c r="C61" s="5"/>
      <c r="D61" s="5"/>
      <c r="E61" s="61"/>
      <c r="F61" s="5"/>
      <c r="G61" s="5"/>
      <c r="H61" s="5"/>
      <c r="I61" s="5"/>
      <c r="K61" s="5"/>
      <c r="L61" s="5"/>
      <c r="M61" s="5"/>
      <c r="N61" s="5"/>
      <c r="O61" s="5"/>
      <c r="P61" s="5"/>
    </row>
    <row r="62" spans="1:16">
      <c r="A62" s="5" t="s">
        <v>450</v>
      </c>
      <c r="B62" s="5"/>
      <c r="C62" s="5"/>
      <c r="D62" s="5"/>
      <c r="E62" s="61" t="s">
        <v>12</v>
      </c>
      <c r="F62" s="5"/>
      <c r="G62" s="5"/>
      <c r="H62" s="5"/>
      <c r="I62" s="5"/>
      <c r="K62" s="215">
        <f>ES_1</f>
        <v>0</v>
      </c>
      <c r="L62" s="215">
        <f>ES_1</f>
        <v>0</v>
      </c>
      <c r="M62" s="215">
        <f>ES_1</f>
        <v>0</v>
      </c>
      <c r="N62" s="215">
        <f>ES_1</f>
        <v>0</v>
      </c>
      <c r="O62" s="215">
        <f>ES_1</f>
        <v>0</v>
      </c>
      <c r="P62" s="5"/>
    </row>
    <row r="63" spans="1:16">
      <c r="A63" s="41" t="s">
        <v>451</v>
      </c>
      <c r="B63" s="5"/>
      <c r="C63" s="5"/>
      <c r="D63" s="5"/>
      <c r="E63" s="61" t="s">
        <v>12</v>
      </c>
      <c r="F63" s="5"/>
      <c r="G63" s="5"/>
      <c r="H63" s="5"/>
      <c r="I63" s="5"/>
      <c r="K63" s="215">
        <f>ES_2</f>
        <v>0</v>
      </c>
      <c r="L63" s="215">
        <f>ES_2</f>
        <v>0</v>
      </c>
      <c r="M63" s="215">
        <f>ES_2</f>
        <v>0</v>
      </c>
      <c r="N63" s="215">
        <f>ES_2</f>
        <v>0</v>
      </c>
      <c r="O63" s="215">
        <f>ES_2</f>
        <v>0</v>
      </c>
      <c r="P63" s="5"/>
    </row>
    <row r="64" spans="1:16">
      <c r="A64" s="41" t="s">
        <v>453</v>
      </c>
      <c r="B64" s="5"/>
      <c r="C64" s="5"/>
      <c r="D64" s="5"/>
      <c r="E64" s="61" t="s">
        <v>12</v>
      </c>
      <c r="F64" s="5"/>
      <c r="G64" s="5"/>
      <c r="H64" s="5"/>
      <c r="I64" s="5"/>
      <c r="K64" s="215">
        <f>ES_3</f>
        <v>0</v>
      </c>
      <c r="L64" s="215">
        <f>ES_3</f>
        <v>0</v>
      </c>
      <c r="M64" s="215">
        <f>ES_3</f>
        <v>0</v>
      </c>
      <c r="N64" s="215">
        <f>ES_3</f>
        <v>0</v>
      </c>
      <c r="O64" s="215">
        <f>ES_3</f>
        <v>0</v>
      </c>
      <c r="P64" s="5"/>
    </row>
    <row r="65" spans="1:16">
      <c r="A65" s="41" t="s">
        <v>456</v>
      </c>
      <c r="B65" s="5"/>
      <c r="C65" s="5"/>
      <c r="D65" s="5"/>
      <c r="E65" s="61" t="s">
        <v>12</v>
      </c>
      <c r="F65" s="5"/>
      <c r="G65" s="5"/>
      <c r="H65" s="5"/>
      <c r="I65" s="5"/>
      <c r="K65" s="215">
        <f>-ES_4</f>
        <v>0</v>
      </c>
      <c r="L65" s="215">
        <f>-ES_4</f>
        <v>0</v>
      </c>
      <c r="M65" s="215">
        <f>-ES_4</f>
        <v>0</v>
      </c>
      <c r="N65" s="215">
        <f>-ES_4</f>
        <v>0</v>
      </c>
      <c r="O65" s="215">
        <f>-ES_4</f>
        <v>0</v>
      </c>
      <c r="P65" s="5"/>
    </row>
    <row r="66" spans="1:16">
      <c r="A66" s="41" t="s">
        <v>460</v>
      </c>
      <c r="B66" s="5"/>
      <c r="C66" s="5"/>
      <c r="D66" s="5"/>
      <c r="E66" s="61" t="s">
        <v>12</v>
      </c>
      <c r="F66" s="5"/>
      <c r="G66" s="5"/>
      <c r="H66" s="5"/>
      <c r="I66" s="5"/>
      <c r="K66" s="215">
        <f>ES_5</f>
        <v>0</v>
      </c>
      <c r="L66" s="215">
        <f>ES_5</f>
        <v>0</v>
      </c>
      <c r="M66" s="215">
        <f>ES_5</f>
        <v>0</v>
      </c>
      <c r="N66" s="215">
        <f>ES_5</f>
        <v>0</v>
      </c>
      <c r="O66" s="215">
        <f>ES_5</f>
        <v>0</v>
      </c>
      <c r="P66" s="5"/>
    </row>
    <row r="67" spans="1:16">
      <c r="A67" s="41" t="s">
        <v>464</v>
      </c>
      <c r="B67" s="5"/>
      <c r="C67" s="5"/>
      <c r="D67" s="5"/>
      <c r="E67" s="61" t="s">
        <v>12</v>
      </c>
      <c r="F67" s="5"/>
      <c r="G67" s="5"/>
      <c r="H67" s="5"/>
      <c r="I67" s="5"/>
      <c r="K67" s="215">
        <f>ES_6</f>
        <v>0</v>
      </c>
      <c r="L67" s="215">
        <f>ES_6</f>
        <v>0</v>
      </c>
      <c r="M67" s="215">
        <f>ES_6</f>
        <v>0</v>
      </c>
      <c r="N67" s="215">
        <f>ES_6</f>
        <v>0</v>
      </c>
      <c r="O67" s="215">
        <f>ES_6</f>
        <v>0</v>
      </c>
      <c r="P67" s="5"/>
    </row>
    <row r="68" spans="1:16">
      <c r="A68" s="41" t="s">
        <v>461</v>
      </c>
      <c r="B68" s="5"/>
      <c r="C68" s="5"/>
      <c r="D68" s="5"/>
      <c r="E68" s="61" t="s">
        <v>12</v>
      </c>
      <c r="F68" s="5"/>
      <c r="G68" s="5"/>
      <c r="H68" s="5"/>
      <c r="I68" s="5"/>
      <c r="K68" s="215">
        <f>ES_7</f>
        <v>0</v>
      </c>
      <c r="L68" s="215">
        <f>ES_7</f>
        <v>0</v>
      </c>
      <c r="M68" s="215">
        <f>ES_7</f>
        <v>0</v>
      </c>
      <c r="N68" s="215">
        <f>ES_7</f>
        <v>0</v>
      </c>
      <c r="O68" s="215">
        <f>ES_7</f>
        <v>0</v>
      </c>
      <c r="P68" s="5"/>
    </row>
    <row r="69" spans="1:16">
      <c r="A69" s="5" t="s">
        <v>462</v>
      </c>
      <c r="B69" s="5"/>
      <c r="C69" s="5"/>
      <c r="D69" s="5"/>
      <c r="E69" s="61" t="s">
        <v>12</v>
      </c>
      <c r="F69" s="5"/>
      <c r="G69" s="5"/>
      <c r="H69" s="5"/>
      <c r="I69" s="5"/>
      <c r="K69" s="197">
        <f>ES_Total</f>
        <v>0</v>
      </c>
      <c r="L69" s="197">
        <f>ES_Total</f>
        <v>0</v>
      </c>
      <c r="M69" s="197">
        <f>ES_Total</f>
        <v>0</v>
      </c>
      <c r="N69" s="197">
        <f>ES_Total</f>
        <v>0</v>
      </c>
      <c r="O69" s="197">
        <f>ES_Total</f>
        <v>0</v>
      </c>
      <c r="P69" s="5"/>
    </row>
    <row r="70" spans="1:16">
      <c r="A70" s="5"/>
      <c r="B70" s="5"/>
      <c r="C70" s="5"/>
      <c r="D70" s="5"/>
      <c r="E70" s="61"/>
      <c r="F70" s="5"/>
      <c r="G70" s="5"/>
      <c r="H70" s="5"/>
      <c r="I70" s="5"/>
      <c r="K70" s="5"/>
      <c r="L70" s="5"/>
      <c r="M70" s="5"/>
      <c r="N70" s="5"/>
      <c r="O70" s="5"/>
      <c r="P70" s="5"/>
    </row>
    <row r="71" spans="1:16">
      <c r="A71" s="5"/>
      <c r="B71" s="5"/>
      <c r="C71" s="5"/>
      <c r="D71" s="5"/>
      <c r="E71" s="61"/>
      <c r="F71" s="5"/>
      <c r="G71" s="5"/>
      <c r="H71" s="5"/>
      <c r="I71" s="5"/>
      <c r="K71" s="5"/>
      <c r="L71" s="5"/>
      <c r="M71" s="5"/>
      <c r="N71" s="5"/>
      <c r="O71" s="5"/>
      <c r="P71" s="5"/>
    </row>
    <row r="72" spans="1:16" ht="15">
      <c r="A72" s="24" t="s">
        <v>49</v>
      </c>
      <c r="B72" s="5"/>
      <c r="C72" s="5"/>
      <c r="D72" s="5"/>
      <c r="E72" s="61"/>
      <c r="F72" s="5"/>
      <c r="G72" s="5"/>
      <c r="H72" s="5"/>
      <c r="I72" s="5"/>
      <c r="K72" s="5"/>
      <c r="L72" s="5"/>
      <c r="M72" s="5"/>
      <c r="N72" s="5"/>
      <c r="O72" s="5"/>
      <c r="P72" s="5"/>
    </row>
    <row r="73" spans="1:16">
      <c r="A73" s="268" t="s">
        <v>673</v>
      </c>
      <c r="B73" s="5"/>
      <c r="C73" s="5"/>
      <c r="D73" s="5"/>
      <c r="E73" s="61" t="s">
        <v>12</v>
      </c>
      <c r="F73" s="5"/>
      <c r="G73" s="5"/>
      <c r="H73" s="5"/>
      <c r="I73" s="5"/>
      <c r="K73" s="215">
        <f>Out_Area_UoS</f>
        <v>0</v>
      </c>
      <c r="L73" s="215">
        <f>Out_Area_UoS</f>
        <v>0</v>
      </c>
      <c r="M73" s="215">
        <f>Out_Area_UoS</f>
        <v>0</v>
      </c>
      <c r="N73" s="215">
        <f>Out_Area_UoS</f>
        <v>0</v>
      </c>
      <c r="O73" s="215">
        <f>Out_Area_UoS</f>
        <v>0</v>
      </c>
      <c r="P73" s="5"/>
    </row>
    <row r="74" spans="1:16">
      <c r="A74" s="268" t="s">
        <v>660</v>
      </c>
      <c r="B74" s="5"/>
      <c r="C74" s="5"/>
      <c r="D74" s="5"/>
      <c r="E74" s="61" t="s">
        <v>12</v>
      </c>
      <c r="F74" s="5"/>
      <c r="G74" s="5"/>
      <c r="H74" s="5"/>
      <c r="I74" s="5"/>
      <c r="K74" s="215">
        <f>Out_Area_other</f>
        <v>0</v>
      </c>
      <c r="L74" s="215">
        <f>Out_Area_other</f>
        <v>0</v>
      </c>
      <c r="M74" s="215">
        <f>Out_Area_other</f>
        <v>0</v>
      </c>
      <c r="N74" s="215">
        <f>Out_Area_other</f>
        <v>0</v>
      </c>
      <c r="O74" s="215">
        <f>Out_Area_other</f>
        <v>0</v>
      </c>
      <c r="P74" s="5"/>
    </row>
    <row r="75" spans="1:16">
      <c r="A75" s="5" t="s">
        <v>447</v>
      </c>
      <c r="B75" s="5"/>
      <c r="C75" s="5"/>
      <c r="D75" s="5"/>
      <c r="E75" s="61" t="s">
        <v>12</v>
      </c>
      <c r="F75" s="5"/>
      <c r="G75" s="5"/>
      <c r="H75" s="5"/>
      <c r="I75" s="5"/>
      <c r="K75" s="215">
        <f>De_minimis</f>
        <v>0</v>
      </c>
      <c r="L75" s="215">
        <f>De_minimis</f>
        <v>0</v>
      </c>
      <c r="M75" s="215">
        <f>De_minimis</f>
        <v>0</v>
      </c>
      <c r="N75" s="215">
        <f>De_minimis</f>
        <v>0</v>
      </c>
      <c r="O75" s="215">
        <f>De_minimis</f>
        <v>0</v>
      </c>
      <c r="P75" s="5"/>
    </row>
    <row r="76" spans="1:16" ht="5.0999999999999996" customHeight="1">
      <c r="B76" s="5"/>
      <c r="C76" s="5"/>
      <c r="D76" s="5"/>
      <c r="E76" s="61"/>
      <c r="F76" s="5"/>
      <c r="G76" s="5"/>
      <c r="H76" s="5"/>
      <c r="I76" s="5"/>
      <c r="K76" s="5"/>
      <c r="L76" s="5"/>
      <c r="M76" s="5"/>
      <c r="N76" s="5"/>
      <c r="O76" s="5"/>
      <c r="P76" s="5"/>
    </row>
    <row r="77" spans="1:16" s="5" customFormat="1" hidden="1">
      <c r="E77" s="61"/>
    </row>
    <row r="78" spans="1:16" s="5" customFormat="1" hidden="1">
      <c r="E78" s="61"/>
    </row>
    <row r="79" spans="1:16" s="5" customFormat="1" hidden="1">
      <c r="E79" s="61"/>
    </row>
    <row r="80" spans="1:16" s="5" customFormat="1" hidden="1">
      <c r="E80" s="61"/>
    </row>
    <row r="81" spans="5:5" s="5" customFormat="1" hidden="1">
      <c r="E81" s="61"/>
    </row>
    <row r="82" spans="5:5" s="5" customFormat="1" hidden="1">
      <c r="E82" s="61"/>
    </row>
    <row r="83" spans="5:5" s="5" customFormat="1" hidden="1">
      <c r="E83" s="61"/>
    </row>
    <row r="84" spans="5:5" s="5" customFormat="1" hidden="1">
      <c r="E84" s="61"/>
    </row>
    <row r="85" spans="5:5" s="5" customFormat="1" hidden="1">
      <c r="E85" s="61"/>
    </row>
    <row r="86" spans="5:5" s="5" customFormat="1" hidden="1">
      <c r="E86" s="61"/>
    </row>
    <row r="87" spans="5:5" s="5" customFormat="1" hidden="1">
      <c r="E87" s="61"/>
    </row>
    <row r="88" spans="5:5" s="5" customFormat="1" hidden="1">
      <c r="E88" s="61"/>
    </row>
    <row r="89" spans="5:5" s="5" customFormat="1" hidden="1">
      <c r="E89" s="61"/>
    </row>
    <row r="90" spans="5:5" s="5" customFormat="1" hidden="1">
      <c r="E90" s="61"/>
    </row>
    <row r="91" spans="5:5" s="5" customFormat="1" hidden="1">
      <c r="E91" s="61"/>
    </row>
    <row r="92" spans="5:5" s="5" customFormat="1" hidden="1">
      <c r="E92" s="61"/>
    </row>
    <row r="93" spans="5:5" s="5" customFormat="1" ht="12.75" hidden="1" customHeight="1">
      <c r="E93" s="61"/>
    </row>
    <row r="94" spans="5:5" s="5" customFormat="1" ht="12.75" hidden="1" customHeight="1">
      <c r="E94" s="61"/>
    </row>
    <row r="95" spans="5:5" s="5" customFormat="1" ht="12.75" hidden="1" customHeight="1">
      <c r="E95" s="61"/>
    </row>
    <row r="96" spans="5:5" s="5" customFormat="1" ht="12.75" hidden="1" customHeight="1">
      <c r="E96" s="61"/>
    </row>
    <row r="97" spans="5:5" s="5" customFormat="1" ht="12.75" hidden="1" customHeight="1">
      <c r="E97" s="61"/>
    </row>
    <row r="98" spans="5:5" s="5" customFormat="1" ht="12.75" hidden="1" customHeight="1">
      <c r="E98" s="61"/>
    </row>
    <row r="99" spans="5:5" s="5" customFormat="1" ht="12.75" hidden="1" customHeight="1">
      <c r="E99" s="61"/>
    </row>
    <row r="100" spans="5:5" s="5" customFormat="1" ht="12.75" hidden="1" customHeight="1">
      <c r="E100" s="61"/>
    </row>
    <row r="101" spans="5:5" s="5" customFormat="1" ht="12.75" hidden="1" customHeight="1">
      <c r="E101" s="61"/>
    </row>
    <row r="102" spans="5:5" s="5" customFormat="1" ht="12.75" hidden="1" customHeight="1">
      <c r="E102" s="61"/>
    </row>
    <row r="103" spans="5:5" s="5" customFormat="1" ht="12.75" hidden="1" customHeight="1">
      <c r="E103" s="61"/>
    </row>
    <row r="104" spans="5:5" s="5" customFormat="1" ht="12.75" hidden="1" customHeight="1">
      <c r="E104" s="61"/>
    </row>
    <row r="105" spans="5:5" s="5" customFormat="1" ht="12.75" hidden="1" customHeight="1">
      <c r="E105" s="61"/>
    </row>
    <row r="106" spans="5:5" s="5" customFormat="1" ht="12.75" hidden="1" customHeight="1">
      <c r="E106" s="61"/>
    </row>
    <row r="107" spans="5:5" s="5" customFormat="1" ht="12.75" hidden="1" customHeight="1">
      <c r="E107" s="61"/>
    </row>
    <row r="108" spans="5:5" s="5" customFormat="1" ht="12.75" hidden="1" customHeight="1">
      <c r="E108" s="61"/>
    </row>
    <row r="109" spans="5:5" s="5" customFormat="1" ht="12.75" hidden="1" customHeight="1">
      <c r="E109" s="61"/>
    </row>
    <row r="110" spans="5:5" s="5" customFormat="1" ht="12.75" hidden="1" customHeight="1">
      <c r="E110" s="61"/>
    </row>
    <row r="111" spans="5:5" s="5" customFormat="1" ht="12.75" hidden="1" customHeight="1">
      <c r="E111" s="61"/>
    </row>
    <row r="112" spans="5:5" s="5" customFormat="1" ht="12.75" hidden="1" customHeight="1">
      <c r="E112" s="61"/>
    </row>
    <row r="113" spans="5:5" s="5" customFormat="1" ht="12.75" hidden="1" customHeight="1">
      <c r="E113" s="61"/>
    </row>
    <row r="114" spans="5:5" s="5" customFormat="1" ht="12.75" hidden="1" customHeight="1">
      <c r="E114" s="61"/>
    </row>
    <row r="115" spans="5:5" s="5" customFormat="1" ht="12.75" hidden="1" customHeight="1">
      <c r="E115" s="61"/>
    </row>
    <row r="116" spans="5:5" s="5" customFormat="1" ht="12.75" hidden="1" customHeight="1">
      <c r="E116" s="61"/>
    </row>
    <row r="117" spans="5:5" s="5" customFormat="1" ht="12.75" hidden="1" customHeight="1">
      <c r="E117" s="61"/>
    </row>
    <row r="118" spans="5:5" s="5" customFormat="1" ht="12.75" hidden="1" customHeight="1">
      <c r="E118" s="61"/>
    </row>
    <row r="119" spans="5:5" s="5" customFormat="1" ht="12.75" hidden="1" customHeight="1">
      <c r="E119" s="61"/>
    </row>
    <row r="120" spans="5:5" s="5" customFormat="1" ht="12.75" hidden="1" customHeight="1">
      <c r="E120" s="61"/>
    </row>
    <row r="121" spans="5:5" s="5" customFormat="1" ht="12.75" hidden="1" customHeight="1">
      <c r="E121" s="61"/>
    </row>
    <row r="122" spans="5:5" s="5" customFormat="1" ht="12.75" hidden="1" customHeight="1">
      <c r="E122" s="61"/>
    </row>
    <row r="123" spans="5:5" s="5" customFormat="1" ht="12.75" hidden="1" customHeight="1">
      <c r="E123" s="61"/>
    </row>
    <row r="124" spans="5:5" s="5" customFormat="1" ht="12.75" hidden="1" customHeight="1">
      <c r="E124" s="61"/>
    </row>
    <row r="125" spans="5:5" s="5" customFormat="1" ht="12.75" hidden="1" customHeight="1">
      <c r="E125" s="61"/>
    </row>
    <row r="126" spans="5:5" s="5" customFormat="1" ht="12.75" hidden="1" customHeight="1">
      <c r="E126" s="61"/>
    </row>
    <row r="127" spans="5:5" s="5" customFormat="1" ht="12.75" hidden="1" customHeight="1">
      <c r="E127" s="61"/>
    </row>
    <row r="128" spans="5:5" s="5" customFormat="1" ht="12.75" hidden="1" customHeight="1">
      <c r="E128" s="61"/>
    </row>
    <row r="129" spans="5:5" s="5" customFormat="1" ht="12.75" hidden="1" customHeight="1">
      <c r="E129" s="61"/>
    </row>
    <row r="130" spans="5:5" s="5" customFormat="1" ht="12.75" hidden="1" customHeight="1">
      <c r="E130" s="61"/>
    </row>
    <row r="131" spans="5:5" s="5" customFormat="1" ht="12.75" hidden="1" customHeight="1">
      <c r="E131" s="61"/>
    </row>
    <row r="132" spans="5:5" s="5" customFormat="1" ht="12.75" hidden="1" customHeight="1">
      <c r="E132" s="61"/>
    </row>
    <row r="133" spans="5:5" s="5" customFormat="1" ht="12.75" hidden="1" customHeight="1">
      <c r="E133" s="61"/>
    </row>
    <row r="134" spans="5:5" s="5" customFormat="1" ht="12.75" hidden="1" customHeight="1">
      <c r="E134" s="61"/>
    </row>
    <row r="135" spans="5:5" s="5" customFormat="1" ht="12.75" hidden="1" customHeight="1">
      <c r="E135" s="61"/>
    </row>
    <row r="136" spans="5:5" s="5" customFormat="1" ht="12.75" hidden="1" customHeight="1">
      <c r="E136" s="61"/>
    </row>
    <row r="137" spans="5:5" s="5" customFormat="1" ht="12.75" hidden="1" customHeight="1">
      <c r="E137" s="61"/>
    </row>
    <row r="138" spans="5:5" s="5" customFormat="1" ht="12.75" hidden="1" customHeight="1">
      <c r="E138" s="61"/>
    </row>
    <row r="139" spans="5:5" s="5" customFormat="1" ht="12.75" hidden="1" customHeight="1">
      <c r="E139" s="61"/>
    </row>
    <row r="140" spans="5:5" s="5" customFormat="1" ht="12.75" hidden="1" customHeight="1">
      <c r="E140" s="61"/>
    </row>
    <row r="141" spans="5:5" s="5" customFormat="1" ht="12.75" hidden="1" customHeight="1">
      <c r="E141" s="61"/>
    </row>
    <row r="142" spans="5:5" s="5" customFormat="1" ht="12.75" hidden="1" customHeight="1">
      <c r="E142" s="61"/>
    </row>
    <row r="143" spans="5:5" s="5" customFormat="1" ht="12.75" hidden="1" customHeight="1">
      <c r="E143" s="61"/>
    </row>
    <row r="144" spans="5:5" s="5" customFormat="1" ht="12.75" hidden="1" customHeight="1">
      <c r="E144" s="61"/>
    </row>
    <row r="145" spans="5:5" s="5" customFormat="1" ht="12.75" hidden="1" customHeight="1">
      <c r="E145" s="61"/>
    </row>
    <row r="146" spans="5:5" s="5" customFormat="1" ht="12.75" hidden="1" customHeight="1">
      <c r="E146" s="61"/>
    </row>
    <row r="147" spans="5:5" s="5" customFormat="1" ht="12.75" hidden="1" customHeight="1">
      <c r="E147" s="61"/>
    </row>
    <row r="148" spans="5:5" s="5" customFormat="1" ht="12.75" hidden="1" customHeight="1">
      <c r="E148" s="61"/>
    </row>
    <row r="149" spans="5:5" s="5" customFormat="1" ht="12.75" hidden="1" customHeight="1">
      <c r="E149" s="61"/>
    </row>
    <row r="150" spans="5:5" s="5" customFormat="1" ht="12.75" hidden="1" customHeight="1">
      <c r="E150" s="61"/>
    </row>
    <row r="151" spans="5:5" s="5" customFormat="1" ht="12.75" hidden="1" customHeight="1">
      <c r="E151" s="61"/>
    </row>
    <row r="152" spans="5:5" s="5" customFormat="1" ht="12.75" hidden="1" customHeight="1">
      <c r="E152" s="61"/>
    </row>
    <row r="153" spans="5:5" s="5" customFormat="1" ht="12.75" hidden="1" customHeight="1">
      <c r="E153" s="61"/>
    </row>
    <row r="154" spans="5:5" s="5" customFormat="1" ht="12.75" hidden="1" customHeight="1">
      <c r="E154" s="61"/>
    </row>
    <row r="155" spans="5:5" s="5" customFormat="1" ht="12.75" hidden="1" customHeight="1">
      <c r="E155" s="61"/>
    </row>
    <row r="156" spans="5:5" s="5" customFormat="1" ht="12.75" hidden="1" customHeight="1">
      <c r="E156" s="61"/>
    </row>
    <row r="157" spans="5:5" s="5" customFormat="1" ht="12.75" hidden="1" customHeight="1">
      <c r="E157" s="61"/>
    </row>
    <row r="158" spans="5:5" s="5" customFormat="1" ht="12.75" hidden="1" customHeight="1">
      <c r="E158" s="61"/>
    </row>
    <row r="159" spans="5:5" s="5" customFormat="1" ht="12.75" hidden="1" customHeight="1">
      <c r="E159" s="61"/>
    </row>
    <row r="160" spans="5:5" s="5" customFormat="1" ht="12.75" hidden="1" customHeight="1">
      <c r="E160" s="61"/>
    </row>
    <row r="161" spans="5:5" s="5" customFormat="1" ht="12.75" hidden="1" customHeight="1">
      <c r="E161" s="61"/>
    </row>
    <row r="162" spans="5:5" s="5" customFormat="1" ht="12.75" hidden="1" customHeight="1">
      <c r="E162" s="61"/>
    </row>
    <row r="163" spans="5:5" s="5" customFormat="1" ht="12.75" hidden="1" customHeight="1">
      <c r="E163" s="61"/>
    </row>
    <row r="164" spans="5:5" s="5" customFormat="1" ht="12.75" hidden="1" customHeight="1">
      <c r="E164" s="61"/>
    </row>
    <row r="165" spans="5:5" s="5" customFormat="1" ht="12.75" hidden="1" customHeight="1">
      <c r="E165" s="61"/>
    </row>
    <row r="166" spans="5:5" s="5" customFormat="1" ht="12.75" hidden="1" customHeight="1">
      <c r="E166" s="61"/>
    </row>
    <row r="167" spans="5:5" s="5" customFormat="1" ht="12.75" hidden="1" customHeight="1">
      <c r="E167" s="61"/>
    </row>
    <row r="168" spans="5:5" s="5" customFormat="1" ht="12.75" hidden="1" customHeight="1">
      <c r="E168" s="61"/>
    </row>
    <row r="169" spans="5:5" s="5" customFormat="1" ht="12.75" hidden="1" customHeight="1">
      <c r="E169" s="61"/>
    </row>
    <row r="170" spans="5:5" s="5" customFormat="1" ht="12.75" hidden="1" customHeight="1">
      <c r="E170" s="61"/>
    </row>
    <row r="171" spans="5:5" s="5" customFormat="1" ht="12.75" hidden="1" customHeight="1">
      <c r="E171" s="61"/>
    </row>
    <row r="172" spans="5:5" s="5" customFormat="1" ht="12.75" hidden="1" customHeight="1">
      <c r="E172" s="61"/>
    </row>
    <row r="173" spans="5:5" s="5" customFormat="1" ht="12.75" hidden="1" customHeight="1">
      <c r="E173" s="61"/>
    </row>
    <row r="174" spans="5:5" s="5" customFormat="1" ht="12.75" hidden="1" customHeight="1">
      <c r="E174" s="61"/>
    </row>
    <row r="175" spans="5:5" s="5" customFormat="1" ht="12.75" hidden="1" customHeight="1">
      <c r="E175" s="61"/>
    </row>
    <row r="176" spans="5:5" s="5" customFormat="1" ht="12.75" hidden="1" customHeight="1">
      <c r="E176" s="61"/>
    </row>
    <row r="177" spans="5:5" s="5" customFormat="1" ht="12.75" hidden="1" customHeight="1">
      <c r="E177" s="61"/>
    </row>
    <row r="178" spans="5:5" s="5" customFormat="1" ht="12.75" hidden="1" customHeight="1">
      <c r="E178" s="61"/>
    </row>
    <row r="179" spans="5:5" s="5" customFormat="1" ht="12.75" hidden="1" customHeight="1">
      <c r="E179" s="61"/>
    </row>
    <row r="180" spans="5:5" s="5" customFormat="1" ht="12.75" hidden="1" customHeight="1">
      <c r="E180" s="61"/>
    </row>
    <row r="181" spans="5:5" s="5" customFormat="1" ht="12.75" hidden="1" customHeight="1">
      <c r="E181" s="61"/>
    </row>
    <row r="182" spans="5:5" s="5" customFormat="1" ht="12.75" hidden="1" customHeight="1">
      <c r="E182" s="61"/>
    </row>
    <row r="183" spans="5:5" s="5" customFormat="1" ht="12.75" hidden="1" customHeight="1">
      <c r="E183" s="61"/>
    </row>
    <row r="184" spans="5:5" s="5" customFormat="1" ht="12.75" hidden="1" customHeight="1">
      <c r="E184" s="61"/>
    </row>
    <row r="185" spans="5:5" s="5" customFormat="1" ht="12.75" hidden="1" customHeight="1">
      <c r="E185" s="61"/>
    </row>
    <row r="186" spans="5:5" s="5" customFormat="1" ht="12.75" hidden="1" customHeight="1">
      <c r="E186" s="61"/>
    </row>
    <row r="187" spans="5:5" s="5" customFormat="1" ht="12.75" hidden="1" customHeight="1">
      <c r="E187" s="61"/>
    </row>
    <row r="188" spans="5:5" s="5" customFormat="1" ht="12.75" hidden="1" customHeight="1">
      <c r="E188" s="61"/>
    </row>
    <row r="189" spans="5:5" s="5" customFormat="1" ht="12.75" hidden="1" customHeight="1">
      <c r="E189" s="61"/>
    </row>
    <row r="190" spans="5:5" s="5" customFormat="1" ht="12.75" hidden="1" customHeight="1">
      <c r="E190" s="61"/>
    </row>
    <row r="191" spans="5:5" s="5" customFormat="1" ht="12.75" hidden="1" customHeight="1">
      <c r="E191" s="61"/>
    </row>
    <row r="192" spans="5:5" s="5" customFormat="1" ht="12.75" hidden="1" customHeight="1">
      <c r="E192" s="61"/>
    </row>
    <row r="193" spans="5:5" s="5" customFormat="1" ht="12.75" hidden="1" customHeight="1">
      <c r="E193" s="61"/>
    </row>
    <row r="194" spans="5:5" s="5" customFormat="1" ht="12.75" hidden="1" customHeight="1">
      <c r="E194" s="61"/>
    </row>
    <row r="195" spans="5:5" s="5" customFormat="1" ht="12.75" hidden="1" customHeight="1">
      <c r="E195" s="61"/>
    </row>
    <row r="196" spans="5:5" s="5" customFormat="1" ht="12.75" hidden="1" customHeight="1">
      <c r="E196" s="61"/>
    </row>
    <row r="197" spans="5:5" s="5" customFormat="1" ht="12.75" hidden="1" customHeight="1">
      <c r="E197" s="61"/>
    </row>
    <row r="198" spans="5:5" s="5" customFormat="1" ht="12.75" hidden="1" customHeight="1">
      <c r="E198" s="61"/>
    </row>
    <row r="199" spans="5:5" s="5" customFormat="1" ht="12.75" hidden="1" customHeight="1">
      <c r="E199" s="61"/>
    </row>
    <row r="200" spans="5:5" s="5" customFormat="1" ht="12.75" hidden="1" customHeight="1">
      <c r="E200" s="61"/>
    </row>
    <row r="201" spans="5:5" s="5" customFormat="1" ht="12.75" hidden="1" customHeight="1">
      <c r="E201" s="61"/>
    </row>
    <row r="202" spans="5:5" s="5" customFormat="1" ht="12.75" hidden="1" customHeight="1">
      <c r="E202" s="61"/>
    </row>
    <row r="203" spans="5:5" s="5" customFormat="1" ht="12.75" hidden="1" customHeight="1">
      <c r="E203" s="61"/>
    </row>
    <row r="204" spans="5:5" s="5" customFormat="1" ht="12.75" hidden="1" customHeight="1">
      <c r="E204" s="61"/>
    </row>
    <row r="205" spans="5:5" s="5" customFormat="1" ht="12.75" hidden="1" customHeight="1">
      <c r="E205" s="61"/>
    </row>
    <row r="206" spans="5:5" s="5" customFormat="1" ht="12.75" hidden="1" customHeight="1">
      <c r="E206" s="61"/>
    </row>
    <row r="207" spans="5:5" s="5" customFormat="1" ht="12.75" hidden="1" customHeight="1">
      <c r="E207" s="61"/>
    </row>
    <row r="208" spans="5:5" s="5" customFormat="1" ht="12.75" hidden="1" customHeight="1">
      <c r="E208" s="61"/>
    </row>
    <row r="209" spans="5:5" s="5" customFormat="1" ht="12.75" hidden="1" customHeight="1">
      <c r="E209" s="61"/>
    </row>
    <row r="210" spans="5:5" s="5" customFormat="1" ht="12.75" hidden="1" customHeight="1">
      <c r="E210" s="61"/>
    </row>
    <row r="211" spans="5:5" s="5" customFormat="1" ht="12.75" hidden="1" customHeight="1">
      <c r="E211" s="61"/>
    </row>
    <row r="212" spans="5:5" s="5" customFormat="1" ht="12.75" hidden="1" customHeight="1">
      <c r="E212" s="61"/>
    </row>
    <row r="213" spans="5:5" s="5" customFormat="1" ht="12.75" hidden="1" customHeight="1">
      <c r="E213" s="61"/>
    </row>
    <row r="214" spans="5:5" s="5" customFormat="1" ht="12.75" hidden="1" customHeight="1">
      <c r="E214" s="61"/>
    </row>
    <row r="215" spans="5:5" s="5" customFormat="1" ht="12.75" hidden="1" customHeight="1">
      <c r="E215" s="61"/>
    </row>
    <row r="216" spans="5:5" s="5" customFormat="1" ht="12.75" hidden="1" customHeight="1">
      <c r="E216" s="61"/>
    </row>
    <row r="217" spans="5:5" s="5" customFormat="1" ht="12.75" hidden="1" customHeight="1">
      <c r="E217" s="61"/>
    </row>
    <row r="218" spans="5:5" s="5" customFormat="1" ht="12.75" hidden="1" customHeight="1">
      <c r="E218" s="61"/>
    </row>
    <row r="219" spans="5:5" s="5" customFormat="1" ht="12.75" hidden="1" customHeight="1">
      <c r="E219" s="61"/>
    </row>
    <row r="220" spans="5:5" s="5" customFormat="1" ht="12.75" hidden="1" customHeight="1">
      <c r="E220" s="61"/>
    </row>
    <row r="221" spans="5:5" s="5" customFormat="1" ht="12.75" hidden="1" customHeight="1">
      <c r="E221" s="61"/>
    </row>
    <row r="222" spans="5:5" s="5" customFormat="1" ht="12.75" hidden="1" customHeight="1">
      <c r="E222" s="61"/>
    </row>
    <row r="223" spans="5:5" s="5" customFormat="1" ht="12.75" hidden="1" customHeight="1">
      <c r="E223" s="61"/>
    </row>
    <row r="224" spans="5:5" s="5" customFormat="1" ht="12.75" hidden="1" customHeight="1">
      <c r="E224" s="61"/>
    </row>
    <row r="225" spans="5:5" s="5" customFormat="1" ht="12.75" hidden="1" customHeight="1">
      <c r="E225" s="61"/>
    </row>
    <row r="226" spans="5:5" s="5" customFormat="1" ht="12.75" hidden="1" customHeight="1">
      <c r="E226" s="61"/>
    </row>
    <row r="227" spans="5:5" s="5" customFormat="1" ht="12.75" hidden="1" customHeight="1">
      <c r="E227" s="61"/>
    </row>
    <row r="228" spans="5:5" s="5" customFormat="1" ht="12.75" hidden="1" customHeight="1">
      <c r="E228" s="61"/>
    </row>
    <row r="229" spans="5:5" s="5" customFormat="1" ht="12.75" hidden="1" customHeight="1">
      <c r="E229" s="61"/>
    </row>
    <row r="230" spans="5:5" s="5" customFormat="1" ht="12.75" hidden="1" customHeight="1">
      <c r="E230" s="61"/>
    </row>
    <row r="231" spans="5:5" s="5" customFormat="1" ht="12.75" hidden="1" customHeight="1">
      <c r="E231" s="61"/>
    </row>
    <row r="232" spans="5:5" s="5" customFormat="1" ht="12.75" hidden="1" customHeight="1">
      <c r="E232" s="61"/>
    </row>
    <row r="233" spans="5:5" s="5" customFormat="1" ht="12.75" hidden="1" customHeight="1">
      <c r="E233" s="61"/>
    </row>
    <row r="234" spans="5:5" s="5" customFormat="1" ht="12.75" hidden="1" customHeight="1">
      <c r="E234" s="61"/>
    </row>
    <row r="235" spans="5:5" s="5" customFormat="1" ht="12.75" hidden="1" customHeight="1">
      <c r="E235" s="61"/>
    </row>
    <row r="236" spans="5:5" s="5" customFormat="1" ht="12.75" hidden="1" customHeight="1">
      <c r="E236" s="61"/>
    </row>
    <row r="237" spans="5:5" s="5" customFormat="1" ht="12.75" hidden="1" customHeight="1">
      <c r="E237" s="61"/>
    </row>
    <row r="238" spans="5:5" s="5" customFormat="1" ht="12.75" hidden="1" customHeight="1">
      <c r="E238" s="61"/>
    </row>
    <row r="239" spans="5:5" s="5" customFormat="1" ht="12.75" hidden="1" customHeight="1">
      <c r="E239" s="61"/>
    </row>
  </sheetData>
  <sheetProtection password="E1CD" sheet="1" objects="1" scenarios="1" formatCells="0" formatColumns="0" formatRows="0" insertHyperlinks="0" autoFilter="0" pivotTables="0"/>
  <mergeCells count="1">
    <mergeCell ref="K3:M3"/>
  </mergeCells>
  <pageMargins left="0.31496062992125984" right="0.31496062992125984" top="0.39370078740157483" bottom="0.59055118110236227" header="0.11811023622047245" footer="0.11811023622047245"/>
  <pageSetup paperSize="9" fitToHeight="0" orientation="landscape" r:id="rId1"/>
  <headerFooter>
    <oddHeader>&amp;C&amp;A</oddHeader>
    <oddFooter>&amp;L&amp;D &amp;T&amp;C&amp;Z&amp;F&amp;R&amp;A</oddFooter>
  </headerFooter>
  <rowBreaks count="1" manualBreakCount="1">
    <brk id="40" max="16383" man="1"/>
  </rowBreaks>
</worksheet>
</file>

<file path=xl/worksheets/sheet19.xml><?xml version="1.0" encoding="utf-8"?>
<worksheet xmlns="http://schemas.openxmlformats.org/spreadsheetml/2006/main" xmlns:r="http://schemas.openxmlformats.org/officeDocument/2006/relationships">
  <sheetPr>
    <tabColor rgb="FFCCFFFF"/>
    <pageSetUpPr fitToPage="1"/>
  </sheetPr>
  <dimension ref="A1:Z247"/>
  <sheetViews>
    <sheetView view="pageBreakPreview" zoomScaleNormal="9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0" customHeight="1" zeroHeight="1"/>
  <cols>
    <col min="1" max="1" width="60.625" style="81" customWidth="1"/>
    <col min="2" max="4" width="0.875" style="21" customWidth="1"/>
    <col min="5" max="5" width="5.625" style="25" customWidth="1"/>
    <col min="6" max="9" width="1" style="21" hidden="1" customWidth="1"/>
    <col min="10" max="10" width="1.625" style="21" customWidth="1"/>
    <col min="11" max="15" width="10.625" style="21" customWidth="1"/>
    <col min="16" max="16" width="1.625" style="21" customWidth="1"/>
    <col min="17" max="17" width="18.25" style="21" hidden="1" customWidth="1"/>
    <col min="18" max="26" width="0" style="21" hidden="1" customWidth="1"/>
    <col min="27" max="16384" width="9" style="21" hidden="1"/>
  </cols>
  <sheetData>
    <row r="1" spans="1:17" ht="15">
      <c r="A1" s="275" t="s">
        <v>494</v>
      </c>
    </row>
    <row r="2" spans="1:17" ht="15">
      <c r="A2" s="8" t="str">
        <f>COMPNAME</f>
        <v>Company Name of Electricity Distribution Network Operator Limited</v>
      </c>
    </row>
    <row r="3" spans="1:17" ht="12.75">
      <c r="A3" s="276" t="str">
        <f>'R5 Input page'!K8</f>
        <v>Regulatory Year ending 31 March 2012</v>
      </c>
      <c r="K3" s="400" t="s">
        <v>645</v>
      </c>
      <c r="L3" s="400"/>
      <c r="M3" s="400"/>
    </row>
    <row r="4" spans="1:17" s="2" customFormat="1" ht="12.75">
      <c r="A4" s="81"/>
      <c r="B4" s="21"/>
      <c r="C4" s="21"/>
      <c r="D4" s="21"/>
      <c r="E4" s="73" t="s">
        <v>5</v>
      </c>
      <c r="F4" s="21"/>
      <c r="G4" s="21"/>
      <c r="H4" s="21"/>
      <c r="I4" s="21"/>
      <c r="J4" s="21"/>
      <c r="K4" s="74">
        <v>2011</v>
      </c>
      <c r="L4" s="73">
        <v>2012</v>
      </c>
      <c r="M4" s="74">
        <v>2013</v>
      </c>
      <c r="N4" s="73">
        <v>2014</v>
      </c>
      <c r="O4" s="74">
        <v>2015</v>
      </c>
      <c r="P4" s="28"/>
      <c r="Q4" s="21"/>
    </row>
    <row r="5" spans="1:17" ht="5.0999999999999996" customHeight="1">
      <c r="A5" s="275"/>
    </row>
    <row r="6" spans="1:17" ht="12.75">
      <c r="A6" s="77" t="s">
        <v>7</v>
      </c>
      <c r="E6" s="25" t="s">
        <v>8</v>
      </c>
      <c r="K6" s="258">
        <f>RPI</f>
        <v>-3.8999999999999998E-3</v>
      </c>
      <c r="L6" s="258">
        <f>RPI</f>
        <v>4.6899999999999997E-2</v>
      </c>
      <c r="M6" s="258">
        <f>RPI</f>
        <v>5.1799999999999999E-2</v>
      </c>
      <c r="N6" s="258">
        <f>RPI</f>
        <v>0</v>
      </c>
      <c r="O6" s="258">
        <f>RPI</f>
        <v>0</v>
      </c>
    </row>
    <row r="7" spans="1:17" ht="12.75">
      <c r="A7" s="77" t="s">
        <v>466</v>
      </c>
      <c r="E7" s="25" t="s">
        <v>8</v>
      </c>
      <c r="K7" s="258">
        <f>Int_rate</f>
        <v>5.0000000000000001E-3</v>
      </c>
      <c r="L7" s="258">
        <f>Int_rate</f>
        <v>5.0000000000000001E-3</v>
      </c>
      <c r="M7" s="258">
        <f>Int_rate</f>
        <v>0</v>
      </c>
      <c r="N7" s="258">
        <f>Int_rate</f>
        <v>0</v>
      </c>
      <c r="O7" s="258">
        <f>Int_rate</f>
        <v>0</v>
      </c>
    </row>
    <row r="8" spans="1:17" ht="9" customHeight="1">
      <c r="A8" s="77"/>
    </row>
    <row r="9" spans="1:17" s="2" customFormat="1" ht="12.75">
      <c r="A9" s="77" t="s">
        <v>102</v>
      </c>
      <c r="B9" s="21"/>
      <c r="C9" s="21"/>
      <c r="D9" s="21"/>
      <c r="E9" s="25"/>
      <c r="F9" s="21"/>
      <c r="G9" s="21"/>
      <c r="H9" s="21"/>
      <c r="I9" s="21"/>
      <c r="J9" s="21"/>
      <c r="K9" s="74"/>
      <c r="L9" s="73"/>
      <c r="M9" s="74"/>
      <c r="N9" s="73"/>
      <c r="O9" s="74"/>
      <c r="P9" s="28"/>
      <c r="Q9" s="21"/>
    </row>
    <row r="10" spans="1:17" s="2" customFormat="1" ht="14.25">
      <c r="A10" s="277" t="s">
        <v>519</v>
      </c>
      <c r="B10" s="21"/>
      <c r="C10" s="21"/>
      <c r="D10" s="21"/>
      <c r="E10" s="25" t="s">
        <v>12</v>
      </c>
      <c r="F10" s="21"/>
      <c r="G10" s="21"/>
      <c r="H10" s="21"/>
      <c r="I10" s="21"/>
      <c r="J10" s="21"/>
      <c r="K10" s="259">
        <f>BR</f>
        <v>0</v>
      </c>
      <c r="L10" s="259">
        <f>BR</f>
        <v>0</v>
      </c>
      <c r="M10" s="259">
        <f>BR</f>
        <v>0</v>
      </c>
      <c r="N10" s="259">
        <f>BR</f>
        <v>0</v>
      </c>
      <c r="O10" s="259">
        <f>BR</f>
        <v>0</v>
      </c>
      <c r="P10" s="85"/>
      <c r="Q10" s="21"/>
    </row>
    <row r="11" spans="1:17" s="2" customFormat="1" ht="9" customHeight="1">
      <c r="A11" s="77"/>
      <c r="B11" s="21"/>
      <c r="C11" s="21"/>
      <c r="D11" s="21"/>
      <c r="E11" s="25"/>
      <c r="F11" s="21"/>
      <c r="G11" s="21"/>
      <c r="H11" s="21"/>
      <c r="I11" s="21"/>
      <c r="J11" s="21"/>
      <c r="K11" s="74"/>
      <c r="L11" s="73"/>
      <c r="M11" s="74"/>
      <c r="N11" s="73"/>
      <c r="O11" s="74"/>
      <c r="P11" s="85"/>
      <c r="Q11" s="21"/>
    </row>
    <row r="12" spans="1:17" s="2" customFormat="1" ht="12.75">
      <c r="A12" s="77" t="s">
        <v>403</v>
      </c>
      <c r="B12" s="21"/>
      <c r="C12" s="21"/>
      <c r="D12" s="21"/>
      <c r="E12" s="25"/>
      <c r="F12" s="21"/>
      <c r="G12" s="21"/>
      <c r="H12" s="21"/>
      <c r="I12" s="21"/>
      <c r="J12" s="21"/>
      <c r="K12" s="74"/>
      <c r="L12" s="73"/>
      <c r="M12" s="74"/>
      <c r="N12" s="73"/>
      <c r="O12" s="74"/>
      <c r="P12" s="85"/>
      <c r="Q12" s="21"/>
    </row>
    <row r="13" spans="1:17" s="2" customFormat="1" ht="12.75">
      <c r="A13" s="81" t="s">
        <v>664</v>
      </c>
      <c r="B13" s="21"/>
      <c r="C13" s="21"/>
      <c r="D13" s="21"/>
      <c r="E13" s="25" t="s">
        <v>12</v>
      </c>
      <c r="F13" s="21"/>
      <c r="G13" s="21"/>
      <c r="H13" s="21"/>
      <c r="I13" s="21"/>
      <c r="J13" s="21"/>
      <c r="K13" s="259">
        <f>LF</f>
        <v>0</v>
      </c>
      <c r="L13" s="259">
        <f>LF</f>
        <v>0</v>
      </c>
      <c r="M13" s="259">
        <f>LF</f>
        <v>0</v>
      </c>
      <c r="N13" s="259">
        <f>LF</f>
        <v>0</v>
      </c>
      <c r="O13" s="259">
        <f>LF</f>
        <v>0</v>
      </c>
      <c r="P13" s="85"/>
      <c r="Q13" s="21"/>
    </row>
    <row r="14" spans="1:17" s="2" customFormat="1" ht="12.75">
      <c r="A14" s="81" t="s">
        <v>423</v>
      </c>
      <c r="B14" s="21"/>
      <c r="C14" s="21"/>
      <c r="D14" s="21"/>
      <c r="E14" s="25" t="s">
        <v>12</v>
      </c>
      <c r="F14" s="21"/>
      <c r="G14" s="21"/>
      <c r="H14" s="21"/>
      <c r="I14" s="21"/>
      <c r="J14" s="21"/>
      <c r="K14" s="259">
        <f>RB</f>
        <v>0</v>
      </c>
      <c r="L14" s="259">
        <f>RB</f>
        <v>0</v>
      </c>
      <c r="M14" s="259">
        <f>RB</f>
        <v>0</v>
      </c>
      <c r="N14" s="259">
        <f>RB</f>
        <v>0</v>
      </c>
      <c r="O14" s="259">
        <f>RB</f>
        <v>0</v>
      </c>
      <c r="P14" s="85"/>
      <c r="Q14" s="21"/>
    </row>
    <row r="15" spans="1:17" s="2" customFormat="1" ht="25.5">
      <c r="A15" s="81" t="s">
        <v>463</v>
      </c>
      <c r="B15" s="21"/>
      <c r="C15" s="21"/>
      <c r="D15" s="21"/>
      <c r="E15" s="25" t="s">
        <v>12</v>
      </c>
      <c r="F15" s="21"/>
      <c r="G15" s="21"/>
      <c r="H15" s="21"/>
      <c r="I15" s="21"/>
      <c r="J15" s="21"/>
      <c r="K15" s="259">
        <f>HB</f>
        <v>0</v>
      </c>
      <c r="L15" s="259">
        <f>HB</f>
        <v>0</v>
      </c>
      <c r="M15" s="259">
        <f>HB</f>
        <v>0</v>
      </c>
      <c r="N15" s="259">
        <f>HB</f>
        <v>0</v>
      </c>
      <c r="O15" s="259">
        <f>HB</f>
        <v>0</v>
      </c>
      <c r="P15" s="85"/>
      <c r="Q15" s="21"/>
    </row>
    <row r="16" spans="1:17" s="2" customFormat="1" ht="12.75">
      <c r="A16" s="81" t="s">
        <v>424</v>
      </c>
      <c r="B16" s="21"/>
      <c r="C16" s="21"/>
      <c r="D16" s="21"/>
      <c r="E16" s="25" t="s">
        <v>12</v>
      </c>
      <c r="F16" s="21"/>
      <c r="G16" s="21"/>
      <c r="H16" s="21"/>
      <c r="I16" s="21"/>
      <c r="J16" s="21"/>
      <c r="K16" s="259">
        <f>IED</f>
        <v>0</v>
      </c>
      <c r="L16" s="259">
        <f>IED</f>
        <v>0</v>
      </c>
      <c r="M16" s="259">
        <f>IED</f>
        <v>0</v>
      </c>
      <c r="N16" s="259">
        <f>IED</f>
        <v>0</v>
      </c>
      <c r="O16" s="259">
        <f>IED</f>
        <v>0</v>
      </c>
      <c r="P16" s="85"/>
      <c r="Q16" s="21"/>
    </row>
    <row r="17" spans="1:17" s="2" customFormat="1" ht="12.75">
      <c r="A17" s="81" t="s">
        <v>429</v>
      </c>
      <c r="B17" s="21"/>
      <c r="C17" s="21"/>
      <c r="D17" s="21"/>
      <c r="E17" s="25" t="s">
        <v>12</v>
      </c>
      <c r="F17" s="21"/>
      <c r="G17" s="21"/>
      <c r="H17" s="21"/>
      <c r="I17" s="21"/>
      <c r="J17" s="21"/>
      <c r="K17" s="259">
        <f>MPT</f>
        <v>0</v>
      </c>
      <c r="L17" s="259">
        <f>MPT</f>
        <v>0</v>
      </c>
      <c r="M17" s="259">
        <f>MPT</f>
        <v>0</v>
      </c>
      <c r="N17" s="259">
        <f>MPT</f>
        <v>0</v>
      </c>
      <c r="O17" s="259">
        <f>MPT</f>
        <v>0</v>
      </c>
      <c r="P17" s="85"/>
      <c r="Q17" s="21"/>
    </row>
    <row r="18" spans="1:17" s="2" customFormat="1" ht="12.75">
      <c r="A18" s="81" t="s">
        <v>425</v>
      </c>
      <c r="B18" s="21"/>
      <c r="C18" s="21"/>
      <c r="D18" s="21"/>
      <c r="E18" s="25" t="s">
        <v>12</v>
      </c>
      <c r="F18" s="21"/>
      <c r="G18" s="21"/>
      <c r="H18" s="21"/>
      <c r="I18" s="21"/>
      <c r="J18" s="21"/>
      <c r="K18" s="259">
        <f>TB</f>
        <v>0</v>
      </c>
      <c r="L18" s="259">
        <f>TB</f>
        <v>0</v>
      </c>
      <c r="M18" s="259">
        <f>TB</f>
        <v>0</v>
      </c>
      <c r="N18" s="259">
        <f>TB</f>
        <v>0</v>
      </c>
      <c r="O18" s="259">
        <f>TB</f>
        <v>0</v>
      </c>
      <c r="P18" s="85"/>
      <c r="Q18" s="21"/>
    </row>
    <row r="19" spans="1:17" s="2" customFormat="1" ht="12.75">
      <c r="A19" s="81" t="s">
        <v>428</v>
      </c>
      <c r="B19" s="21"/>
      <c r="C19" s="21"/>
      <c r="D19" s="21"/>
      <c r="E19" s="25" t="s">
        <v>12</v>
      </c>
      <c r="F19" s="21"/>
      <c r="G19" s="21"/>
      <c r="H19" s="21"/>
      <c r="I19" s="21"/>
      <c r="J19" s="21"/>
      <c r="K19" s="259">
        <f>UNC</f>
        <v>0</v>
      </c>
      <c r="L19" s="259">
        <f>UNC</f>
        <v>0</v>
      </c>
      <c r="M19" s="259">
        <f>UNC</f>
        <v>0</v>
      </c>
      <c r="N19" s="259">
        <f>UNC</f>
        <v>0</v>
      </c>
      <c r="O19" s="259">
        <f>UNC</f>
        <v>0</v>
      </c>
      <c r="P19" s="85"/>
      <c r="Q19" s="21"/>
    </row>
    <row r="20" spans="1:17" s="2" customFormat="1" ht="14.25">
      <c r="A20" s="277" t="s">
        <v>522</v>
      </c>
      <c r="B20" s="21"/>
      <c r="C20" s="21"/>
      <c r="D20" s="21"/>
      <c r="E20" s="25" t="s">
        <v>12</v>
      </c>
      <c r="F20" s="21"/>
      <c r="G20" s="21"/>
      <c r="H20" s="21"/>
      <c r="I20" s="21"/>
      <c r="J20" s="21"/>
      <c r="K20" s="197">
        <f>PT</f>
        <v>0</v>
      </c>
      <c r="L20" s="197">
        <f>PT</f>
        <v>0</v>
      </c>
      <c r="M20" s="197">
        <f>PT</f>
        <v>0</v>
      </c>
      <c r="N20" s="197">
        <f>PT</f>
        <v>0</v>
      </c>
      <c r="O20" s="197">
        <f>PT</f>
        <v>0</v>
      </c>
      <c r="P20" s="85"/>
      <c r="Q20" s="21"/>
    </row>
    <row r="21" spans="1:17" s="2" customFormat="1" ht="9" customHeight="1">
      <c r="A21" s="77"/>
      <c r="B21" s="21"/>
      <c r="C21" s="21"/>
      <c r="D21" s="21"/>
      <c r="E21" s="25"/>
      <c r="F21" s="21"/>
      <c r="G21" s="21"/>
      <c r="H21" s="21"/>
      <c r="I21" s="21"/>
      <c r="J21" s="21"/>
      <c r="K21" s="184"/>
      <c r="L21" s="73"/>
      <c r="M21" s="74"/>
      <c r="N21" s="73"/>
      <c r="O21" s="74"/>
      <c r="P21" s="85"/>
      <c r="Q21" s="21"/>
    </row>
    <row r="22" spans="1:17" s="2" customFormat="1" ht="12.75">
      <c r="A22" s="77" t="s">
        <v>430</v>
      </c>
      <c r="B22" s="21"/>
      <c r="C22" s="21"/>
      <c r="D22" s="21"/>
      <c r="E22" s="25"/>
      <c r="F22" s="21"/>
      <c r="G22" s="21"/>
      <c r="H22" s="21"/>
      <c r="I22" s="21"/>
      <c r="J22" s="21"/>
      <c r="K22" s="74"/>
      <c r="L22" s="73"/>
      <c r="M22" s="74"/>
      <c r="N22" s="73"/>
      <c r="O22" s="74"/>
      <c r="P22" s="85"/>
      <c r="Q22" s="21"/>
    </row>
    <row r="23" spans="1:17" s="2" customFormat="1" ht="12.75">
      <c r="A23" s="81" t="s">
        <v>431</v>
      </c>
      <c r="B23" s="21"/>
      <c r="C23" s="21"/>
      <c r="D23" s="21"/>
      <c r="E23" s="25" t="s">
        <v>12</v>
      </c>
      <c r="F23" s="21"/>
      <c r="G23" s="21"/>
      <c r="H23" s="21"/>
      <c r="I23" s="21"/>
      <c r="J23" s="21"/>
      <c r="K23" s="259">
        <f>IL</f>
        <v>0</v>
      </c>
      <c r="L23" s="259">
        <f>IL</f>
        <v>0</v>
      </c>
      <c r="M23" s="259">
        <f>IL</f>
        <v>0</v>
      </c>
      <c r="N23" s="259">
        <f>IL</f>
        <v>0</v>
      </c>
      <c r="O23" s="259">
        <f>IL</f>
        <v>0</v>
      </c>
      <c r="P23" s="85"/>
      <c r="Q23" s="21"/>
    </row>
    <row r="24" spans="1:17" s="2" customFormat="1" ht="12.75">
      <c r="A24" s="81" t="s">
        <v>432</v>
      </c>
      <c r="B24" s="21"/>
      <c r="C24" s="21"/>
      <c r="D24" s="21"/>
      <c r="E24" s="25" t="s">
        <v>12</v>
      </c>
      <c r="F24" s="21"/>
      <c r="G24" s="21"/>
      <c r="H24" s="21"/>
      <c r="I24" s="21"/>
      <c r="J24" s="21"/>
      <c r="K24" s="259">
        <f>IQ</f>
        <v>0</v>
      </c>
      <c r="L24" s="259">
        <f>IQ</f>
        <v>0</v>
      </c>
      <c r="M24" s="259">
        <f>IQ</f>
        <v>0</v>
      </c>
      <c r="N24" s="259">
        <f>IQ</f>
        <v>0</v>
      </c>
      <c r="O24" s="259">
        <f>IQ</f>
        <v>0</v>
      </c>
      <c r="P24" s="85"/>
      <c r="Q24" s="21"/>
    </row>
    <row r="25" spans="1:17" s="2" customFormat="1" ht="12.75">
      <c r="A25" s="81" t="s">
        <v>433</v>
      </c>
      <c r="B25" s="21"/>
      <c r="C25" s="21"/>
      <c r="D25" s="21"/>
      <c r="E25" s="25" t="s">
        <v>12</v>
      </c>
      <c r="F25" s="21"/>
      <c r="G25" s="21"/>
      <c r="H25" s="21"/>
      <c r="I25" s="21"/>
      <c r="J25" s="21"/>
      <c r="K25" s="259">
        <f>IT</f>
        <v>0</v>
      </c>
      <c r="L25" s="259">
        <f>IT</f>
        <v>0</v>
      </c>
      <c r="M25" s="259">
        <f>IT</f>
        <v>0</v>
      </c>
      <c r="N25" s="259">
        <f>IT</f>
        <v>0</v>
      </c>
      <c r="O25" s="259">
        <f>IT</f>
        <v>0</v>
      </c>
      <c r="P25" s="85"/>
      <c r="Q25" s="21"/>
    </row>
    <row r="26" spans="1:17" s="2" customFormat="1" ht="12.75">
      <c r="A26" s="81" t="s">
        <v>434</v>
      </c>
      <c r="B26" s="21"/>
      <c r="C26" s="21"/>
      <c r="D26" s="21"/>
      <c r="E26" s="25" t="s">
        <v>12</v>
      </c>
      <c r="F26" s="21"/>
      <c r="G26" s="21"/>
      <c r="H26" s="21"/>
      <c r="I26" s="21"/>
      <c r="J26" s="21"/>
      <c r="K26" s="259">
        <f>IFI</f>
        <v>0</v>
      </c>
      <c r="L26" s="259">
        <f>IFI</f>
        <v>0</v>
      </c>
      <c r="M26" s="259">
        <f>IFI</f>
        <v>0</v>
      </c>
      <c r="N26" s="259">
        <f>IFI</f>
        <v>0</v>
      </c>
      <c r="O26" s="259">
        <f>IFI</f>
        <v>0</v>
      </c>
      <c r="P26" s="85"/>
      <c r="Q26" s="21"/>
    </row>
    <row r="27" spans="1:17" s="2" customFormat="1" ht="14.25">
      <c r="A27" s="277" t="s">
        <v>523</v>
      </c>
      <c r="B27" s="21"/>
      <c r="C27" s="21"/>
      <c r="D27" s="21"/>
      <c r="E27" s="25" t="s">
        <v>12</v>
      </c>
      <c r="F27" s="21"/>
      <c r="G27" s="21"/>
      <c r="H27" s="21"/>
      <c r="I27" s="21"/>
      <c r="J27" s="21"/>
      <c r="K27" s="197">
        <f>IP</f>
        <v>0</v>
      </c>
      <c r="L27" s="197">
        <f>IP</f>
        <v>0</v>
      </c>
      <c r="M27" s="197">
        <f>IP</f>
        <v>0</v>
      </c>
      <c r="N27" s="197">
        <f>IP</f>
        <v>0</v>
      </c>
      <c r="O27" s="197">
        <f>IP</f>
        <v>0</v>
      </c>
      <c r="P27" s="85"/>
      <c r="Q27" s="21"/>
    </row>
    <row r="28" spans="1:17" s="2" customFormat="1" ht="9" customHeight="1">
      <c r="A28" s="77"/>
      <c r="B28" s="21"/>
      <c r="C28" s="21"/>
      <c r="D28" s="21"/>
      <c r="E28" s="25"/>
      <c r="F28" s="21"/>
      <c r="G28" s="21"/>
      <c r="H28" s="21"/>
      <c r="I28" s="21"/>
      <c r="J28" s="21"/>
      <c r="K28" s="184"/>
      <c r="L28" s="73"/>
      <c r="M28" s="74"/>
      <c r="N28" s="73"/>
      <c r="O28" s="74"/>
      <c r="P28" s="85"/>
      <c r="Q28" s="21"/>
    </row>
    <row r="29" spans="1:17" s="2" customFormat="1" ht="12.75">
      <c r="A29" s="77" t="s">
        <v>404</v>
      </c>
      <c r="B29" s="21"/>
      <c r="C29" s="21"/>
      <c r="D29" s="21"/>
      <c r="E29" s="25"/>
      <c r="F29" s="21"/>
      <c r="G29" s="21"/>
      <c r="H29" s="21"/>
      <c r="I29" s="21"/>
      <c r="J29" s="21"/>
      <c r="K29" s="74"/>
      <c r="L29" s="73"/>
      <c r="M29" s="74"/>
      <c r="N29" s="73"/>
      <c r="O29" s="74"/>
      <c r="P29" s="85"/>
      <c r="Q29" s="21"/>
    </row>
    <row r="30" spans="1:17" s="2" customFormat="1" ht="12.75">
      <c r="A30" s="81" t="s">
        <v>439</v>
      </c>
      <c r="B30" s="21"/>
      <c r="C30" s="21"/>
      <c r="D30" s="21"/>
      <c r="E30" s="25" t="s">
        <v>12</v>
      </c>
      <c r="F30" s="21"/>
      <c r="G30" s="21"/>
      <c r="H30" s="21"/>
      <c r="I30" s="21"/>
      <c r="J30" s="21"/>
      <c r="K30" s="259">
        <f>LCN1_exp</f>
        <v>0</v>
      </c>
      <c r="L30" s="259">
        <f>LCN1_exp</f>
        <v>0</v>
      </c>
      <c r="M30" s="259">
        <f>LCN1_exp</f>
        <v>0</v>
      </c>
      <c r="N30" s="259">
        <f>LCN1_exp</f>
        <v>0</v>
      </c>
      <c r="O30" s="259">
        <f>LCN1_exp</f>
        <v>0</v>
      </c>
      <c r="P30" s="85"/>
      <c r="Q30" s="21"/>
    </row>
    <row r="31" spans="1:17" s="2" customFormat="1" ht="12.75">
      <c r="A31" s="278" t="s">
        <v>592</v>
      </c>
      <c r="B31" s="21"/>
      <c r="C31" s="21"/>
      <c r="D31" s="21"/>
      <c r="E31" s="25" t="s">
        <v>12</v>
      </c>
      <c r="F31" s="21"/>
      <c r="G31" s="21"/>
      <c r="H31" s="21"/>
      <c r="I31" s="21"/>
      <c r="J31" s="21"/>
      <c r="K31" s="259">
        <f>LCN3_unrec</f>
        <v>0</v>
      </c>
      <c r="L31" s="259">
        <f>LCN3_unrec</f>
        <v>0</v>
      </c>
      <c r="M31" s="259">
        <f>LCN3_unrec</f>
        <v>0</v>
      </c>
      <c r="N31" s="259">
        <f>LCN3_unrec</f>
        <v>0</v>
      </c>
      <c r="O31" s="259">
        <f>LCN3_unrec</f>
        <v>0</v>
      </c>
      <c r="P31" s="85"/>
      <c r="Q31" s="21"/>
    </row>
    <row r="32" spans="1:17" s="2" customFormat="1" ht="12.75">
      <c r="A32" s="81" t="s">
        <v>440</v>
      </c>
      <c r="B32" s="21"/>
      <c r="C32" s="21"/>
      <c r="D32" s="21"/>
      <c r="E32" s="25" t="s">
        <v>12</v>
      </c>
      <c r="F32" s="21"/>
      <c r="G32" s="21"/>
      <c r="H32" s="21"/>
      <c r="I32" s="21"/>
      <c r="J32" s="21"/>
      <c r="K32" s="259">
        <f>LCN2_collect</f>
        <v>0</v>
      </c>
      <c r="L32" s="259">
        <f>LCN2_collect</f>
        <v>0</v>
      </c>
      <c r="M32" s="259">
        <f>LCN2_collect</f>
        <v>0</v>
      </c>
      <c r="N32" s="259">
        <f>LCN2_collect</f>
        <v>0</v>
      </c>
      <c r="O32" s="259">
        <f>LCN2_collect</f>
        <v>0</v>
      </c>
      <c r="P32" s="85"/>
      <c r="Q32" s="21"/>
    </row>
    <row r="33" spans="1:17" s="2" customFormat="1" ht="14.25">
      <c r="A33" s="81" t="s">
        <v>515</v>
      </c>
      <c r="B33" s="21"/>
      <c r="C33" s="21"/>
      <c r="D33" s="21"/>
      <c r="E33" s="25" t="s">
        <v>12</v>
      </c>
      <c r="F33" s="21"/>
      <c r="G33" s="21"/>
      <c r="H33" s="21"/>
      <c r="I33" s="21"/>
      <c r="J33" s="21"/>
      <c r="K33" s="197">
        <f>LCN</f>
        <v>0</v>
      </c>
      <c r="L33" s="197">
        <f>LCN</f>
        <v>0</v>
      </c>
      <c r="M33" s="197">
        <f>LCN</f>
        <v>0</v>
      </c>
      <c r="N33" s="197">
        <f>LCN</f>
        <v>0</v>
      </c>
      <c r="O33" s="197">
        <f>LCN</f>
        <v>0</v>
      </c>
      <c r="P33" s="85"/>
      <c r="Q33" s="21"/>
    </row>
    <row r="34" spans="1:17" s="2" customFormat="1" ht="9" customHeight="1">
      <c r="A34" s="81"/>
      <c r="B34" s="21"/>
      <c r="C34" s="21"/>
      <c r="D34" s="21"/>
      <c r="E34" s="25"/>
      <c r="F34" s="21"/>
      <c r="G34" s="21"/>
      <c r="H34" s="21"/>
      <c r="I34" s="21"/>
      <c r="J34" s="21"/>
      <c r="K34" s="74"/>
      <c r="L34" s="74"/>
      <c r="M34" s="74"/>
      <c r="N34" s="74"/>
      <c r="O34" s="74"/>
      <c r="P34" s="85"/>
      <c r="Q34" s="21"/>
    </row>
    <row r="35" spans="1:17" s="2" customFormat="1" ht="9" customHeight="1">
      <c r="A35" s="277"/>
      <c r="B35" s="21"/>
      <c r="C35" s="21"/>
      <c r="D35" s="21"/>
      <c r="E35" s="25"/>
      <c r="F35" s="21"/>
      <c r="G35" s="21"/>
      <c r="H35" s="21"/>
      <c r="I35" s="21"/>
      <c r="J35" s="21"/>
      <c r="K35" s="74"/>
      <c r="L35" s="73"/>
      <c r="M35" s="74"/>
      <c r="N35" s="73"/>
      <c r="O35" s="74"/>
      <c r="P35" s="85"/>
      <c r="Q35" s="21"/>
    </row>
    <row r="36" spans="1:17" s="2" customFormat="1" ht="12.75">
      <c r="A36" s="77" t="s">
        <v>405</v>
      </c>
      <c r="B36" s="21"/>
      <c r="C36" s="21"/>
      <c r="D36" s="21"/>
      <c r="E36" s="25"/>
      <c r="F36" s="21"/>
      <c r="G36" s="21"/>
      <c r="H36" s="21"/>
      <c r="I36" s="21"/>
      <c r="J36" s="21"/>
      <c r="K36" s="74"/>
      <c r="L36" s="73"/>
      <c r="M36" s="74"/>
      <c r="N36" s="73"/>
      <c r="O36" s="74"/>
      <c r="P36" s="85"/>
      <c r="Q36" s="21"/>
    </row>
    <row r="37" spans="1:17" s="2" customFormat="1" ht="12.75">
      <c r="A37" s="81" t="s">
        <v>467</v>
      </c>
      <c r="B37" s="21"/>
      <c r="C37" s="21"/>
      <c r="D37" s="21"/>
      <c r="E37" s="25" t="s">
        <v>29</v>
      </c>
      <c r="F37" s="21"/>
      <c r="G37" s="21"/>
      <c r="H37" s="21"/>
      <c r="I37" s="21"/>
      <c r="J37" s="21"/>
      <c r="K37" s="260">
        <f>gc</f>
        <v>0</v>
      </c>
      <c r="L37" s="260">
        <f>gc</f>
        <v>0</v>
      </c>
      <c r="M37" s="260">
        <f>gc</f>
        <v>0</v>
      </c>
      <c r="N37" s="260">
        <f>gc</f>
        <v>0</v>
      </c>
      <c r="O37" s="260">
        <f>gc</f>
        <v>0</v>
      </c>
      <c r="P37" s="85"/>
      <c r="Q37" s="21"/>
    </row>
    <row r="38" spans="1:17" ht="12.75">
      <c r="H38" s="76"/>
      <c r="I38" s="76"/>
      <c r="J38" s="76"/>
      <c r="K38" s="255"/>
      <c r="L38" s="255"/>
      <c r="M38" s="255"/>
      <c r="N38" s="255"/>
      <c r="O38" s="255"/>
      <c r="P38" s="78"/>
    </row>
    <row r="39" spans="1:17" s="2" customFormat="1" ht="12.75">
      <c r="A39" s="81" t="s">
        <v>441</v>
      </c>
      <c r="B39" s="21"/>
      <c r="C39" s="21"/>
      <c r="D39" s="21"/>
      <c r="E39" s="25" t="s">
        <v>12</v>
      </c>
      <c r="F39" s="21"/>
      <c r="G39" s="21"/>
      <c r="H39" s="21"/>
      <c r="I39" s="21"/>
      <c r="J39" s="21"/>
      <c r="K39" s="259">
        <f>GI</f>
        <v>0</v>
      </c>
      <c r="L39" s="259">
        <f>GI</f>
        <v>0</v>
      </c>
      <c r="M39" s="259">
        <f>GI</f>
        <v>0</v>
      </c>
      <c r="N39" s="259">
        <f>GI</f>
        <v>0</v>
      </c>
      <c r="O39" s="259">
        <f>GI</f>
        <v>0</v>
      </c>
      <c r="P39" s="85"/>
      <c r="Q39" s="21"/>
    </row>
    <row r="40" spans="1:17" s="2" customFormat="1" ht="12.75">
      <c r="A40" s="81" t="s">
        <v>442</v>
      </c>
      <c r="B40" s="21"/>
      <c r="C40" s="21"/>
      <c r="D40" s="21"/>
      <c r="E40" s="25" t="s">
        <v>12</v>
      </c>
      <c r="F40" s="21"/>
      <c r="G40" s="21"/>
      <c r="H40" s="21"/>
      <c r="I40" s="21"/>
      <c r="J40" s="21"/>
      <c r="K40" s="259">
        <f>GP</f>
        <v>0</v>
      </c>
      <c r="L40" s="259">
        <f>GP</f>
        <v>0</v>
      </c>
      <c r="M40" s="259">
        <f>GP</f>
        <v>0</v>
      </c>
      <c r="N40" s="259">
        <f>GP</f>
        <v>0</v>
      </c>
      <c r="O40" s="259">
        <f>GP</f>
        <v>0</v>
      </c>
      <c r="P40" s="85"/>
      <c r="Q40" s="21"/>
    </row>
    <row r="41" spans="1:17" s="2" customFormat="1" ht="12.75">
      <c r="A41" s="81" t="s">
        <v>443</v>
      </c>
      <c r="B41" s="21"/>
      <c r="C41" s="21"/>
      <c r="D41" s="21"/>
      <c r="E41" s="25" t="s">
        <v>12</v>
      </c>
      <c r="F41" s="21"/>
      <c r="G41" s="21"/>
      <c r="H41" s="21"/>
      <c r="I41" s="21"/>
      <c r="J41" s="21"/>
      <c r="K41" s="259">
        <f>GO</f>
        <v>0</v>
      </c>
      <c r="L41" s="259">
        <f>GO</f>
        <v>0</v>
      </c>
      <c r="M41" s="259">
        <f>GO</f>
        <v>0</v>
      </c>
      <c r="N41" s="259">
        <f>GO</f>
        <v>0</v>
      </c>
      <c r="O41" s="259">
        <f>GO</f>
        <v>0</v>
      </c>
      <c r="P41" s="85"/>
      <c r="Q41" s="21"/>
    </row>
    <row r="42" spans="1:17" s="2" customFormat="1" ht="12.75">
      <c r="A42" s="81" t="s">
        <v>588</v>
      </c>
      <c r="B42" s="21"/>
      <c r="C42" s="21"/>
      <c r="D42" s="21"/>
      <c r="E42" s="25" t="s">
        <v>12</v>
      </c>
      <c r="F42" s="21"/>
      <c r="G42" s="21"/>
      <c r="H42" s="21"/>
      <c r="I42" s="21"/>
      <c r="J42" s="21"/>
      <c r="K42" s="259">
        <f>GL</f>
        <v>0</v>
      </c>
      <c r="L42" s="259">
        <f>GL</f>
        <v>0</v>
      </c>
      <c r="M42" s="259">
        <f>GL</f>
        <v>0</v>
      </c>
      <c r="N42" s="259">
        <f>GL</f>
        <v>0</v>
      </c>
      <c r="O42" s="259">
        <f>GL</f>
        <v>0</v>
      </c>
      <c r="P42" s="85"/>
      <c r="Q42" s="21"/>
    </row>
    <row r="43" spans="1:17" s="2" customFormat="1" ht="12.75">
      <c r="A43" s="81" t="s">
        <v>444</v>
      </c>
      <c r="B43" s="21"/>
      <c r="C43" s="21"/>
      <c r="D43" s="21"/>
      <c r="E43" s="25" t="s">
        <v>12</v>
      </c>
      <c r="F43" s="21"/>
      <c r="G43" s="21"/>
      <c r="H43" s="21"/>
      <c r="I43" s="21"/>
      <c r="J43" s="21"/>
      <c r="K43" s="259">
        <f>RPZ</f>
        <v>0</v>
      </c>
      <c r="L43" s="259">
        <f>RPZ</f>
        <v>0</v>
      </c>
      <c r="M43" s="259">
        <f>RPZ</f>
        <v>0</v>
      </c>
      <c r="N43" s="259">
        <f>RPZ</f>
        <v>0</v>
      </c>
      <c r="O43" s="259">
        <f>RPZ</f>
        <v>0</v>
      </c>
      <c r="P43" s="85"/>
      <c r="Q43" s="21"/>
    </row>
    <row r="44" spans="1:17" s="2" customFormat="1" ht="12.75">
      <c r="A44" s="256" t="s">
        <v>177</v>
      </c>
      <c r="B44" s="21"/>
      <c r="C44" s="21"/>
      <c r="D44" s="21"/>
      <c r="E44" s="25" t="s">
        <v>12</v>
      </c>
      <c r="F44" s="21"/>
      <c r="G44" s="21"/>
      <c r="H44" s="21"/>
      <c r="I44" s="21"/>
      <c r="J44" s="21"/>
      <c r="K44" s="259">
        <f>IEDA</f>
        <v>0</v>
      </c>
      <c r="L44" s="259">
        <f>IEDA</f>
        <v>0</v>
      </c>
      <c r="M44" s="259">
        <f>IEDA</f>
        <v>0</v>
      </c>
      <c r="N44" s="259">
        <f>IEDA</f>
        <v>0</v>
      </c>
      <c r="O44" s="259">
        <f>IEDA</f>
        <v>0</v>
      </c>
      <c r="P44" s="85"/>
      <c r="Q44" s="21"/>
    </row>
    <row r="45" spans="1:17" s="2" customFormat="1" ht="14.25">
      <c r="A45" s="81" t="s">
        <v>514</v>
      </c>
      <c r="B45" s="21"/>
      <c r="C45" s="21"/>
      <c r="D45" s="21"/>
      <c r="E45" s="25" t="s">
        <v>12</v>
      </c>
      <c r="F45" s="21"/>
      <c r="G45" s="21"/>
      <c r="H45" s="21"/>
      <c r="I45" s="21"/>
      <c r="J45" s="21"/>
      <c r="K45" s="197">
        <f>IG</f>
        <v>0</v>
      </c>
      <c r="L45" s="197">
        <f>IG</f>
        <v>0</v>
      </c>
      <c r="M45" s="197">
        <f>IG</f>
        <v>0</v>
      </c>
      <c r="N45" s="197">
        <f>IG</f>
        <v>0</v>
      </c>
      <c r="O45" s="197">
        <f>IG</f>
        <v>0</v>
      </c>
      <c r="P45" s="85"/>
      <c r="Q45" s="21"/>
    </row>
    <row r="46" spans="1:17" s="2" customFormat="1" ht="9" customHeight="1">
      <c r="A46" s="277"/>
      <c r="B46" s="21"/>
      <c r="C46" s="21"/>
      <c r="D46" s="21"/>
      <c r="E46" s="25"/>
      <c r="F46" s="21"/>
      <c r="G46" s="21"/>
      <c r="H46" s="21"/>
      <c r="I46" s="21"/>
      <c r="J46" s="21"/>
      <c r="K46" s="74"/>
      <c r="L46" s="73"/>
      <c r="M46" s="74"/>
      <c r="N46" s="73"/>
      <c r="O46" s="74"/>
      <c r="P46" s="85"/>
      <c r="Q46" s="21"/>
    </row>
    <row r="47" spans="1:17" s="2" customFormat="1" ht="9" customHeight="1">
      <c r="A47" s="81"/>
      <c r="B47" s="21"/>
      <c r="C47" s="21"/>
      <c r="D47" s="21"/>
      <c r="E47" s="25"/>
      <c r="F47" s="21"/>
      <c r="G47" s="21"/>
      <c r="H47" s="21"/>
      <c r="I47" s="21"/>
      <c r="J47" s="21"/>
      <c r="K47" s="74"/>
      <c r="L47" s="73"/>
      <c r="M47" s="74"/>
      <c r="N47" s="73"/>
      <c r="O47" s="74"/>
      <c r="P47" s="85"/>
      <c r="Q47" s="21"/>
    </row>
    <row r="48" spans="1:17" s="2" customFormat="1" ht="25.5">
      <c r="A48" s="45" t="s">
        <v>422</v>
      </c>
      <c r="B48" s="21"/>
      <c r="C48" s="21"/>
      <c r="D48" s="21"/>
      <c r="E48" s="25" t="s">
        <v>12</v>
      </c>
      <c r="F48" s="21"/>
      <c r="G48" s="21"/>
      <c r="H48" s="21"/>
      <c r="I48" s="21"/>
      <c r="J48" s="21"/>
      <c r="K48" s="259">
        <f>K</f>
        <v>0</v>
      </c>
      <c r="L48" s="259">
        <f>K</f>
        <v>0</v>
      </c>
      <c r="M48" s="259">
        <f>K</f>
        <v>0</v>
      </c>
      <c r="N48" s="259">
        <f>K</f>
        <v>0</v>
      </c>
      <c r="O48" s="259">
        <f>K</f>
        <v>0</v>
      </c>
      <c r="P48" s="85"/>
      <c r="Q48" s="21"/>
    </row>
    <row r="49" spans="1:17" s="2" customFormat="1" ht="9" customHeight="1">
      <c r="A49" s="45"/>
      <c r="B49" s="21"/>
      <c r="C49" s="21"/>
      <c r="D49" s="21"/>
      <c r="E49" s="25"/>
      <c r="F49" s="21"/>
      <c r="G49" s="21"/>
      <c r="H49" s="21"/>
      <c r="I49" s="21"/>
      <c r="J49" s="21"/>
      <c r="K49" s="74"/>
      <c r="L49" s="74"/>
      <c r="M49" s="74"/>
      <c r="N49" s="74"/>
      <c r="O49" s="74"/>
      <c r="P49" s="85"/>
      <c r="Q49" s="21"/>
    </row>
    <row r="50" spans="1:17" s="2" customFormat="1" ht="12.75">
      <c r="A50" s="45" t="s">
        <v>620</v>
      </c>
      <c r="B50" s="21"/>
      <c r="C50" s="21"/>
      <c r="D50" s="21"/>
      <c r="E50" s="25"/>
      <c r="F50" s="21"/>
      <c r="G50" s="21"/>
      <c r="H50" s="21"/>
      <c r="I50" s="21"/>
      <c r="J50" s="21"/>
      <c r="K50" s="74"/>
      <c r="L50" s="74"/>
      <c r="M50" s="74"/>
      <c r="N50" s="74"/>
      <c r="O50" s="74"/>
      <c r="P50" s="85"/>
      <c r="Q50" s="21"/>
    </row>
    <row r="51" spans="1:17" s="2" customFormat="1" ht="12.75">
      <c r="A51" s="278" t="s">
        <v>629</v>
      </c>
      <c r="B51" s="21"/>
      <c r="C51" s="21"/>
      <c r="D51" s="21"/>
      <c r="E51" s="25" t="s">
        <v>12</v>
      </c>
      <c r="F51" s="21"/>
      <c r="G51" s="21"/>
      <c r="H51" s="21"/>
      <c r="I51" s="21"/>
      <c r="J51" s="21"/>
      <c r="K51" s="259">
        <f>AUM</f>
        <v>0</v>
      </c>
      <c r="L51" s="259">
        <f>AUM</f>
        <v>0</v>
      </c>
      <c r="M51" s="259">
        <f>AUM</f>
        <v>0</v>
      </c>
      <c r="N51" s="259">
        <f>AUM</f>
        <v>0</v>
      </c>
      <c r="O51" s="259">
        <f>AUM</f>
        <v>0</v>
      </c>
      <c r="P51" s="85"/>
      <c r="Q51" s="21"/>
    </row>
    <row r="52" spans="1:17" s="2" customFormat="1" ht="12.75">
      <c r="A52" s="278" t="s">
        <v>630</v>
      </c>
      <c r="B52" s="21"/>
      <c r="C52" s="21"/>
      <c r="D52" s="21"/>
      <c r="E52" s="25" t="s">
        <v>12</v>
      </c>
      <c r="F52" s="21"/>
      <c r="G52" s="21"/>
      <c r="H52" s="21"/>
      <c r="I52" s="21"/>
      <c r="J52" s="21"/>
      <c r="K52" s="259">
        <f>CGSSP</f>
        <v>0</v>
      </c>
      <c r="L52" s="259">
        <f>CGSSP</f>
        <v>0</v>
      </c>
      <c r="M52" s="259">
        <f>CGSSP</f>
        <v>0</v>
      </c>
      <c r="N52" s="259">
        <f>CGSSP</f>
        <v>0</v>
      </c>
      <c r="O52" s="259">
        <f>CGSSP</f>
        <v>0</v>
      </c>
      <c r="P52" s="85"/>
      <c r="Q52" s="21"/>
    </row>
    <row r="53" spans="1:17" s="2" customFormat="1" ht="12.75">
      <c r="A53" s="278" t="s">
        <v>631</v>
      </c>
      <c r="B53" s="21"/>
      <c r="C53" s="21"/>
      <c r="D53" s="21"/>
      <c r="E53" s="25" t="s">
        <v>12</v>
      </c>
      <c r="F53" s="21"/>
      <c r="G53" s="21"/>
      <c r="H53" s="21"/>
      <c r="I53" s="21"/>
      <c r="J53" s="21"/>
      <c r="K53" s="259">
        <f>CGSRA</f>
        <v>0</v>
      </c>
      <c r="L53" s="259">
        <f>CGSRA</f>
        <v>0</v>
      </c>
      <c r="M53" s="259">
        <f>CGSRA</f>
        <v>0</v>
      </c>
      <c r="N53" s="259">
        <f>CGSRA</f>
        <v>0</v>
      </c>
      <c r="O53" s="259">
        <f>CGSRA</f>
        <v>0</v>
      </c>
      <c r="P53" s="85"/>
      <c r="Q53" s="21"/>
    </row>
    <row r="54" spans="1:17" s="2" customFormat="1" ht="12.75">
      <c r="A54" s="278"/>
      <c r="B54" s="21"/>
      <c r="C54" s="21"/>
      <c r="D54" s="21"/>
      <c r="E54" s="25"/>
      <c r="F54" s="21"/>
      <c r="G54" s="21"/>
      <c r="H54" s="21"/>
      <c r="I54" s="21"/>
      <c r="J54" s="21"/>
      <c r="K54" s="21"/>
      <c r="L54" s="21"/>
      <c r="M54" s="21"/>
      <c r="N54" s="21"/>
      <c r="O54" s="21"/>
      <c r="P54" s="85"/>
      <c r="Q54" s="21"/>
    </row>
    <row r="55" spans="1:17" s="2" customFormat="1" ht="15">
      <c r="A55" s="279" t="s">
        <v>145</v>
      </c>
      <c r="B55" s="21"/>
      <c r="C55" s="21"/>
      <c r="D55" s="21"/>
      <c r="E55" s="25"/>
      <c r="F55" s="21"/>
      <c r="G55" s="21"/>
      <c r="H55" s="21"/>
      <c r="I55" s="21"/>
      <c r="J55" s="21"/>
      <c r="K55" s="21"/>
      <c r="L55" s="21"/>
      <c r="M55" s="21"/>
      <c r="N55" s="21"/>
      <c r="O55" s="21"/>
      <c r="P55" s="85"/>
      <c r="Q55" s="21"/>
    </row>
    <row r="56" spans="1:17" s="2" customFormat="1" ht="14.25">
      <c r="A56" s="277" t="s">
        <v>633</v>
      </c>
      <c r="B56" s="21"/>
      <c r="C56" s="21"/>
      <c r="D56" s="21"/>
      <c r="E56" s="25" t="s">
        <v>12</v>
      </c>
      <c r="F56" s="21"/>
      <c r="G56" s="21"/>
      <c r="H56" s="21"/>
      <c r="I56" s="21"/>
      <c r="J56" s="21"/>
      <c r="K56" s="197">
        <f>BR+PT+IP+LCN+IG-K-AUM-CGSSP+CGSRA</f>
        <v>0</v>
      </c>
      <c r="L56" s="197">
        <f>BR+PT+IP+LCN+IG-K-AUM-CGSSP+CGSRA</f>
        <v>0</v>
      </c>
      <c r="M56" s="197">
        <f>BR+PT+IP+LCN+IG-K-AUM-CGSSP+CGSRA</f>
        <v>0</v>
      </c>
      <c r="N56" s="197">
        <f>BR+PT+IP+LCN+IG-K-AUM-CGSSP+CGSRA</f>
        <v>0</v>
      </c>
      <c r="O56" s="197">
        <f>BR+PT+IP+LCN+IG-K-AUM-CGSSP+CGSRA</f>
        <v>0</v>
      </c>
      <c r="P56" s="257"/>
      <c r="Q56" s="21"/>
    </row>
    <row r="57" spans="1:17" s="2" customFormat="1" ht="12.75">
      <c r="A57" s="81"/>
      <c r="B57" s="21"/>
      <c r="C57" s="21"/>
      <c r="D57" s="21"/>
      <c r="E57" s="25"/>
      <c r="F57" s="21"/>
      <c r="G57" s="21"/>
      <c r="H57" s="21"/>
      <c r="I57" s="21"/>
      <c r="J57" s="21"/>
      <c r="K57" s="25"/>
      <c r="L57" s="25"/>
      <c r="M57" s="25"/>
      <c r="N57" s="25"/>
      <c r="O57" s="25"/>
      <c r="P57" s="257"/>
      <c r="Q57" s="21"/>
    </row>
    <row r="58" spans="1:17" s="2" customFormat="1" ht="15">
      <c r="A58" s="279" t="s">
        <v>410</v>
      </c>
      <c r="B58" s="21"/>
      <c r="C58" s="21"/>
      <c r="D58" s="21"/>
      <c r="E58" s="25" t="s">
        <v>12</v>
      </c>
      <c r="F58" s="21"/>
      <c r="G58" s="21"/>
      <c r="H58" s="21"/>
      <c r="I58" s="21"/>
      <c r="J58" s="21"/>
      <c r="K58" s="259">
        <f>RD</f>
        <v>0</v>
      </c>
      <c r="L58" s="259">
        <f>RD</f>
        <v>0</v>
      </c>
      <c r="M58" s="259">
        <f>RD</f>
        <v>0</v>
      </c>
      <c r="N58" s="259">
        <f>RD</f>
        <v>0</v>
      </c>
      <c r="O58" s="259">
        <f>RD</f>
        <v>0</v>
      </c>
      <c r="P58" s="257"/>
      <c r="Q58" s="21"/>
    </row>
    <row r="59" spans="1:17" s="2" customFormat="1" ht="9" customHeight="1">
      <c r="A59" s="279"/>
      <c r="B59" s="21"/>
      <c r="C59" s="21"/>
      <c r="D59" s="21"/>
      <c r="E59" s="25"/>
      <c r="F59" s="21"/>
      <c r="G59" s="21"/>
      <c r="H59" s="21"/>
      <c r="I59" s="21"/>
      <c r="J59" s="21"/>
      <c r="K59" s="25"/>
      <c r="L59" s="25"/>
      <c r="M59" s="25"/>
      <c r="N59" s="25"/>
      <c r="O59" s="25"/>
      <c r="P59" s="257"/>
      <c r="Q59" s="21"/>
    </row>
    <row r="60" spans="1:17" s="2" customFormat="1" ht="12.75">
      <c r="A60" s="45" t="s">
        <v>468</v>
      </c>
      <c r="B60" s="21"/>
      <c r="C60" s="21"/>
      <c r="D60" s="21"/>
      <c r="E60" s="25" t="s">
        <v>12</v>
      </c>
      <c r="F60" s="21"/>
      <c r="G60" s="21"/>
      <c r="H60" s="21"/>
      <c r="I60" s="21"/>
      <c r="J60" s="21"/>
      <c r="K60" s="196">
        <f>K58-K56</f>
        <v>0</v>
      </c>
      <c r="L60" s="196">
        <f>L58-L56</f>
        <v>0</v>
      </c>
      <c r="M60" s="196">
        <f>M58-M56</f>
        <v>0</v>
      </c>
      <c r="N60" s="196">
        <f>N58-N56</f>
        <v>0</v>
      </c>
      <c r="O60" s="196">
        <f>O58-O56</f>
        <v>0</v>
      </c>
      <c r="P60" s="257"/>
      <c r="Q60" s="21"/>
    </row>
    <row r="61" spans="1:17" s="2" customFormat="1" ht="9" customHeight="1">
      <c r="A61" s="81"/>
      <c r="B61" s="21"/>
      <c r="C61" s="21"/>
      <c r="D61" s="21"/>
      <c r="E61" s="25"/>
      <c r="F61" s="21"/>
      <c r="G61" s="21"/>
      <c r="H61" s="21"/>
      <c r="I61" s="21"/>
      <c r="J61" s="21"/>
      <c r="K61" s="25"/>
      <c r="L61" s="25"/>
      <c r="M61" s="25"/>
      <c r="N61" s="25"/>
      <c r="O61" s="25"/>
      <c r="P61" s="257"/>
      <c r="Q61" s="21"/>
    </row>
    <row r="62" spans="1:17" s="2" customFormat="1" ht="9" customHeight="1">
      <c r="A62" s="81"/>
      <c r="B62" s="21"/>
      <c r="C62" s="21"/>
      <c r="D62" s="21"/>
      <c r="E62" s="25"/>
      <c r="F62" s="21"/>
      <c r="G62" s="21"/>
      <c r="H62" s="21"/>
      <c r="I62" s="21"/>
      <c r="J62" s="21"/>
      <c r="K62" s="21"/>
      <c r="L62" s="21"/>
      <c r="M62" s="21"/>
      <c r="N62" s="21"/>
      <c r="O62" s="21"/>
      <c r="P62" s="21"/>
      <c r="Q62" s="21"/>
    </row>
    <row r="63" spans="1:17" s="2" customFormat="1" ht="15">
      <c r="A63" s="279" t="s">
        <v>445</v>
      </c>
      <c r="B63" s="21"/>
      <c r="C63" s="21"/>
      <c r="D63" s="21"/>
      <c r="E63" s="25"/>
      <c r="F63" s="21"/>
      <c r="G63" s="21"/>
      <c r="H63" s="21"/>
      <c r="I63" s="21"/>
      <c r="J63" s="21"/>
      <c r="K63" s="21"/>
      <c r="L63" s="21"/>
      <c r="M63" s="21"/>
      <c r="N63" s="21"/>
      <c r="O63" s="21"/>
      <c r="P63" s="21"/>
      <c r="Q63" s="21"/>
    </row>
    <row r="64" spans="1:17" s="2" customFormat="1" ht="12.75">
      <c r="A64" s="77" t="s">
        <v>446</v>
      </c>
      <c r="B64" s="21"/>
      <c r="C64" s="21"/>
      <c r="D64" s="21"/>
      <c r="E64" s="25" t="s">
        <v>12</v>
      </c>
      <c r="F64" s="21"/>
      <c r="G64" s="21"/>
      <c r="H64" s="21"/>
      <c r="I64" s="21"/>
      <c r="J64" s="21"/>
      <c r="K64" s="259">
        <f>MAP</f>
        <v>0</v>
      </c>
      <c r="L64" s="259">
        <f>MAP</f>
        <v>0</v>
      </c>
      <c r="M64" s="259">
        <f>MAP</f>
        <v>0</v>
      </c>
      <c r="N64" s="259">
        <f>MAP</f>
        <v>0</v>
      </c>
      <c r="O64" s="259">
        <f>MAP</f>
        <v>0</v>
      </c>
      <c r="P64" s="21"/>
      <c r="Q64" s="21"/>
    </row>
    <row r="65" spans="1:17" s="2" customFormat="1" ht="9" customHeight="1">
      <c r="A65" s="81"/>
      <c r="B65" s="21"/>
      <c r="C65" s="21"/>
      <c r="D65" s="21"/>
      <c r="E65" s="25"/>
      <c r="F65" s="21"/>
      <c r="G65" s="21"/>
      <c r="H65" s="21"/>
      <c r="I65" s="21"/>
      <c r="J65" s="21"/>
      <c r="K65" s="21"/>
      <c r="L65" s="21"/>
      <c r="M65" s="21"/>
      <c r="N65" s="21"/>
      <c r="O65" s="21"/>
      <c r="P65" s="21"/>
      <c r="Q65" s="21"/>
    </row>
    <row r="66" spans="1:17" s="2" customFormat="1" ht="15">
      <c r="A66" s="279" t="s">
        <v>34</v>
      </c>
      <c r="B66" s="21"/>
      <c r="C66" s="21"/>
      <c r="D66" s="21"/>
      <c r="E66" s="25"/>
      <c r="F66" s="21"/>
      <c r="G66" s="21"/>
      <c r="H66" s="21"/>
      <c r="I66" s="21"/>
      <c r="J66" s="21"/>
      <c r="K66" s="21"/>
      <c r="L66" s="21"/>
      <c r="M66" s="21"/>
      <c r="N66" s="21"/>
      <c r="O66" s="21"/>
      <c r="P66" s="21"/>
      <c r="Q66" s="21"/>
    </row>
    <row r="67" spans="1:17" s="2" customFormat="1" ht="12.75">
      <c r="A67" s="81" t="s">
        <v>450</v>
      </c>
      <c r="B67" s="21"/>
      <c r="C67" s="21"/>
      <c r="D67" s="21"/>
      <c r="E67" s="25" t="s">
        <v>12</v>
      </c>
      <c r="F67" s="21"/>
      <c r="G67" s="21"/>
      <c r="H67" s="21"/>
      <c r="I67" s="21"/>
      <c r="J67" s="21"/>
      <c r="K67" s="259">
        <f>ES_1</f>
        <v>0</v>
      </c>
      <c r="L67" s="259">
        <f>ES_1</f>
        <v>0</v>
      </c>
      <c r="M67" s="259">
        <f>ES_1</f>
        <v>0</v>
      </c>
      <c r="N67" s="259">
        <f>ES_1</f>
        <v>0</v>
      </c>
      <c r="O67" s="259">
        <f>ES_1</f>
        <v>0</v>
      </c>
      <c r="P67" s="21"/>
      <c r="Q67" s="21"/>
    </row>
    <row r="68" spans="1:17" s="2" customFormat="1" ht="12.75">
      <c r="A68" s="41" t="s">
        <v>451</v>
      </c>
      <c r="B68" s="21"/>
      <c r="C68" s="21"/>
      <c r="D68" s="21"/>
      <c r="E68" s="25" t="s">
        <v>12</v>
      </c>
      <c r="F68" s="21"/>
      <c r="G68" s="21"/>
      <c r="H68" s="21"/>
      <c r="I68" s="21"/>
      <c r="J68" s="21"/>
      <c r="K68" s="259">
        <f>ES_2</f>
        <v>0</v>
      </c>
      <c r="L68" s="259">
        <f>ES_2</f>
        <v>0</v>
      </c>
      <c r="M68" s="259">
        <f>ES_2</f>
        <v>0</v>
      </c>
      <c r="N68" s="259">
        <f>ES_2</f>
        <v>0</v>
      </c>
      <c r="O68" s="259">
        <f>ES_2</f>
        <v>0</v>
      </c>
      <c r="P68" s="21"/>
      <c r="Q68" s="21"/>
    </row>
    <row r="69" spans="1:17" s="2" customFormat="1" ht="12.75">
      <c r="A69" s="41" t="s">
        <v>453</v>
      </c>
      <c r="B69" s="21"/>
      <c r="C69" s="21"/>
      <c r="D69" s="21"/>
      <c r="E69" s="25" t="s">
        <v>12</v>
      </c>
      <c r="F69" s="21"/>
      <c r="G69" s="21"/>
      <c r="H69" s="21"/>
      <c r="I69" s="21"/>
      <c r="J69" s="21"/>
      <c r="K69" s="259">
        <f>ES_3</f>
        <v>0</v>
      </c>
      <c r="L69" s="259">
        <f>ES_3</f>
        <v>0</v>
      </c>
      <c r="M69" s="259">
        <f>ES_3</f>
        <v>0</v>
      </c>
      <c r="N69" s="259">
        <f>ES_3</f>
        <v>0</v>
      </c>
      <c r="O69" s="259">
        <f>ES_3</f>
        <v>0</v>
      </c>
      <c r="P69" s="21"/>
      <c r="Q69" s="21"/>
    </row>
    <row r="70" spans="1:17" s="2" customFormat="1" ht="12.75">
      <c r="A70" s="41" t="s">
        <v>456</v>
      </c>
      <c r="B70" s="21"/>
      <c r="C70" s="21"/>
      <c r="D70" s="21"/>
      <c r="E70" s="25" t="s">
        <v>12</v>
      </c>
      <c r="F70" s="21"/>
      <c r="G70" s="21"/>
      <c r="H70" s="21"/>
      <c r="I70" s="21"/>
      <c r="J70" s="21"/>
      <c r="K70" s="259">
        <f>-ES_4</f>
        <v>0</v>
      </c>
      <c r="L70" s="259">
        <f>-ES_4</f>
        <v>0</v>
      </c>
      <c r="M70" s="259">
        <f>-ES_4</f>
        <v>0</v>
      </c>
      <c r="N70" s="259">
        <f>-ES_4</f>
        <v>0</v>
      </c>
      <c r="O70" s="259">
        <f>-ES_4</f>
        <v>0</v>
      </c>
      <c r="P70" s="21"/>
      <c r="Q70" s="21"/>
    </row>
    <row r="71" spans="1:17" s="2" customFormat="1" ht="12.75">
      <c r="A71" s="41" t="s">
        <v>460</v>
      </c>
      <c r="B71" s="21"/>
      <c r="C71" s="21"/>
      <c r="D71" s="21"/>
      <c r="E71" s="25" t="s">
        <v>12</v>
      </c>
      <c r="F71" s="21"/>
      <c r="G71" s="21"/>
      <c r="H71" s="21"/>
      <c r="I71" s="21"/>
      <c r="J71" s="21"/>
      <c r="K71" s="259">
        <f>ES_5</f>
        <v>0</v>
      </c>
      <c r="L71" s="259">
        <f>ES_5</f>
        <v>0</v>
      </c>
      <c r="M71" s="259">
        <f>ES_5</f>
        <v>0</v>
      </c>
      <c r="N71" s="259">
        <f>ES_5</f>
        <v>0</v>
      </c>
      <c r="O71" s="259">
        <f>ES_5</f>
        <v>0</v>
      </c>
      <c r="P71" s="21"/>
      <c r="Q71" s="21"/>
    </row>
    <row r="72" spans="1:17" s="2" customFormat="1" ht="12.75">
      <c r="A72" s="41" t="s">
        <v>464</v>
      </c>
      <c r="B72" s="21"/>
      <c r="C72" s="21"/>
      <c r="D72" s="21"/>
      <c r="E72" s="25" t="s">
        <v>12</v>
      </c>
      <c r="F72" s="21"/>
      <c r="G72" s="21"/>
      <c r="H72" s="21"/>
      <c r="I72" s="21"/>
      <c r="J72" s="21"/>
      <c r="K72" s="259">
        <f>ES_6</f>
        <v>0</v>
      </c>
      <c r="L72" s="259">
        <f>ES_6</f>
        <v>0</v>
      </c>
      <c r="M72" s="259">
        <f>ES_6</f>
        <v>0</v>
      </c>
      <c r="N72" s="259">
        <f>ES_6</f>
        <v>0</v>
      </c>
      <c r="O72" s="259">
        <f>ES_6</f>
        <v>0</v>
      </c>
      <c r="P72" s="21"/>
      <c r="Q72" s="21"/>
    </row>
    <row r="73" spans="1:17" s="2" customFormat="1" ht="12.75">
      <c r="A73" s="41" t="s">
        <v>461</v>
      </c>
      <c r="B73" s="21"/>
      <c r="C73" s="21"/>
      <c r="D73" s="21"/>
      <c r="E73" s="25" t="s">
        <v>12</v>
      </c>
      <c r="F73" s="21"/>
      <c r="G73" s="21"/>
      <c r="H73" s="21"/>
      <c r="I73" s="21"/>
      <c r="J73" s="21"/>
      <c r="K73" s="259">
        <f>ES_7</f>
        <v>0</v>
      </c>
      <c r="L73" s="259">
        <f>ES_7</f>
        <v>0</v>
      </c>
      <c r="M73" s="259">
        <f>ES_7</f>
        <v>0</v>
      </c>
      <c r="N73" s="259">
        <f>ES_7</f>
        <v>0</v>
      </c>
      <c r="O73" s="259">
        <f>ES_7</f>
        <v>0</v>
      </c>
      <c r="P73" s="21"/>
      <c r="Q73" s="21"/>
    </row>
    <row r="74" spans="1:17" s="2" customFormat="1" ht="12.75">
      <c r="A74" s="81" t="s">
        <v>462</v>
      </c>
      <c r="B74" s="21"/>
      <c r="C74" s="21"/>
      <c r="D74" s="21"/>
      <c r="E74" s="25" t="s">
        <v>12</v>
      </c>
      <c r="F74" s="21"/>
      <c r="G74" s="21"/>
      <c r="H74" s="21"/>
      <c r="I74" s="21"/>
      <c r="J74" s="21"/>
      <c r="K74" s="196">
        <f>ES_Total</f>
        <v>0</v>
      </c>
      <c r="L74" s="196">
        <f>ES_Total</f>
        <v>0</v>
      </c>
      <c r="M74" s="196">
        <f>ES_Total</f>
        <v>0</v>
      </c>
      <c r="N74" s="196">
        <f>ES_Total</f>
        <v>0</v>
      </c>
      <c r="O74" s="196">
        <f>ES_Total</f>
        <v>0</v>
      </c>
      <c r="P74" s="21"/>
      <c r="Q74" s="21"/>
    </row>
    <row r="75" spans="1:17" s="2" customFormat="1" ht="12.75">
      <c r="A75" s="81"/>
      <c r="B75" s="21"/>
      <c r="C75" s="21"/>
      <c r="D75" s="21"/>
      <c r="E75" s="25"/>
      <c r="F75" s="21"/>
      <c r="G75" s="21"/>
      <c r="H75" s="21"/>
      <c r="I75" s="21"/>
      <c r="J75" s="21"/>
      <c r="K75" s="21"/>
      <c r="L75" s="21"/>
      <c r="M75" s="21"/>
      <c r="N75" s="21"/>
      <c r="O75" s="21"/>
      <c r="P75" s="21"/>
      <c r="Q75" s="21"/>
    </row>
    <row r="76" spans="1:17" s="2" customFormat="1" ht="12.75">
      <c r="A76" s="81"/>
      <c r="B76" s="21"/>
      <c r="C76" s="21"/>
      <c r="D76" s="21"/>
      <c r="E76" s="25"/>
      <c r="F76" s="21"/>
      <c r="G76" s="21"/>
      <c r="H76" s="21"/>
      <c r="I76" s="21"/>
      <c r="J76" s="21"/>
      <c r="K76" s="21"/>
      <c r="L76" s="21"/>
      <c r="M76" s="21"/>
      <c r="N76" s="21"/>
      <c r="O76" s="21"/>
      <c r="P76" s="21"/>
      <c r="Q76" s="21"/>
    </row>
    <row r="77" spans="1:17" s="2" customFormat="1" ht="15">
      <c r="A77" s="279" t="s">
        <v>49</v>
      </c>
      <c r="B77" s="21"/>
      <c r="C77" s="21"/>
      <c r="D77" s="21"/>
      <c r="E77" s="25"/>
      <c r="F77" s="21"/>
      <c r="G77" s="21"/>
      <c r="H77" s="21"/>
      <c r="I77" s="21"/>
      <c r="J77" s="21"/>
      <c r="K77" s="21"/>
      <c r="L77" s="21"/>
      <c r="M77" s="21"/>
      <c r="N77" s="21"/>
      <c r="O77" s="21"/>
      <c r="P77" s="21"/>
      <c r="Q77" s="21"/>
    </row>
    <row r="78" spans="1:17" s="2" customFormat="1" ht="12.75">
      <c r="A78" s="272" t="s">
        <v>673</v>
      </c>
      <c r="B78" s="21"/>
      <c r="C78" s="21"/>
      <c r="D78" s="21"/>
      <c r="E78" s="25" t="s">
        <v>12</v>
      </c>
      <c r="F78" s="21"/>
      <c r="G78" s="21"/>
      <c r="H78" s="21"/>
      <c r="I78" s="21"/>
      <c r="J78" s="21"/>
      <c r="K78" s="259">
        <f>Out_Area_UoS</f>
        <v>0</v>
      </c>
      <c r="L78" s="259">
        <f>Out_Area_UoS</f>
        <v>0</v>
      </c>
      <c r="M78" s="259">
        <f>Out_Area_UoS</f>
        <v>0</v>
      </c>
      <c r="N78" s="259">
        <f>Out_Area_UoS</f>
        <v>0</v>
      </c>
      <c r="O78" s="259">
        <f>Out_Area_UoS</f>
        <v>0</v>
      </c>
      <c r="P78" s="21"/>
      <c r="Q78" s="21"/>
    </row>
    <row r="79" spans="1:17" s="2" customFormat="1" ht="12.75">
      <c r="A79" s="272" t="s">
        <v>660</v>
      </c>
      <c r="B79" s="21"/>
      <c r="C79" s="21"/>
      <c r="D79" s="21"/>
      <c r="E79" s="25" t="s">
        <v>12</v>
      </c>
      <c r="F79" s="21"/>
      <c r="G79" s="21"/>
      <c r="H79" s="21"/>
      <c r="I79" s="21"/>
      <c r="J79" s="21"/>
      <c r="K79" s="259">
        <f>Out_Area_other</f>
        <v>0</v>
      </c>
      <c r="L79" s="259">
        <f>Out_Area_other</f>
        <v>0</v>
      </c>
      <c r="M79" s="259">
        <f>Out_Area_other</f>
        <v>0</v>
      </c>
      <c r="N79" s="259">
        <f>Out_Area_other</f>
        <v>0</v>
      </c>
      <c r="O79" s="259">
        <f>Out_Area_other</f>
        <v>0</v>
      </c>
      <c r="P79" s="21"/>
      <c r="Q79" s="21"/>
    </row>
    <row r="80" spans="1:17" s="2" customFormat="1" ht="12.75">
      <c r="A80" s="81" t="s">
        <v>447</v>
      </c>
      <c r="B80" s="21"/>
      <c r="C80" s="21"/>
      <c r="D80" s="21"/>
      <c r="E80" s="25" t="s">
        <v>12</v>
      </c>
      <c r="F80" s="21"/>
      <c r="G80" s="21"/>
      <c r="H80" s="21"/>
      <c r="I80" s="21"/>
      <c r="J80" s="21"/>
      <c r="K80" s="259">
        <f>De_minimis</f>
        <v>0</v>
      </c>
      <c r="L80" s="259">
        <f>De_minimis</f>
        <v>0</v>
      </c>
      <c r="M80" s="259">
        <f>De_minimis</f>
        <v>0</v>
      </c>
      <c r="N80" s="259">
        <f>De_minimis</f>
        <v>0</v>
      </c>
      <c r="O80" s="259">
        <f>De_minimis</f>
        <v>0</v>
      </c>
      <c r="P80" s="21"/>
      <c r="Q80" s="21"/>
    </row>
    <row r="81" spans="1:17" s="2" customFormat="1" ht="12.75">
      <c r="A81" s="277"/>
      <c r="B81" s="21"/>
      <c r="C81" s="21"/>
      <c r="D81" s="21"/>
      <c r="E81" s="25"/>
      <c r="F81" s="21"/>
      <c r="G81" s="21"/>
      <c r="H81" s="21"/>
      <c r="I81" s="21"/>
      <c r="J81" s="21"/>
      <c r="K81" s="21"/>
      <c r="L81" s="21"/>
      <c r="M81" s="21"/>
      <c r="N81" s="21"/>
      <c r="O81" s="21"/>
      <c r="P81" s="21"/>
      <c r="Q81" s="21"/>
    </row>
    <row r="82" spans="1:17" ht="12.75" hidden="1"/>
    <row r="83" spans="1:17" ht="12.75" hidden="1"/>
    <row r="84" spans="1:17" ht="12.75" hidden="1"/>
    <row r="85" spans="1:17" ht="12.75" hidden="1"/>
    <row r="86" spans="1:17" ht="12.75" hidden="1"/>
    <row r="87" spans="1:17" ht="12.75" hidden="1"/>
    <row r="88" spans="1:17" ht="12.75" hidden="1"/>
    <row r="89" spans="1:17" ht="12.75" hidden="1"/>
    <row r="90" spans="1:17" ht="12.75" hidden="1"/>
    <row r="91" spans="1:17" ht="12.75" hidden="1"/>
    <row r="92" spans="1:17" ht="12.75" hidden="1"/>
    <row r="93" spans="1:17" ht="12.75" hidden="1"/>
    <row r="94" spans="1:17" ht="12.75" hidden="1"/>
    <row r="95" spans="1:17" ht="12.75" hidden="1"/>
    <row r="96" spans="1:17" ht="12.75" hidden="1"/>
    <row r="97" ht="12.75" hidden="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sheetData>
  <sheetProtection password="E1CD" sheet="1" objects="1" scenarios="1" formatCells="0" formatColumns="0" formatRows="0" insertHyperlinks="0" autoFilter="0" pivotTables="0"/>
  <mergeCells count="1">
    <mergeCell ref="K3:M3"/>
  </mergeCells>
  <pageMargins left="0.19685039370078741" right="0.19685039370078741" top="0.39370078740157483" bottom="0.59055118110236227" header="0.11811023622047245" footer="0.11811023622047245"/>
  <pageSetup paperSize="9" fitToHeight="0" orientation="landscape" r:id="rId1"/>
  <headerFooter>
    <oddHeader>&amp;C&amp;A</oddHeader>
    <oddFooter>&amp;L&amp;D &amp;T&amp;C&amp;Z&amp;F&amp;R&amp;A</oddFooter>
  </headerFooter>
  <rowBreaks count="2" manualBreakCount="2">
    <brk id="34" max="16383" man="1"/>
    <brk id="61" max="16383" man="1"/>
  </rowBreaks>
</worksheet>
</file>

<file path=xl/worksheets/sheet2.xml><?xml version="1.0" encoding="utf-8"?>
<worksheet xmlns="http://schemas.openxmlformats.org/spreadsheetml/2006/main" xmlns:r="http://schemas.openxmlformats.org/officeDocument/2006/relationships">
  <sheetPr codeName="Sheet11">
    <tabColor rgb="FFFFC000"/>
  </sheetPr>
  <dimension ref="A1:N81"/>
  <sheetViews>
    <sheetView zoomScaleNormal="100" workbookViewId="0">
      <pane ySplit="3" topLeftCell="A4" activePane="bottomLeft" state="frozen"/>
      <selection pane="bottomLeft" activeCell="A4" sqref="A4"/>
    </sheetView>
  </sheetViews>
  <sheetFormatPr defaultColWidth="0" defaultRowHeight="12.75" zeroHeight="1"/>
  <cols>
    <col min="1" max="1" width="20.375" style="10" customWidth="1"/>
    <col min="2" max="4" width="9" style="10" customWidth="1"/>
    <col min="5" max="5" width="9" style="13" customWidth="1"/>
    <col min="6" max="14" width="9" style="10" customWidth="1"/>
    <col min="15" max="16384" width="9" style="10" hidden="1"/>
  </cols>
  <sheetData>
    <row r="1" spans="1:14" s="5" customFormat="1" ht="18">
      <c r="A1" s="191" t="s">
        <v>480</v>
      </c>
      <c r="C1" s="7"/>
      <c r="E1" s="61"/>
    </row>
    <row r="2" spans="1:14" s="5" customFormat="1" ht="18">
      <c r="A2" s="191" t="str">
        <f>COMPNAME</f>
        <v>Company Name of Electricity Distribution Network Operator Limited</v>
      </c>
      <c r="C2" s="7"/>
      <c r="E2" s="61"/>
    </row>
    <row r="3" spans="1:14" s="5" customFormat="1">
      <c r="A3" s="155" t="str">
        <f>'R5 Input page'!K8</f>
        <v>Regulatory Year ending 31 March 2012</v>
      </c>
      <c r="E3" s="61"/>
    </row>
    <row r="4" spans="1:14">
      <c r="A4" s="14"/>
      <c r="B4" s="14"/>
      <c r="C4" s="14"/>
      <c r="D4" s="14"/>
      <c r="E4" s="96"/>
      <c r="F4" s="14"/>
      <c r="G4" s="14"/>
      <c r="H4" s="14"/>
      <c r="I4" s="14"/>
      <c r="J4" s="14"/>
      <c r="K4" s="14"/>
      <c r="L4" s="14"/>
      <c r="M4" s="14"/>
      <c r="N4" s="14"/>
    </row>
    <row r="5" spans="1:14">
      <c r="A5" s="14"/>
      <c r="B5" s="14"/>
      <c r="C5" s="14"/>
      <c r="D5" s="14"/>
      <c r="E5" s="96"/>
      <c r="F5" s="14"/>
      <c r="G5" s="14"/>
      <c r="H5" s="14"/>
      <c r="I5" s="14"/>
      <c r="J5" s="14"/>
      <c r="K5" s="14"/>
      <c r="L5" s="14"/>
      <c r="M5" s="14"/>
      <c r="N5" s="14"/>
    </row>
    <row r="6" spans="1:14">
      <c r="A6" s="14"/>
      <c r="B6" s="14"/>
      <c r="C6" s="14"/>
      <c r="D6" s="14"/>
      <c r="E6" s="96"/>
      <c r="F6" s="14"/>
      <c r="G6" s="14"/>
      <c r="H6" s="14"/>
      <c r="I6" s="14"/>
      <c r="J6" s="14"/>
      <c r="K6" s="14"/>
      <c r="L6" s="14"/>
      <c r="M6" s="14"/>
      <c r="N6" s="14"/>
    </row>
    <row r="7" spans="1:14">
      <c r="A7" s="14"/>
      <c r="B7" s="14"/>
      <c r="C7" s="14"/>
      <c r="D7" s="14"/>
      <c r="E7" s="96"/>
      <c r="F7" s="14"/>
      <c r="G7" s="14"/>
      <c r="H7" s="14"/>
      <c r="I7" s="14"/>
      <c r="J7" s="14"/>
      <c r="K7" s="14"/>
      <c r="L7" s="14"/>
      <c r="M7" s="14"/>
      <c r="N7" s="14"/>
    </row>
    <row r="8" spans="1:14">
      <c r="A8" s="14"/>
      <c r="B8" s="14"/>
      <c r="C8" s="14"/>
      <c r="D8" s="14"/>
      <c r="E8" s="96"/>
      <c r="F8" s="14"/>
      <c r="G8" s="14"/>
      <c r="H8" s="14"/>
      <c r="I8" s="14"/>
      <c r="J8" s="14"/>
      <c r="K8" s="14"/>
      <c r="L8" s="14"/>
      <c r="M8" s="14"/>
      <c r="N8" s="14"/>
    </row>
    <row r="9" spans="1:14">
      <c r="A9" s="14"/>
      <c r="B9" s="14"/>
      <c r="C9" s="14"/>
      <c r="D9" s="14"/>
      <c r="E9" s="96"/>
      <c r="F9" s="14"/>
      <c r="G9" s="14"/>
      <c r="H9" s="14"/>
      <c r="I9" s="14"/>
      <c r="J9" s="14"/>
      <c r="K9" s="14"/>
      <c r="L9" s="14"/>
      <c r="M9" s="14"/>
      <c r="N9" s="14"/>
    </row>
    <row r="10" spans="1:14">
      <c r="A10" s="14"/>
      <c r="B10" s="14"/>
      <c r="C10" s="14"/>
      <c r="D10" s="14"/>
      <c r="E10" s="96"/>
      <c r="F10" s="14"/>
      <c r="G10" s="14"/>
      <c r="H10" s="14"/>
      <c r="I10" s="14"/>
      <c r="J10" s="14"/>
      <c r="K10" s="14"/>
      <c r="L10" s="14"/>
      <c r="M10" s="14"/>
      <c r="N10" s="14"/>
    </row>
    <row r="11" spans="1:14">
      <c r="A11" s="14"/>
      <c r="B11" s="14"/>
      <c r="C11" s="14"/>
      <c r="D11" s="14"/>
      <c r="E11" s="96"/>
      <c r="F11" s="14"/>
      <c r="G11" s="14"/>
      <c r="H11" s="14"/>
      <c r="I11" s="14"/>
      <c r="J11" s="14"/>
      <c r="K11" s="14"/>
      <c r="L11" s="14"/>
      <c r="M11" s="14"/>
      <c r="N11" s="14"/>
    </row>
    <row r="12" spans="1:14">
      <c r="A12" s="14"/>
      <c r="B12" s="14"/>
      <c r="C12" s="14"/>
      <c r="D12" s="14"/>
      <c r="E12" s="96"/>
      <c r="F12" s="14"/>
      <c r="G12" s="14"/>
      <c r="H12" s="14"/>
      <c r="I12" s="14"/>
      <c r="J12" s="14"/>
      <c r="K12" s="14"/>
      <c r="L12" s="14"/>
      <c r="M12" s="14"/>
      <c r="N12" s="14"/>
    </row>
    <row r="13" spans="1:14">
      <c r="A13" s="14"/>
      <c r="B13" s="14"/>
      <c r="C13" s="14"/>
      <c r="D13" s="14"/>
      <c r="E13" s="96"/>
      <c r="F13" s="14"/>
      <c r="G13" s="14"/>
      <c r="H13" s="14"/>
      <c r="I13" s="14"/>
      <c r="J13" s="14"/>
      <c r="K13" s="14"/>
      <c r="L13" s="14"/>
      <c r="M13" s="14"/>
      <c r="N13" s="14"/>
    </row>
    <row r="14" spans="1:14">
      <c r="A14" s="14"/>
      <c r="B14" s="14"/>
      <c r="C14" s="14"/>
      <c r="D14" s="14"/>
      <c r="E14" s="96"/>
      <c r="F14" s="14"/>
      <c r="G14" s="14"/>
      <c r="H14" s="14"/>
      <c r="I14" s="14"/>
      <c r="J14" s="14"/>
      <c r="K14" s="14"/>
      <c r="L14" s="14"/>
      <c r="M14" s="14"/>
      <c r="N14" s="14"/>
    </row>
    <row r="15" spans="1:14">
      <c r="A15" s="14"/>
      <c r="B15" s="14"/>
      <c r="C15" s="14"/>
      <c r="D15" s="14"/>
      <c r="E15" s="96"/>
      <c r="F15" s="14"/>
      <c r="G15" s="14"/>
      <c r="H15" s="14"/>
      <c r="I15" s="14"/>
      <c r="J15" s="14"/>
      <c r="K15" s="14"/>
      <c r="L15" s="14"/>
      <c r="M15" s="14"/>
      <c r="N15" s="14"/>
    </row>
    <row r="16" spans="1:14">
      <c r="A16" s="14"/>
      <c r="B16" s="14"/>
      <c r="C16" s="14"/>
      <c r="D16" s="14"/>
      <c r="E16" s="96"/>
      <c r="F16" s="14"/>
      <c r="G16" s="14"/>
      <c r="H16" s="14"/>
      <c r="I16" s="14"/>
      <c r="J16" s="14"/>
      <c r="K16" s="14"/>
      <c r="L16" s="14"/>
      <c r="M16" s="14"/>
      <c r="N16" s="14"/>
    </row>
    <row r="17" spans="1:14">
      <c r="A17" s="14"/>
      <c r="B17" s="14"/>
      <c r="C17" s="14"/>
      <c r="D17" s="14"/>
      <c r="E17" s="96"/>
      <c r="F17" s="14"/>
      <c r="G17" s="14"/>
      <c r="H17" s="14"/>
      <c r="I17" s="14"/>
      <c r="J17" s="14"/>
      <c r="K17" s="14"/>
      <c r="L17" s="14"/>
      <c r="M17" s="14"/>
      <c r="N17" s="14"/>
    </row>
    <row r="18" spans="1:14">
      <c r="A18" s="14"/>
      <c r="B18" s="14"/>
      <c r="C18" s="14"/>
      <c r="D18" s="14"/>
      <c r="E18" s="96"/>
      <c r="F18" s="14"/>
      <c r="G18" s="14"/>
      <c r="H18" s="14"/>
      <c r="I18" s="14"/>
      <c r="J18" s="14"/>
      <c r="K18" s="14"/>
      <c r="L18" s="14"/>
      <c r="M18" s="14"/>
      <c r="N18" s="14"/>
    </row>
    <row r="19" spans="1:14">
      <c r="A19" s="14"/>
      <c r="B19" s="14"/>
      <c r="C19" s="14"/>
      <c r="D19" s="14"/>
      <c r="E19" s="96"/>
      <c r="F19" s="14"/>
      <c r="G19" s="14"/>
      <c r="H19" s="14"/>
      <c r="I19" s="14"/>
      <c r="J19" s="14"/>
      <c r="K19" s="14"/>
      <c r="L19" s="14"/>
      <c r="M19" s="14"/>
      <c r="N19" s="14"/>
    </row>
    <row r="20" spans="1:14">
      <c r="A20" s="14"/>
      <c r="B20" s="14"/>
      <c r="C20" s="14"/>
      <c r="D20" s="14"/>
      <c r="E20" s="96"/>
      <c r="F20" s="14"/>
      <c r="G20" s="14"/>
      <c r="H20" s="14"/>
      <c r="I20" s="14"/>
      <c r="J20" s="14"/>
      <c r="K20" s="14"/>
      <c r="L20" s="14"/>
      <c r="M20" s="14"/>
      <c r="N20" s="14"/>
    </row>
    <row r="21" spans="1:14">
      <c r="A21" s="14"/>
      <c r="B21" s="14"/>
      <c r="C21" s="14"/>
      <c r="D21" s="14"/>
      <c r="E21" s="96"/>
      <c r="F21" s="14"/>
      <c r="G21" s="14"/>
      <c r="H21" s="14"/>
      <c r="I21" s="14"/>
      <c r="J21" s="14"/>
      <c r="K21" s="14"/>
      <c r="L21" s="14"/>
      <c r="M21" s="14"/>
      <c r="N21" s="14"/>
    </row>
    <row r="22" spans="1:14">
      <c r="A22" s="14"/>
      <c r="B22" s="14"/>
      <c r="C22" s="14"/>
      <c r="D22" s="14"/>
      <c r="E22" s="96"/>
      <c r="F22" s="14"/>
      <c r="G22" s="14"/>
      <c r="H22" s="14"/>
      <c r="I22" s="14"/>
      <c r="J22" s="14"/>
      <c r="K22" s="14"/>
      <c r="L22" s="14"/>
      <c r="M22" s="14"/>
      <c r="N22" s="14"/>
    </row>
    <row r="23" spans="1:14">
      <c r="A23" s="14"/>
      <c r="B23" s="14"/>
      <c r="C23" s="14"/>
      <c r="D23" s="14"/>
      <c r="E23" s="96"/>
      <c r="F23" s="14"/>
      <c r="G23" s="14"/>
      <c r="H23" s="14"/>
      <c r="I23" s="14"/>
      <c r="J23" s="14"/>
      <c r="K23" s="14"/>
      <c r="L23" s="14"/>
      <c r="M23" s="14"/>
      <c r="N23" s="14"/>
    </row>
    <row r="24" spans="1:14">
      <c r="A24" s="14"/>
      <c r="B24" s="14"/>
      <c r="C24" s="14"/>
      <c r="D24" s="14"/>
      <c r="E24" s="96"/>
      <c r="F24" s="14"/>
      <c r="G24" s="14"/>
      <c r="H24" s="14"/>
      <c r="I24" s="14"/>
      <c r="J24" s="14"/>
      <c r="K24" s="14"/>
      <c r="L24" s="14"/>
      <c r="M24" s="14"/>
      <c r="N24" s="14"/>
    </row>
    <row r="25" spans="1:14">
      <c r="A25" s="14"/>
      <c r="B25" s="14"/>
      <c r="C25" s="14"/>
      <c r="D25" s="14"/>
      <c r="E25" s="96"/>
      <c r="F25" s="14"/>
      <c r="G25" s="14"/>
      <c r="H25" s="14"/>
      <c r="I25" s="14"/>
      <c r="J25" s="14"/>
      <c r="K25" s="14"/>
      <c r="L25" s="14"/>
      <c r="M25" s="14"/>
      <c r="N25" s="14"/>
    </row>
    <row r="26" spans="1:14">
      <c r="A26" s="14"/>
      <c r="B26" s="14"/>
      <c r="C26" s="14"/>
      <c r="D26" s="14"/>
      <c r="E26" s="96"/>
      <c r="F26" s="14"/>
      <c r="G26" s="14"/>
      <c r="H26" s="14"/>
      <c r="I26" s="14"/>
      <c r="J26" s="14"/>
      <c r="K26" s="14"/>
      <c r="L26" s="14"/>
      <c r="M26" s="14"/>
      <c r="N26" s="14"/>
    </row>
    <row r="27" spans="1:14">
      <c r="A27" s="14"/>
      <c r="B27" s="14"/>
      <c r="C27" s="14"/>
      <c r="D27" s="14"/>
      <c r="E27" s="96"/>
      <c r="F27" s="14"/>
      <c r="G27" s="14"/>
      <c r="H27" s="14"/>
      <c r="I27" s="14"/>
      <c r="J27" s="14"/>
      <c r="K27" s="14"/>
      <c r="L27" s="14"/>
      <c r="M27" s="14"/>
      <c r="N27" s="14"/>
    </row>
    <row r="28" spans="1:14">
      <c r="A28" s="14"/>
      <c r="B28" s="14"/>
      <c r="C28" s="14"/>
      <c r="D28" s="14"/>
      <c r="E28" s="96"/>
      <c r="F28" s="14"/>
      <c r="G28" s="14"/>
      <c r="H28" s="14"/>
      <c r="I28" s="14"/>
      <c r="J28" s="14"/>
      <c r="K28" s="14"/>
      <c r="L28" s="14"/>
      <c r="M28" s="14"/>
      <c r="N28" s="14"/>
    </row>
    <row r="29" spans="1:14">
      <c r="A29" s="14"/>
      <c r="B29" s="14"/>
      <c r="C29" s="14"/>
      <c r="D29" s="14"/>
      <c r="E29" s="96"/>
      <c r="F29" s="14"/>
      <c r="G29" s="14"/>
      <c r="H29" s="14"/>
      <c r="I29" s="14"/>
      <c r="J29" s="14"/>
      <c r="K29" s="14"/>
      <c r="L29" s="14"/>
      <c r="M29" s="14"/>
      <c r="N29" s="14"/>
    </row>
    <row r="30" spans="1:14" hidden="1">
      <c r="A30" s="14"/>
      <c r="B30" s="14"/>
      <c r="C30" s="14"/>
      <c r="D30" s="14"/>
      <c r="E30" s="96"/>
      <c r="F30" s="14"/>
      <c r="G30" s="14"/>
      <c r="H30" s="14"/>
      <c r="I30" s="14"/>
      <c r="J30" s="14"/>
      <c r="K30" s="14"/>
      <c r="L30" s="14"/>
      <c r="M30" s="14"/>
      <c r="N30" s="14"/>
    </row>
    <row r="31" spans="1:14" hidden="1">
      <c r="A31" s="14"/>
      <c r="B31" s="14"/>
      <c r="C31" s="14"/>
      <c r="D31" s="14"/>
      <c r="E31" s="96"/>
      <c r="F31" s="14"/>
      <c r="G31" s="14"/>
      <c r="H31" s="14"/>
      <c r="I31" s="14"/>
      <c r="J31" s="14"/>
      <c r="K31" s="14"/>
      <c r="L31" s="14"/>
      <c r="M31" s="14"/>
      <c r="N31" s="14"/>
    </row>
    <row r="32" spans="1:14" hidden="1">
      <c r="A32" s="14"/>
      <c r="B32" s="14"/>
      <c r="C32" s="14"/>
      <c r="D32" s="14"/>
      <c r="E32" s="96"/>
      <c r="F32" s="14"/>
      <c r="G32" s="14"/>
      <c r="H32" s="14"/>
      <c r="I32" s="14"/>
      <c r="J32" s="14"/>
      <c r="K32" s="14"/>
      <c r="L32" s="14"/>
      <c r="M32" s="14"/>
      <c r="N32" s="14"/>
    </row>
    <row r="33" spans="1:14" hidden="1">
      <c r="A33" s="14"/>
      <c r="B33" s="14"/>
      <c r="C33" s="14"/>
      <c r="D33" s="14"/>
      <c r="E33" s="96"/>
      <c r="F33" s="14"/>
      <c r="G33" s="14"/>
      <c r="H33" s="14"/>
      <c r="I33" s="14"/>
      <c r="J33" s="14"/>
      <c r="K33" s="14"/>
      <c r="L33" s="14"/>
      <c r="M33" s="14"/>
      <c r="N33" s="14"/>
    </row>
    <row r="34" spans="1:14" hidden="1">
      <c r="A34" s="14"/>
      <c r="B34" s="14"/>
      <c r="C34" s="14"/>
      <c r="D34" s="14"/>
      <c r="E34" s="96"/>
      <c r="F34" s="14"/>
      <c r="G34" s="14"/>
      <c r="H34" s="14"/>
      <c r="I34" s="14"/>
      <c r="J34" s="14"/>
      <c r="K34" s="14"/>
      <c r="L34" s="14"/>
      <c r="M34" s="14"/>
      <c r="N34" s="14"/>
    </row>
    <row r="35" spans="1:14" hidden="1">
      <c r="A35" s="14"/>
      <c r="B35" s="14"/>
      <c r="C35" s="14"/>
      <c r="D35" s="14"/>
      <c r="E35" s="96"/>
      <c r="F35" s="14"/>
      <c r="G35" s="14"/>
      <c r="H35" s="14"/>
      <c r="I35" s="14"/>
      <c r="J35" s="14"/>
      <c r="K35" s="14"/>
      <c r="L35" s="14"/>
      <c r="M35" s="14"/>
      <c r="N35" s="14"/>
    </row>
    <row r="36" spans="1:14" hidden="1">
      <c r="A36" s="14"/>
      <c r="B36" s="14"/>
      <c r="C36" s="14"/>
      <c r="D36" s="14"/>
      <c r="E36" s="96"/>
      <c r="F36" s="14"/>
      <c r="G36" s="14"/>
      <c r="H36" s="14"/>
      <c r="I36" s="14"/>
      <c r="J36" s="14"/>
      <c r="K36" s="14"/>
      <c r="L36" s="14"/>
      <c r="M36" s="14"/>
      <c r="N36" s="14"/>
    </row>
    <row r="37" spans="1:14" hidden="1">
      <c r="A37" s="14"/>
      <c r="B37" s="14"/>
      <c r="C37" s="14"/>
      <c r="D37" s="14"/>
      <c r="E37" s="96"/>
      <c r="F37" s="14"/>
      <c r="G37" s="14"/>
      <c r="H37" s="14"/>
      <c r="I37" s="14"/>
      <c r="J37" s="14"/>
      <c r="K37" s="14"/>
      <c r="L37" s="14"/>
      <c r="M37" s="14"/>
      <c r="N37" s="14"/>
    </row>
    <row r="38" spans="1:14" hidden="1">
      <c r="A38" s="14"/>
      <c r="B38" s="14"/>
      <c r="C38" s="14"/>
      <c r="D38" s="14"/>
      <c r="E38" s="96"/>
      <c r="F38" s="14"/>
      <c r="G38" s="14"/>
      <c r="H38" s="14"/>
      <c r="I38" s="14"/>
      <c r="J38" s="14"/>
      <c r="K38" s="14"/>
      <c r="L38" s="14"/>
      <c r="M38" s="14"/>
      <c r="N38" s="14"/>
    </row>
    <row r="39" spans="1:14" hidden="1">
      <c r="A39" s="14"/>
      <c r="B39" s="14"/>
      <c r="C39" s="14"/>
      <c r="D39" s="14"/>
      <c r="E39" s="96"/>
      <c r="F39" s="14"/>
      <c r="G39" s="14"/>
      <c r="H39" s="14"/>
      <c r="I39" s="14"/>
      <c r="J39" s="14"/>
      <c r="K39" s="14"/>
      <c r="L39" s="14"/>
      <c r="M39" s="14"/>
      <c r="N39" s="14"/>
    </row>
    <row r="40" spans="1:14" hidden="1">
      <c r="A40" s="14"/>
      <c r="B40" s="14"/>
      <c r="C40" s="14"/>
      <c r="D40" s="14"/>
      <c r="E40" s="96"/>
      <c r="F40" s="14"/>
      <c r="G40" s="14"/>
      <c r="H40" s="14"/>
      <c r="I40" s="14"/>
      <c r="J40" s="14"/>
      <c r="K40" s="14"/>
      <c r="L40" s="14"/>
      <c r="M40" s="14"/>
      <c r="N40" s="14"/>
    </row>
    <row r="41" spans="1:14" hidden="1">
      <c r="A41" s="14"/>
      <c r="B41" s="14"/>
      <c r="C41" s="14"/>
      <c r="D41" s="14"/>
      <c r="E41" s="96"/>
      <c r="F41" s="14"/>
      <c r="G41" s="14"/>
      <c r="H41" s="14"/>
      <c r="I41" s="14"/>
      <c r="J41" s="14"/>
      <c r="K41" s="14"/>
      <c r="L41" s="14"/>
      <c r="M41" s="14"/>
      <c r="N41" s="14"/>
    </row>
    <row r="42" spans="1:14" hidden="1">
      <c r="A42" s="14"/>
      <c r="B42" s="14"/>
      <c r="C42" s="14"/>
      <c r="D42" s="14"/>
      <c r="E42" s="96"/>
      <c r="F42" s="14"/>
      <c r="G42" s="14"/>
      <c r="H42" s="14"/>
      <c r="I42" s="14"/>
      <c r="J42" s="14"/>
      <c r="K42" s="14"/>
      <c r="L42" s="14"/>
      <c r="M42" s="14"/>
      <c r="N42" s="14"/>
    </row>
    <row r="43" spans="1:14" hidden="1">
      <c r="A43" s="14"/>
      <c r="B43" s="14"/>
      <c r="C43" s="14"/>
      <c r="D43" s="14"/>
      <c r="E43" s="96"/>
      <c r="F43" s="14"/>
      <c r="G43" s="14"/>
      <c r="H43" s="14"/>
      <c r="I43" s="14"/>
      <c r="J43" s="14"/>
      <c r="K43" s="14"/>
      <c r="L43" s="14"/>
      <c r="M43" s="14"/>
      <c r="N43" s="14"/>
    </row>
    <row r="44" spans="1:14" hidden="1">
      <c r="A44" s="14"/>
      <c r="B44" s="14"/>
      <c r="C44" s="14"/>
      <c r="D44" s="14"/>
      <c r="E44" s="96"/>
      <c r="F44" s="14"/>
      <c r="G44" s="14"/>
      <c r="H44" s="14"/>
      <c r="I44" s="14"/>
      <c r="J44" s="14"/>
      <c r="K44" s="14"/>
      <c r="L44" s="14"/>
      <c r="M44" s="14"/>
      <c r="N44" s="14"/>
    </row>
    <row r="45" spans="1:14" hidden="1">
      <c r="A45" s="14"/>
      <c r="B45" s="14"/>
      <c r="C45" s="14"/>
      <c r="D45" s="14"/>
      <c r="E45" s="96"/>
      <c r="F45" s="14"/>
      <c r="G45" s="14"/>
      <c r="H45" s="14"/>
      <c r="I45" s="14"/>
      <c r="J45" s="14"/>
      <c r="K45" s="14"/>
      <c r="L45" s="14"/>
      <c r="M45" s="14"/>
      <c r="N45" s="14"/>
    </row>
    <row r="46" spans="1:14" hidden="1">
      <c r="A46" s="14"/>
      <c r="B46" s="14"/>
      <c r="C46" s="14"/>
      <c r="D46" s="14"/>
      <c r="E46" s="96"/>
      <c r="F46" s="14"/>
      <c r="G46" s="14"/>
      <c r="H46" s="14"/>
      <c r="I46" s="14"/>
      <c r="J46" s="14"/>
      <c r="K46" s="14"/>
      <c r="L46" s="14"/>
      <c r="M46" s="14"/>
      <c r="N46" s="14"/>
    </row>
    <row r="47" spans="1:14" hidden="1">
      <c r="A47" s="14"/>
      <c r="B47" s="14"/>
      <c r="C47" s="14"/>
      <c r="D47" s="14"/>
      <c r="E47" s="96"/>
      <c r="F47" s="14"/>
      <c r="G47" s="14"/>
      <c r="H47" s="14"/>
      <c r="I47" s="14"/>
      <c r="J47" s="14"/>
      <c r="K47" s="14"/>
      <c r="L47" s="14"/>
      <c r="M47" s="14"/>
      <c r="N47" s="14"/>
    </row>
    <row r="48" spans="1:14" hidden="1">
      <c r="A48" s="14"/>
      <c r="B48" s="14"/>
      <c r="C48" s="14"/>
      <c r="D48" s="14"/>
      <c r="E48" s="96"/>
      <c r="F48" s="14"/>
      <c r="G48" s="14"/>
      <c r="H48" s="14"/>
      <c r="I48" s="14"/>
      <c r="J48" s="14"/>
      <c r="K48" s="14"/>
      <c r="L48" s="14"/>
      <c r="M48" s="14"/>
      <c r="N48" s="14"/>
    </row>
    <row r="49" spans="1:14" hidden="1">
      <c r="A49" s="14"/>
      <c r="B49" s="14"/>
      <c r="C49" s="14"/>
      <c r="D49" s="14"/>
      <c r="E49" s="96"/>
      <c r="F49" s="14"/>
      <c r="G49" s="14"/>
      <c r="H49" s="14"/>
      <c r="I49" s="14"/>
      <c r="J49" s="14"/>
      <c r="K49" s="14"/>
      <c r="L49" s="14"/>
      <c r="M49" s="14"/>
      <c r="N49" s="14"/>
    </row>
    <row r="50" spans="1:14" hidden="1">
      <c r="A50" s="14"/>
      <c r="B50" s="14"/>
      <c r="C50" s="14"/>
      <c r="D50" s="14"/>
      <c r="E50" s="96"/>
      <c r="F50" s="14"/>
      <c r="G50" s="14"/>
      <c r="H50" s="14"/>
      <c r="I50" s="14"/>
      <c r="J50" s="14"/>
      <c r="K50" s="14"/>
      <c r="L50" s="14"/>
      <c r="M50" s="14"/>
      <c r="N50" s="14"/>
    </row>
    <row r="51" spans="1:14" hidden="1">
      <c r="A51" s="14"/>
      <c r="B51" s="14"/>
      <c r="C51" s="14"/>
      <c r="D51" s="14"/>
      <c r="E51" s="96"/>
      <c r="F51" s="14"/>
      <c r="G51" s="14"/>
      <c r="H51" s="14"/>
      <c r="I51" s="14"/>
      <c r="J51" s="14"/>
      <c r="K51" s="14"/>
      <c r="L51" s="14"/>
      <c r="M51" s="14"/>
      <c r="N51" s="14"/>
    </row>
    <row r="52" spans="1:14" hidden="1">
      <c r="A52" s="14"/>
      <c r="B52" s="14"/>
      <c r="C52" s="14"/>
      <c r="D52" s="14"/>
      <c r="E52" s="96"/>
      <c r="F52" s="14"/>
      <c r="G52" s="14"/>
      <c r="H52" s="14"/>
      <c r="I52" s="14"/>
      <c r="J52" s="14"/>
      <c r="K52" s="14"/>
      <c r="L52" s="14"/>
      <c r="M52" s="14"/>
      <c r="N52" s="14"/>
    </row>
    <row r="53" spans="1:14" hidden="1">
      <c r="A53" s="14"/>
      <c r="B53" s="14"/>
      <c r="C53" s="14"/>
      <c r="D53" s="14"/>
      <c r="E53" s="96"/>
      <c r="F53" s="14"/>
      <c r="G53" s="14"/>
      <c r="H53" s="14"/>
      <c r="I53" s="14"/>
      <c r="J53" s="14"/>
      <c r="K53" s="14"/>
      <c r="L53" s="14"/>
      <c r="M53" s="14"/>
      <c r="N53" s="14"/>
    </row>
    <row r="54" spans="1:14" hidden="1">
      <c r="A54" s="14"/>
      <c r="B54" s="14"/>
      <c r="C54" s="14"/>
      <c r="D54" s="14"/>
      <c r="E54" s="96"/>
      <c r="F54" s="14"/>
      <c r="G54" s="14"/>
      <c r="H54" s="14"/>
      <c r="I54" s="14"/>
      <c r="J54" s="14"/>
      <c r="K54" s="14"/>
      <c r="L54" s="14"/>
      <c r="M54" s="14"/>
      <c r="N54" s="14"/>
    </row>
    <row r="55" spans="1:14" hidden="1">
      <c r="A55" s="14"/>
      <c r="B55" s="14"/>
      <c r="C55" s="14"/>
      <c r="D55" s="14"/>
      <c r="E55" s="96"/>
      <c r="F55" s="14"/>
      <c r="G55" s="14"/>
      <c r="H55" s="14"/>
      <c r="I55" s="14"/>
      <c r="J55" s="14"/>
      <c r="K55" s="14"/>
      <c r="L55" s="14"/>
      <c r="M55" s="14"/>
      <c r="N55" s="14"/>
    </row>
    <row r="56" spans="1:14" hidden="1">
      <c r="A56" s="14"/>
      <c r="B56" s="14"/>
      <c r="C56" s="14"/>
      <c r="D56" s="14"/>
      <c r="E56" s="96"/>
      <c r="F56" s="14"/>
      <c r="G56" s="14"/>
      <c r="H56" s="14"/>
      <c r="I56" s="14"/>
      <c r="J56" s="14"/>
      <c r="K56" s="14"/>
      <c r="L56" s="14"/>
      <c r="M56" s="14"/>
      <c r="N56" s="14"/>
    </row>
    <row r="57" spans="1:14" hidden="1">
      <c r="A57" s="14"/>
      <c r="B57" s="14"/>
      <c r="C57" s="14"/>
      <c r="D57" s="14"/>
      <c r="E57" s="96"/>
      <c r="F57" s="14"/>
      <c r="G57" s="14"/>
      <c r="H57" s="14"/>
      <c r="I57" s="14"/>
      <c r="J57" s="14"/>
      <c r="K57" s="14"/>
      <c r="L57" s="14"/>
      <c r="M57" s="14"/>
      <c r="N57" s="14"/>
    </row>
    <row r="58" spans="1:14" hidden="1">
      <c r="A58" s="14"/>
      <c r="B58" s="14"/>
      <c r="C58" s="14"/>
      <c r="D58" s="14"/>
      <c r="E58" s="96"/>
      <c r="F58" s="14"/>
      <c r="G58" s="14"/>
      <c r="H58" s="14"/>
      <c r="I58" s="14"/>
      <c r="J58" s="14"/>
      <c r="K58" s="14"/>
      <c r="L58" s="14"/>
      <c r="M58" s="14"/>
      <c r="N58" s="14"/>
    </row>
    <row r="59" spans="1:14" hidden="1">
      <c r="A59" s="14"/>
      <c r="B59" s="14"/>
      <c r="C59" s="14"/>
      <c r="D59" s="14"/>
      <c r="E59" s="96"/>
      <c r="F59" s="14"/>
      <c r="G59" s="14"/>
      <c r="H59" s="14"/>
      <c r="I59" s="14"/>
      <c r="J59" s="14"/>
      <c r="K59" s="14"/>
      <c r="L59" s="14"/>
      <c r="M59" s="14"/>
      <c r="N59" s="14"/>
    </row>
    <row r="60" spans="1:14" hidden="1">
      <c r="A60" s="14"/>
      <c r="B60" s="14"/>
      <c r="C60" s="14"/>
      <c r="D60" s="14"/>
      <c r="E60" s="96"/>
      <c r="F60" s="14"/>
      <c r="G60" s="14"/>
      <c r="H60" s="14"/>
      <c r="I60" s="14"/>
      <c r="J60" s="14"/>
      <c r="K60" s="14"/>
      <c r="L60" s="14"/>
      <c r="M60" s="14"/>
      <c r="N60" s="14"/>
    </row>
    <row r="61" spans="1:14" hidden="1">
      <c r="A61" s="14"/>
      <c r="B61" s="14"/>
      <c r="C61" s="14"/>
      <c r="D61" s="14"/>
      <c r="E61" s="96"/>
      <c r="F61" s="14"/>
      <c r="G61" s="14"/>
      <c r="H61" s="14"/>
      <c r="I61" s="14"/>
      <c r="J61" s="14"/>
      <c r="K61" s="14"/>
      <c r="L61" s="14"/>
      <c r="M61" s="14"/>
      <c r="N61" s="14"/>
    </row>
    <row r="62" spans="1:14" hidden="1">
      <c r="A62" s="14"/>
      <c r="B62" s="14"/>
      <c r="C62" s="14"/>
      <c r="D62" s="14"/>
      <c r="E62" s="96"/>
      <c r="F62" s="14"/>
      <c r="G62" s="14"/>
      <c r="H62" s="14"/>
      <c r="I62" s="14"/>
      <c r="J62" s="14"/>
      <c r="K62" s="14"/>
      <c r="L62" s="14"/>
      <c r="M62" s="14"/>
      <c r="N62" s="14"/>
    </row>
    <row r="63" spans="1:14" hidden="1">
      <c r="A63" s="14"/>
      <c r="B63" s="14"/>
      <c r="C63" s="14"/>
      <c r="D63" s="14"/>
      <c r="E63" s="96"/>
      <c r="F63" s="14"/>
      <c r="G63" s="14"/>
      <c r="H63" s="14"/>
      <c r="I63" s="14"/>
      <c r="J63" s="14"/>
      <c r="K63" s="14"/>
      <c r="L63" s="14"/>
      <c r="M63" s="14"/>
      <c r="N63" s="14"/>
    </row>
    <row r="64" spans="1:14" hidden="1">
      <c r="A64" s="14"/>
      <c r="B64" s="14"/>
      <c r="C64" s="14"/>
      <c r="D64" s="14"/>
      <c r="E64" s="96"/>
      <c r="F64" s="14"/>
      <c r="G64" s="14"/>
      <c r="H64" s="14"/>
      <c r="I64" s="14"/>
      <c r="J64" s="14"/>
      <c r="K64" s="14"/>
      <c r="L64" s="14"/>
      <c r="M64" s="14"/>
      <c r="N64" s="14"/>
    </row>
    <row r="65" spans="1:14" hidden="1">
      <c r="A65" s="14"/>
      <c r="B65" s="14"/>
      <c r="C65" s="14"/>
      <c r="D65" s="14"/>
      <c r="E65" s="96"/>
      <c r="F65" s="14"/>
      <c r="G65" s="14"/>
      <c r="H65" s="14"/>
      <c r="I65" s="14"/>
      <c r="J65" s="14"/>
      <c r="K65" s="14"/>
      <c r="L65" s="14"/>
      <c r="M65" s="14"/>
      <c r="N65" s="14"/>
    </row>
    <row r="66" spans="1:14" hidden="1">
      <c r="A66" s="14"/>
      <c r="B66" s="14"/>
      <c r="C66" s="14"/>
      <c r="D66" s="14"/>
      <c r="E66" s="96"/>
      <c r="F66" s="14"/>
      <c r="G66" s="14"/>
      <c r="H66" s="14"/>
      <c r="I66" s="14"/>
      <c r="J66" s="14"/>
      <c r="K66" s="14"/>
      <c r="L66" s="14"/>
      <c r="M66" s="14"/>
      <c r="N66" s="14"/>
    </row>
    <row r="67" spans="1:14" hidden="1">
      <c r="A67" s="14"/>
      <c r="B67" s="14"/>
      <c r="C67" s="14"/>
      <c r="D67" s="14"/>
      <c r="E67" s="96"/>
      <c r="F67" s="14"/>
      <c r="G67" s="14"/>
      <c r="H67" s="14"/>
      <c r="I67" s="14"/>
      <c r="J67" s="14"/>
      <c r="K67" s="14"/>
      <c r="L67" s="14"/>
      <c r="M67" s="14"/>
      <c r="N67" s="14"/>
    </row>
    <row r="68" spans="1:14" hidden="1">
      <c r="A68" s="14"/>
      <c r="B68" s="14"/>
      <c r="C68" s="14"/>
      <c r="D68" s="14"/>
      <c r="E68" s="96"/>
      <c r="F68" s="14"/>
      <c r="G68" s="14"/>
      <c r="H68" s="14"/>
      <c r="I68" s="14"/>
      <c r="J68" s="14"/>
      <c r="K68" s="14"/>
      <c r="L68" s="14"/>
      <c r="M68" s="14"/>
      <c r="N68" s="14"/>
    </row>
    <row r="69" spans="1:14" hidden="1">
      <c r="A69" s="14"/>
      <c r="B69" s="14"/>
      <c r="C69" s="14"/>
      <c r="D69" s="14"/>
      <c r="E69" s="96"/>
      <c r="F69" s="14"/>
      <c r="G69" s="14"/>
      <c r="H69" s="14"/>
      <c r="I69" s="14"/>
      <c r="J69" s="14"/>
      <c r="K69" s="14"/>
      <c r="L69" s="14"/>
      <c r="M69" s="14"/>
      <c r="N69" s="14"/>
    </row>
    <row r="70" spans="1:14" hidden="1">
      <c r="A70" s="14"/>
      <c r="B70" s="14"/>
      <c r="C70" s="14"/>
      <c r="D70" s="14"/>
      <c r="E70" s="96"/>
      <c r="F70" s="14"/>
      <c r="G70" s="14"/>
      <c r="H70" s="14"/>
      <c r="I70" s="14"/>
      <c r="J70" s="14"/>
      <c r="K70" s="14"/>
      <c r="L70" s="14"/>
      <c r="M70" s="14"/>
      <c r="N70" s="14"/>
    </row>
    <row r="71" spans="1:14" hidden="1">
      <c r="A71" s="14"/>
      <c r="B71" s="14"/>
      <c r="C71" s="14"/>
      <c r="D71" s="14"/>
      <c r="E71" s="96"/>
      <c r="F71" s="14"/>
      <c r="G71" s="14"/>
      <c r="H71" s="14"/>
      <c r="I71" s="14"/>
      <c r="J71" s="14"/>
      <c r="K71" s="14"/>
      <c r="L71" s="14"/>
      <c r="M71" s="14"/>
      <c r="N71" s="14"/>
    </row>
    <row r="72" spans="1:14" hidden="1">
      <c r="A72" s="14"/>
      <c r="B72" s="14"/>
      <c r="C72" s="14"/>
      <c r="D72" s="14"/>
      <c r="E72" s="96"/>
      <c r="F72" s="14"/>
      <c r="G72" s="14"/>
      <c r="H72" s="14"/>
      <c r="I72" s="14"/>
      <c r="J72" s="14"/>
      <c r="K72" s="14"/>
      <c r="L72" s="14"/>
      <c r="M72" s="14"/>
      <c r="N72" s="14"/>
    </row>
    <row r="73" spans="1:14" hidden="1">
      <c r="A73" s="14"/>
      <c r="B73" s="14"/>
      <c r="C73" s="14"/>
      <c r="D73" s="14"/>
      <c r="E73" s="96"/>
      <c r="F73" s="14"/>
      <c r="G73" s="14"/>
      <c r="H73" s="14"/>
      <c r="I73" s="14"/>
      <c r="J73" s="14"/>
      <c r="K73" s="14"/>
      <c r="L73" s="14"/>
      <c r="M73" s="14"/>
      <c r="N73" s="14"/>
    </row>
    <row r="74" spans="1:14" hidden="1">
      <c r="A74" s="14"/>
      <c r="B74" s="14"/>
      <c r="C74" s="14"/>
      <c r="D74" s="14"/>
      <c r="E74" s="96"/>
      <c r="F74" s="14"/>
      <c r="G74" s="14"/>
      <c r="H74" s="14"/>
      <c r="I74" s="14"/>
      <c r="J74" s="14"/>
      <c r="K74" s="14"/>
      <c r="L74" s="14"/>
      <c r="M74" s="14"/>
      <c r="N74" s="14"/>
    </row>
    <row r="75" spans="1:14" hidden="1">
      <c r="A75" s="14"/>
      <c r="B75" s="14"/>
      <c r="C75" s="14"/>
      <c r="D75" s="14"/>
      <c r="E75" s="96"/>
      <c r="F75" s="14"/>
      <c r="G75" s="14"/>
      <c r="H75" s="14"/>
      <c r="I75" s="14"/>
      <c r="J75" s="14"/>
      <c r="K75" s="14"/>
      <c r="L75" s="14"/>
      <c r="M75" s="14"/>
      <c r="N75" s="14"/>
    </row>
    <row r="76" spans="1:14" hidden="1">
      <c r="A76" s="14"/>
      <c r="B76" s="14"/>
      <c r="C76" s="14"/>
      <c r="D76" s="14"/>
      <c r="E76" s="96"/>
      <c r="F76" s="14"/>
      <c r="G76" s="14"/>
      <c r="H76" s="14"/>
      <c r="I76" s="14"/>
      <c r="J76" s="14"/>
      <c r="K76" s="14"/>
      <c r="L76" s="14"/>
      <c r="M76" s="14"/>
      <c r="N76" s="14"/>
    </row>
    <row r="77" spans="1:14" hidden="1">
      <c r="A77" s="14"/>
      <c r="B77" s="14"/>
      <c r="C77" s="14"/>
      <c r="D77" s="14"/>
      <c r="E77" s="96"/>
      <c r="F77" s="14"/>
      <c r="G77" s="14"/>
      <c r="H77" s="14"/>
      <c r="I77" s="14"/>
      <c r="J77" s="14"/>
      <c r="K77" s="14"/>
      <c r="L77" s="14"/>
      <c r="M77" s="14"/>
      <c r="N77" s="14"/>
    </row>
    <row r="78" spans="1:14" hidden="1">
      <c r="A78" s="14"/>
      <c r="B78" s="14"/>
      <c r="C78" s="14"/>
      <c r="D78" s="14"/>
      <c r="E78" s="96"/>
      <c r="F78" s="14"/>
      <c r="G78" s="14"/>
      <c r="H78" s="14"/>
      <c r="I78" s="14"/>
      <c r="J78" s="14"/>
      <c r="K78" s="14"/>
      <c r="L78" s="14"/>
      <c r="M78" s="14"/>
      <c r="N78" s="14"/>
    </row>
    <row r="79" spans="1:14" hidden="1">
      <c r="A79" s="14"/>
      <c r="B79" s="14"/>
      <c r="C79" s="14"/>
      <c r="D79" s="14"/>
      <c r="E79" s="96"/>
      <c r="F79" s="14"/>
      <c r="G79" s="14"/>
      <c r="H79" s="14"/>
      <c r="I79" s="14"/>
      <c r="J79" s="14"/>
      <c r="K79" s="14"/>
      <c r="L79" s="14"/>
      <c r="M79" s="14"/>
      <c r="N79" s="14"/>
    </row>
    <row r="80" spans="1:14" hidden="1">
      <c r="A80" s="14"/>
      <c r="B80" s="14"/>
      <c r="C80" s="14"/>
      <c r="D80" s="14"/>
      <c r="E80" s="96"/>
      <c r="F80" s="14"/>
      <c r="G80" s="14"/>
      <c r="H80" s="14"/>
      <c r="I80" s="14"/>
      <c r="J80" s="14"/>
      <c r="K80" s="14"/>
      <c r="L80" s="14"/>
      <c r="M80" s="14"/>
      <c r="N80" s="14"/>
    </row>
    <row r="81" spans="1:14" hidden="1">
      <c r="A81" s="14"/>
      <c r="B81" s="14"/>
      <c r="C81" s="14"/>
      <c r="D81" s="14"/>
      <c r="E81" s="96"/>
      <c r="F81" s="14"/>
      <c r="G81" s="14"/>
      <c r="H81" s="14"/>
      <c r="I81" s="14"/>
      <c r="J81" s="14"/>
      <c r="K81" s="14"/>
      <c r="L81" s="14"/>
      <c r="M81" s="14"/>
      <c r="N81" s="14"/>
    </row>
  </sheetData>
  <sheetProtection password="E1CD" sheet="1" objects="1" scenarios="1" formatCells="0" formatColumns="0" formatRows="0" insertHyperlinks="0" autoFilter="0" pivotTables="0"/>
  <pageMargins left="0.70866141732283472" right="0.70866141732283472" top="0.74803149606299213" bottom="0.74803149606299213" header="0.31496062992125984" footer="0.31496062992125984"/>
  <pageSetup paperSize="8" orientation="landscape" r:id="rId1"/>
  <headerFooter>
    <oddHeader>&amp;C&amp;A</oddHeader>
    <oddFooter>&amp;L&amp;D &amp;T&amp;C&amp;Z&amp;R&amp;F</oddFooter>
  </headerFooter>
  <drawing r:id="rId2"/>
</worksheet>
</file>

<file path=xl/worksheets/sheet3.xml><?xml version="1.0" encoding="utf-8"?>
<worksheet xmlns="http://schemas.openxmlformats.org/spreadsheetml/2006/main" xmlns:r="http://schemas.openxmlformats.org/officeDocument/2006/relationships">
  <sheetPr codeName="Sheet2">
    <tabColor rgb="FFFFC000"/>
    <pageSetUpPr fitToPage="1"/>
  </sheetPr>
  <dimension ref="A1:F24"/>
  <sheetViews>
    <sheetView showGridLines="0" zoomScaleNormal="100" workbookViewId="0">
      <pane ySplit="3" topLeftCell="A4" activePane="bottomLeft" state="frozen"/>
      <selection pane="bottomLeft" activeCell="A16" sqref="A16"/>
    </sheetView>
  </sheetViews>
  <sheetFormatPr defaultColWidth="0" defaultRowHeight="12.75" zeroHeight="1"/>
  <cols>
    <col min="1" max="1" width="2.625" style="10" customWidth="1"/>
    <col min="2" max="2" width="11.625" style="10" customWidth="1"/>
    <col min="3" max="3" width="9.375" style="10" bestFit="1" customWidth="1"/>
    <col min="4" max="4" width="98.625" style="10" customWidth="1"/>
    <col min="5" max="5" width="2.625" style="14" customWidth="1"/>
    <col min="6" max="6" width="9" style="13" hidden="1" customWidth="1"/>
    <col min="7" max="16384" width="9" style="10" hidden="1"/>
  </cols>
  <sheetData>
    <row r="1" spans="2:6" s="191" customFormat="1" ht="15">
      <c r="B1" s="191" t="s">
        <v>481</v>
      </c>
      <c r="F1" s="237"/>
    </row>
    <row r="2" spans="2:6" s="191" customFormat="1" ht="15">
      <c r="B2" s="191" t="str">
        <f>COMPNAME</f>
        <v>Company Name of Electricity Distribution Network Operator Limited</v>
      </c>
      <c r="F2" s="237"/>
    </row>
    <row r="3" spans="2:6" s="191" customFormat="1" ht="15">
      <c r="B3" s="155" t="str">
        <f>'R5 Input page'!K8</f>
        <v>Regulatory Year ending 31 March 2012</v>
      </c>
      <c r="C3" s="192"/>
      <c r="D3" s="192"/>
      <c r="E3" s="192"/>
      <c r="F3" s="237"/>
    </row>
    <row r="4" spans="2:6" s="191" customFormat="1" ht="15">
      <c r="B4" s="192"/>
      <c r="C4" s="192"/>
      <c r="D4" s="192"/>
      <c r="E4" s="192"/>
      <c r="F4" s="237"/>
    </row>
    <row r="5" spans="2:6" s="191" customFormat="1" ht="15">
      <c r="B5" s="192"/>
      <c r="C5" s="192"/>
      <c r="D5" s="192"/>
      <c r="E5" s="192"/>
      <c r="F5" s="237"/>
    </row>
    <row r="6" spans="2:6" s="191" customFormat="1" ht="15">
      <c r="B6" s="191" t="s">
        <v>51</v>
      </c>
      <c r="C6" s="191" t="s">
        <v>52</v>
      </c>
      <c r="D6" s="191" t="s">
        <v>53</v>
      </c>
      <c r="F6" s="237"/>
    </row>
    <row r="7" spans="2:6">
      <c r="B7" s="187" t="s">
        <v>465</v>
      </c>
      <c r="C7" s="187">
        <v>1</v>
      </c>
      <c r="D7" s="266" t="s">
        <v>270</v>
      </c>
    </row>
    <row r="8" spans="2:6">
      <c r="B8" s="265" t="s">
        <v>643</v>
      </c>
      <c r="C8" s="187">
        <v>2</v>
      </c>
      <c r="D8" s="266" t="s">
        <v>644</v>
      </c>
    </row>
    <row r="9" spans="2:6">
      <c r="B9" s="267" t="s">
        <v>647</v>
      </c>
      <c r="C9" s="187">
        <v>2.0099999999999998</v>
      </c>
      <c r="D9" s="266" t="s">
        <v>648</v>
      </c>
    </row>
    <row r="10" spans="2:6">
      <c r="B10" s="267" t="s">
        <v>650</v>
      </c>
      <c r="C10" s="187">
        <v>2.02</v>
      </c>
      <c r="D10" s="266" t="s">
        <v>652</v>
      </c>
    </row>
    <row r="11" spans="2:6">
      <c r="B11" s="267" t="s">
        <v>651</v>
      </c>
      <c r="C11" s="187">
        <v>2.0299999999999998</v>
      </c>
      <c r="D11" s="266" t="s">
        <v>653</v>
      </c>
    </row>
    <row r="12" spans="2:6">
      <c r="B12" s="267" t="s">
        <v>654</v>
      </c>
      <c r="C12" s="187">
        <v>2.04</v>
      </c>
      <c r="D12" s="266" t="s">
        <v>680</v>
      </c>
    </row>
    <row r="13" spans="2:6">
      <c r="B13" s="267" t="s">
        <v>696</v>
      </c>
      <c r="C13" s="187" t="s">
        <v>697</v>
      </c>
      <c r="D13" s="326" t="s">
        <v>698</v>
      </c>
    </row>
    <row r="14" spans="2:6">
      <c r="B14" s="267" t="s">
        <v>687</v>
      </c>
      <c r="C14" s="187">
        <v>3.01</v>
      </c>
      <c r="D14" s="266" t="s">
        <v>688</v>
      </c>
    </row>
    <row r="15" spans="2:6">
      <c r="B15" s="267" t="s">
        <v>689</v>
      </c>
      <c r="C15" s="187">
        <v>3.02</v>
      </c>
      <c r="D15" s="326" t="s">
        <v>690</v>
      </c>
    </row>
    <row r="16" spans="2:6">
      <c r="B16" s="267" t="s">
        <v>756</v>
      </c>
      <c r="C16" s="187">
        <v>3.03</v>
      </c>
      <c r="D16" s="266" t="s">
        <v>699</v>
      </c>
    </row>
    <row r="17" spans="2:6">
      <c r="B17" s="267"/>
      <c r="C17" s="187"/>
      <c r="D17" s="266"/>
    </row>
    <row r="18" spans="2:6">
      <c r="B18" s="267"/>
      <c r="C18" s="187"/>
      <c r="D18" s="266"/>
    </row>
    <row r="19" spans="2:6">
      <c r="B19" s="267"/>
      <c r="C19" s="187"/>
      <c r="D19" s="266"/>
    </row>
    <row r="20" spans="2:6">
      <c r="B20" s="187"/>
      <c r="C20" s="187"/>
      <c r="D20" s="266"/>
    </row>
    <row r="21" spans="2:6" s="14" customFormat="1">
      <c r="F21" s="96"/>
    </row>
    <row r="24" spans="2:6" hidden="1">
      <c r="B24" s="14"/>
    </row>
  </sheetData>
  <sheetProtection formatCells="0" formatColumns="0" formatRows="0" insertHyperlinks="0" autoFilter="0" pivotTables="0"/>
  <hyperlinks>
    <hyperlink ref="D15" r:id="rId1" tooltip="Link to doc ref 147/09 on Ofgem website"/>
    <hyperlink ref="D13" r:id="rId2" tooltip="link to decision letter on relief from penalty interest" display="Interest Rate Adjustment (PRt) for 2010-11 set to 1.5% per decision letter on relief from penalty interest"/>
  </hyperlinks>
  <pageMargins left="0.31496062992125984" right="0.31496062992125984" top="0.74803149606299213" bottom="0.74803149606299213" header="0.11811023622047245" footer="0.11811023622047245"/>
  <pageSetup paperSize="9" fitToHeight="0" orientation="landscape" r:id="rId3"/>
  <headerFooter>
    <oddHeader>&amp;C&amp;A</oddHeader>
    <oddFooter>&amp;L&amp;8&amp;D&amp;T&amp;C&amp;8&amp;Z&amp;R&amp;8&amp;F</oddFooter>
  </headerFooter>
</worksheet>
</file>

<file path=xl/worksheets/sheet4.xml><?xml version="1.0" encoding="utf-8"?>
<worksheet xmlns="http://schemas.openxmlformats.org/spreadsheetml/2006/main" xmlns:r="http://schemas.openxmlformats.org/officeDocument/2006/relationships">
  <sheetPr codeName="Sheet3">
    <tabColor rgb="FFFFC000"/>
    <pageSetUpPr fitToPage="1"/>
  </sheetPr>
  <dimension ref="A1:Y167"/>
  <sheetViews>
    <sheetView view="pageBreakPreview" zoomScaleNormal="75"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0" defaultRowHeight="12.75" zeroHeight="1"/>
  <cols>
    <col min="1" max="1" width="43.625" style="287" customWidth="1"/>
    <col min="2" max="2" width="10.25" style="287" bestFit="1" customWidth="1"/>
    <col min="3" max="4" width="0.875" style="287" customWidth="1"/>
    <col min="5" max="5" width="6.625" style="302" bestFit="1" customWidth="1"/>
    <col min="6" max="10" width="6.125" style="287" bestFit="1" customWidth="1"/>
    <col min="11" max="15" width="9.25" style="287" bestFit="1" customWidth="1"/>
    <col min="16" max="16" width="13.375" style="287" bestFit="1" customWidth="1"/>
    <col min="17" max="17" width="9" style="287" hidden="1" customWidth="1"/>
    <col min="18" max="25" width="0" style="287" hidden="1" customWidth="1"/>
    <col min="26" max="16384" width="9" style="287" hidden="1"/>
  </cols>
  <sheetData>
    <row r="1" spans="1:19" s="282" customFormat="1" ht="15">
      <c r="A1" s="281" t="s">
        <v>482</v>
      </c>
      <c r="E1" s="283"/>
    </row>
    <row r="2" spans="1:19" s="282" customFormat="1" ht="15">
      <c r="A2" s="281" t="str">
        <f>COMPNAME</f>
        <v>Company Name of Electricity Distribution Network Operator Limited</v>
      </c>
      <c r="E2" s="283"/>
    </row>
    <row r="3" spans="1:19" s="282" customFormat="1">
      <c r="A3" s="284" t="str">
        <f>'R5 Input page'!K8</f>
        <v>Regulatory Year ending 31 March 2012</v>
      </c>
      <c r="E3" s="283"/>
    </row>
    <row r="4" spans="1:19" ht="15">
      <c r="A4" s="281"/>
      <c r="B4" s="282"/>
      <c r="C4" s="282"/>
      <c r="D4" s="282"/>
      <c r="E4" s="285"/>
      <c r="F4" s="285"/>
      <c r="G4" s="285"/>
      <c r="H4" s="285"/>
      <c r="I4" s="285"/>
      <c r="J4" s="285"/>
      <c r="K4" s="363" t="s">
        <v>645</v>
      </c>
      <c r="L4" s="363"/>
      <c r="M4" s="364"/>
      <c r="N4" s="285"/>
      <c r="O4" s="285"/>
      <c r="P4" s="286"/>
    </row>
    <row r="5" spans="1:19" ht="15">
      <c r="A5" s="281" t="s">
        <v>101</v>
      </c>
      <c r="B5" s="282"/>
      <c r="C5" s="282"/>
      <c r="D5" s="282"/>
      <c r="E5" s="285" t="s">
        <v>5</v>
      </c>
      <c r="F5" s="285">
        <v>2006</v>
      </c>
      <c r="G5" s="285">
        <v>2007</v>
      </c>
      <c r="H5" s="285">
        <v>2008</v>
      </c>
      <c r="I5" s="285">
        <v>2009</v>
      </c>
      <c r="J5" s="285">
        <v>2010</v>
      </c>
      <c r="K5" s="285">
        <v>2011</v>
      </c>
      <c r="L5" s="285">
        <v>2012</v>
      </c>
      <c r="M5" s="285">
        <v>2013</v>
      </c>
      <c r="N5" s="285">
        <v>2014</v>
      </c>
      <c r="O5" s="285">
        <v>2015</v>
      </c>
      <c r="P5" s="286" t="s">
        <v>6</v>
      </c>
    </row>
    <row r="6" spans="1:19" s="291" customFormat="1">
      <c r="A6" s="280" t="s">
        <v>317</v>
      </c>
      <c r="B6" s="280"/>
      <c r="C6" s="280"/>
      <c r="D6" s="280"/>
      <c r="E6" s="288" t="s">
        <v>8</v>
      </c>
      <c r="F6" s="289">
        <v>3.2500000000000001E-2</v>
      </c>
      <c r="G6" s="289">
        <v>2.58E-2</v>
      </c>
      <c r="H6" s="289">
        <v>3.7199999999999997E-2</v>
      </c>
      <c r="I6" s="289">
        <v>4.07E-2</v>
      </c>
      <c r="J6" s="289">
        <v>3.8199999999999998E-2</v>
      </c>
      <c r="K6" s="280"/>
      <c r="L6" s="280"/>
      <c r="M6" s="280"/>
      <c r="N6" s="280"/>
      <c r="O6" s="280"/>
      <c r="P6" s="286" t="s">
        <v>316</v>
      </c>
      <c r="Q6" s="280"/>
      <c r="R6" s="290"/>
      <c r="S6" s="280"/>
    </row>
    <row r="7" spans="1:19" s="294" customFormat="1">
      <c r="A7" s="292"/>
      <c r="B7" s="292"/>
      <c r="C7" s="292"/>
      <c r="D7" s="292"/>
      <c r="E7" s="293"/>
      <c r="F7" s="293"/>
      <c r="G7" s="293"/>
      <c r="H7" s="293"/>
      <c r="I7" s="293"/>
      <c r="J7" s="293"/>
      <c r="K7" s="293"/>
      <c r="P7" s="295"/>
    </row>
    <row r="8" spans="1:19" s="294" customFormat="1">
      <c r="B8" s="292"/>
      <c r="C8" s="292"/>
      <c r="D8" s="292"/>
      <c r="E8" s="296"/>
      <c r="F8" s="292"/>
      <c r="G8" s="292"/>
      <c r="H8" s="292"/>
      <c r="I8" s="292"/>
      <c r="J8" s="293"/>
      <c r="K8" s="297">
        <v>2001</v>
      </c>
      <c r="L8" s="297">
        <v>2002</v>
      </c>
      <c r="M8" s="297">
        <v>2003</v>
      </c>
      <c r="N8" s="297">
        <v>2004</v>
      </c>
      <c r="O8" s="297">
        <v>2005</v>
      </c>
      <c r="P8" s="295"/>
    </row>
    <row r="9" spans="1:19" s="294" customFormat="1">
      <c r="A9" s="292" t="s">
        <v>413</v>
      </c>
      <c r="B9" s="292"/>
      <c r="C9" s="292"/>
      <c r="D9" s="292"/>
      <c r="E9" s="298" t="s">
        <v>8</v>
      </c>
      <c r="F9" s="292"/>
      <c r="G9" s="292"/>
      <c r="H9" s="292"/>
      <c r="I9" s="292"/>
      <c r="K9" s="289">
        <v>1.3100000000000001E-2</v>
      </c>
      <c r="L9" s="289">
        <v>3.1399999999999997E-2</v>
      </c>
      <c r="M9" s="289">
        <v>1.4200000000000001E-2</v>
      </c>
      <c r="N9" s="289">
        <v>2.0400000000000001E-2</v>
      </c>
      <c r="O9" s="289">
        <v>2.7900000000000001E-2</v>
      </c>
      <c r="P9" s="286" t="s">
        <v>504</v>
      </c>
    </row>
    <row r="10" spans="1:19" s="291" customFormat="1">
      <c r="B10" s="280"/>
      <c r="C10" s="280"/>
      <c r="D10" s="280"/>
      <c r="E10" s="288"/>
      <c r="F10" s="280"/>
      <c r="G10" s="280"/>
      <c r="H10" s="280"/>
      <c r="I10" s="280"/>
      <c r="J10" s="287"/>
      <c r="K10" s="287"/>
      <c r="L10" s="287"/>
      <c r="M10" s="287"/>
      <c r="N10" s="287"/>
      <c r="O10" s="287"/>
      <c r="P10" s="287"/>
      <c r="Q10" s="280"/>
      <c r="R10" s="290"/>
      <c r="S10" s="280"/>
    </row>
    <row r="11" spans="1:19" ht="14.25">
      <c r="B11" s="299"/>
      <c r="C11" s="299"/>
      <c r="D11" s="299"/>
      <c r="E11" s="300"/>
      <c r="F11" s="299"/>
      <c r="G11" s="299"/>
      <c r="H11" s="299"/>
      <c r="I11" s="299"/>
      <c r="K11" s="285">
        <v>2011</v>
      </c>
      <c r="L11" s="285">
        <v>2012</v>
      </c>
      <c r="M11" s="285">
        <v>2013</v>
      </c>
      <c r="N11" s="285">
        <v>2014</v>
      </c>
      <c r="O11" s="285">
        <v>2015</v>
      </c>
      <c r="P11" s="286"/>
    </row>
    <row r="12" spans="1:19" ht="15">
      <c r="A12" s="281" t="s">
        <v>102</v>
      </c>
      <c r="B12" s="299"/>
      <c r="C12" s="299"/>
      <c r="D12" s="299"/>
      <c r="E12" s="300"/>
      <c r="F12" s="299"/>
      <c r="G12" s="299"/>
      <c r="H12" s="299"/>
      <c r="I12" s="299"/>
      <c r="K12" s="285"/>
      <c r="L12" s="285"/>
      <c r="M12" s="285"/>
      <c r="N12" s="285"/>
      <c r="O12" s="285"/>
      <c r="P12" s="286"/>
    </row>
    <row r="13" spans="1:19">
      <c r="A13" s="282" t="s">
        <v>103</v>
      </c>
      <c r="B13" s="282" t="s">
        <v>104</v>
      </c>
      <c r="C13" s="282"/>
      <c r="D13" s="282"/>
      <c r="E13" s="283" t="s">
        <v>12</v>
      </c>
      <c r="F13" s="282"/>
      <c r="G13" s="282"/>
      <c r="H13" s="282"/>
      <c r="I13" s="282"/>
      <c r="K13" s="321"/>
      <c r="L13" s="321"/>
      <c r="M13" s="321"/>
      <c r="N13" s="321"/>
      <c r="O13" s="321"/>
      <c r="P13" s="286" t="s">
        <v>104</v>
      </c>
      <c r="Q13" s="284"/>
      <c r="R13" s="284"/>
      <c r="S13" s="284"/>
    </row>
    <row r="14" spans="1:19">
      <c r="A14" s="282" t="s">
        <v>274</v>
      </c>
      <c r="B14" s="282" t="s">
        <v>275</v>
      </c>
      <c r="C14" s="282"/>
      <c r="D14" s="282"/>
      <c r="E14" s="283" t="s">
        <v>12</v>
      </c>
      <c r="F14" s="282"/>
      <c r="G14" s="282"/>
      <c r="H14" s="282"/>
      <c r="I14" s="282"/>
      <c r="K14" s="301">
        <v>0</v>
      </c>
      <c r="L14" s="301">
        <v>0</v>
      </c>
      <c r="M14" s="301">
        <v>0</v>
      </c>
      <c r="N14" s="301">
        <v>0</v>
      </c>
      <c r="O14" s="301">
        <v>0</v>
      </c>
      <c r="P14" s="286" t="s">
        <v>275</v>
      </c>
    </row>
    <row r="15" spans="1:19">
      <c r="A15" s="282"/>
      <c r="B15" s="282"/>
      <c r="C15" s="282"/>
      <c r="D15" s="282"/>
      <c r="F15" s="282"/>
      <c r="G15" s="282"/>
      <c r="H15" s="282"/>
      <c r="I15" s="282"/>
      <c r="K15" s="282"/>
      <c r="L15" s="282"/>
      <c r="M15" s="282"/>
      <c r="N15" s="282"/>
      <c r="O15" s="282"/>
      <c r="P15" s="286"/>
    </row>
    <row r="16" spans="1:19" ht="15">
      <c r="A16" s="281" t="s">
        <v>16</v>
      </c>
      <c r="B16" s="282"/>
      <c r="C16" s="282"/>
      <c r="D16" s="282"/>
      <c r="E16" s="283"/>
      <c r="F16" s="282"/>
      <c r="G16" s="282"/>
      <c r="H16" s="282"/>
      <c r="I16" s="282"/>
      <c r="K16" s="282"/>
      <c r="L16" s="282"/>
      <c r="M16" s="282"/>
      <c r="N16" s="282"/>
      <c r="O16" s="282"/>
      <c r="P16" s="286"/>
    </row>
    <row r="17" spans="1:16">
      <c r="A17" s="282" t="s">
        <v>341</v>
      </c>
      <c r="B17" s="282" t="s">
        <v>350</v>
      </c>
      <c r="C17" s="282"/>
      <c r="D17" s="282"/>
      <c r="E17" s="303" t="s">
        <v>12</v>
      </c>
      <c r="F17" s="282"/>
      <c r="G17" s="282"/>
      <c r="H17" s="282"/>
      <c r="I17" s="282"/>
      <c r="K17" s="321"/>
      <c r="L17" s="321"/>
      <c r="M17" s="321"/>
      <c r="N17" s="321"/>
      <c r="O17" s="321"/>
      <c r="P17" s="286" t="s">
        <v>350</v>
      </c>
    </row>
    <row r="18" spans="1:16">
      <c r="A18" s="282" t="s">
        <v>655</v>
      </c>
      <c r="B18" s="282" t="s">
        <v>105</v>
      </c>
      <c r="C18" s="282"/>
      <c r="D18" s="282"/>
      <c r="E18" s="303" t="s">
        <v>12</v>
      </c>
      <c r="F18" s="282"/>
      <c r="G18" s="282"/>
      <c r="H18" s="282"/>
      <c r="I18" s="282"/>
      <c r="K18" s="321"/>
      <c r="L18" s="321"/>
      <c r="M18" s="321"/>
      <c r="N18" s="321"/>
      <c r="O18" s="321"/>
      <c r="P18" s="286" t="s">
        <v>105</v>
      </c>
    </row>
    <row r="19" spans="1:16">
      <c r="A19" s="282" t="s">
        <v>409</v>
      </c>
      <c r="B19" s="282" t="s">
        <v>107</v>
      </c>
      <c r="C19" s="282"/>
      <c r="D19" s="282"/>
      <c r="E19" s="303" t="s">
        <v>12</v>
      </c>
      <c r="F19" s="282"/>
      <c r="G19" s="282"/>
      <c r="H19" s="282"/>
      <c r="I19" s="282"/>
      <c r="K19" s="321"/>
      <c r="L19" s="321"/>
      <c r="M19" s="321"/>
      <c r="N19" s="321"/>
      <c r="O19" s="321"/>
      <c r="P19" s="286" t="s">
        <v>107</v>
      </c>
    </row>
    <row r="20" spans="1:16">
      <c r="A20" s="282" t="s">
        <v>656</v>
      </c>
      <c r="B20" s="282" t="s">
        <v>108</v>
      </c>
      <c r="C20" s="304"/>
      <c r="D20" s="304"/>
      <c r="E20" s="305" t="s">
        <v>12</v>
      </c>
      <c r="G20" s="282"/>
      <c r="H20" s="282"/>
      <c r="I20" s="282"/>
      <c r="K20" s="321"/>
      <c r="L20" s="321"/>
      <c r="M20" s="321"/>
      <c r="N20" s="321"/>
      <c r="O20" s="321"/>
      <c r="P20" s="286" t="s">
        <v>108</v>
      </c>
    </row>
    <row r="21" spans="1:16" ht="25.5">
      <c r="A21" s="280" t="s">
        <v>401</v>
      </c>
      <c r="B21" s="282" t="s">
        <v>109</v>
      </c>
      <c r="C21" s="282"/>
      <c r="D21" s="282"/>
      <c r="E21" s="305" t="s">
        <v>12</v>
      </c>
      <c r="G21" s="282"/>
      <c r="H21" s="282"/>
      <c r="I21" s="282"/>
      <c r="K21" s="321"/>
      <c r="L21" s="321"/>
      <c r="M21" s="321"/>
      <c r="N21" s="321"/>
      <c r="O21" s="321"/>
      <c r="P21" s="286" t="s">
        <v>109</v>
      </c>
    </row>
    <row r="22" spans="1:16">
      <c r="A22" s="282"/>
      <c r="B22" s="282"/>
      <c r="C22" s="282"/>
      <c r="D22" s="282"/>
      <c r="F22" s="282"/>
      <c r="G22" s="282"/>
      <c r="H22" s="282"/>
      <c r="I22" s="282"/>
      <c r="K22" s="282"/>
      <c r="L22" s="282"/>
      <c r="M22" s="282"/>
      <c r="N22" s="282"/>
      <c r="O22" s="282"/>
      <c r="P22" s="286"/>
    </row>
    <row r="23" spans="1:16">
      <c r="A23" s="282"/>
      <c r="B23" s="306"/>
      <c r="C23" s="282"/>
      <c r="D23" s="282"/>
      <c r="F23" s="282"/>
      <c r="G23" s="282"/>
      <c r="H23" s="282"/>
      <c r="I23" s="282"/>
      <c r="K23" s="282"/>
      <c r="L23" s="282"/>
      <c r="M23" s="282"/>
      <c r="N23" s="282"/>
      <c r="O23" s="282"/>
      <c r="P23" s="286"/>
    </row>
    <row r="24" spans="1:16" ht="15">
      <c r="A24" s="281" t="s">
        <v>307</v>
      </c>
      <c r="B24" s="282"/>
      <c r="C24" s="282"/>
      <c r="D24" s="282"/>
      <c r="F24" s="282"/>
      <c r="G24" s="282"/>
      <c r="H24" s="282"/>
      <c r="I24" s="282"/>
      <c r="K24" s="282"/>
      <c r="L24" s="282"/>
      <c r="M24" s="282"/>
      <c r="N24" s="282"/>
      <c r="O24" s="282"/>
      <c r="P24" s="286"/>
    </row>
    <row r="25" spans="1:16">
      <c r="A25" s="282" t="s">
        <v>310</v>
      </c>
      <c r="B25" s="307" t="s">
        <v>110</v>
      </c>
      <c r="C25" s="282"/>
      <c r="D25" s="282"/>
      <c r="E25" s="283" t="s">
        <v>111</v>
      </c>
      <c r="F25" s="282"/>
      <c r="G25" s="282"/>
      <c r="H25" s="282"/>
      <c r="I25" s="282"/>
      <c r="K25" s="301">
        <v>60</v>
      </c>
      <c r="L25" s="282"/>
      <c r="M25" s="282"/>
      <c r="N25" s="282"/>
      <c r="O25" s="282"/>
      <c r="P25" s="286" t="s">
        <v>110</v>
      </c>
    </row>
    <row r="26" spans="1:16">
      <c r="A26" s="282" t="s">
        <v>305</v>
      </c>
      <c r="B26" s="307" t="s">
        <v>112</v>
      </c>
      <c r="C26" s="282"/>
      <c r="D26" s="282"/>
      <c r="E26" s="283" t="s">
        <v>8</v>
      </c>
      <c r="F26" s="282"/>
      <c r="G26" s="282"/>
      <c r="H26" s="282"/>
      <c r="I26" s="282"/>
      <c r="K26" s="282"/>
      <c r="L26" s="282"/>
      <c r="M26" s="323"/>
      <c r="N26" s="323"/>
      <c r="O26" s="323"/>
      <c r="P26" s="286" t="s">
        <v>112</v>
      </c>
    </row>
    <row r="27" spans="1:16">
      <c r="A27" s="282" t="s">
        <v>313</v>
      </c>
      <c r="B27" s="307" t="s">
        <v>302</v>
      </c>
      <c r="C27" s="282"/>
      <c r="D27" s="282"/>
      <c r="E27" s="283" t="s">
        <v>12</v>
      </c>
      <c r="F27" s="282"/>
      <c r="G27" s="282"/>
      <c r="H27" s="282"/>
      <c r="I27" s="282"/>
      <c r="K27" s="282"/>
      <c r="L27" s="282"/>
      <c r="M27" s="321"/>
      <c r="N27" s="321"/>
      <c r="O27" s="321"/>
      <c r="P27" s="286" t="s">
        <v>302</v>
      </c>
    </row>
    <row r="28" spans="1:16">
      <c r="A28" s="282" t="s">
        <v>314</v>
      </c>
      <c r="B28" s="307" t="s">
        <v>186</v>
      </c>
      <c r="C28" s="282"/>
      <c r="D28" s="282"/>
      <c r="E28" s="283" t="s">
        <v>12</v>
      </c>
      <c r="F28" s="282"/>
      <c r="G28" s="282"/>
      <c r="H28" s="282"/>
      <c r="I28" s="282"/>
      <c r="K28" s="282"/>
      <c r="L28" s="282"/>
      <c r="M28" s="321"/>
      <c r="N28" s="321"/>
      <c r="O28" s="321"/>
      <c r="P28" s="286" t="s">
        <v>186</v>
      </c>
    </row>
    <row r="29" spans="1:16">
      <c r="A29" s="282" t="s">
        <v>306</v>
      </c>
      <c r="B29" s="307" t="s">
        <v>308</v>
      </c>
      <c r="C29" s="282"/>
      <c r="D29" s="282"/>
      <c r="E29" s="283" t="s">
        <v>12</v>
      </c>
      <c r="F29" s="282"/>
      <c r="G29" s="282"/>
      <c r="H29" s="282"/>
      <c r="I29" s="282"/>
      <c r="K29" s="283"/>
      <c r="L29" s="283"/>
      <c r="M29" s="321"/>
      <c r="N29" s="321"/>
      <c r="O29" s="321"/>
      <c r="P29" s="286" t="s">
        <v>308</v>
      </c>
    </row>
    <row r="30" spans="1:16">
      <c r="A30" s="282"/>
      <c r="B30" s="282"/>
      <c r="C30" s="282"/>
      <c r="D30" s="282"/>
      <c r="E30" s="283"/>
      <c r="F30" s="282"/>
      <c r="G30" s="282"/>
      <c r="H30" s="282"/>
      <c r="I30" s="282"/>
      <c r="J30" s="283"/>
      <c r="K30" s="282"/>
      <c r="L30" s="282"/>
      <c r="M30" s="282"/>
      <c r="N30" s="282"/>
      <c r="O30" s="282"/>
      <c r="P30" s="286"/>
    </row>
    <row r="31" spans="1:16" ht="15">
      <c r="A31" s="281" t="s">
        <v>354</v>
      </c>
      <c r="B31" s="282"/>
      <c r="C31" s="282"/>
      <c r="D31" s="282"/>
      <c r="E31" s="283"/>
      <c r="F31" s="282"/>
      <c r="G31" s="282"/>
      <c r="H31" s="282"/>
      <c r="I31" s="282"/>
      <c r="J31" s="283"/>
      <c r="K31" s="282"/>
      <c r="L31" s="282"/>
      <c r="M31" s="282"/>
      <c r="N31" s="282"/>
      <c r="O31" s="282"/>
      <c r="P31" s="286"/>
    </row>
    <row r="32" spans="1:16">
      <c r="A32" s="282" t="s">
        <v>359</v>
      </c>
      <c r="B32" s="282" t="s">
        <v>267</v>
      </c>
      <c r="C32" s="282"/>
      <c r="D32" s="282"/>
      <c r="E32" s="283" t="s">
        <v>12</v>
      </c>
      <c r="F32" s="282"/>
      <c r="G32" s="282"/>
      <c r="H32" s="282"/>
      <c r="I32" s="282"/>
      <c r="J32" s="283"/>
      <c r="K32" s="321"/>
      <c r="L32" s="321"/>
      <c r="M32" s="321"/>
      <c r="N32" s="321"/>
      <c r="O32" s="321"/>
      <c r="P32" s="286" t="s">
        <v>267</v>
      </c>
    </row>
    <row r="33" spans="1:16">
      <c r="A33" s="282" t="s">
        <v>356</v>
      </c>
      <c r="B33" s="282" t="s">
        <v>279</v>
      </c>
      <c r="C33" s="282"/>
      <c r="D33" s="282"/>
      <c r="E33" s="283" t="s">
        <v>8</v>
      </c>
      <c r="F33" s="282"/>
      <c r="G33" s="282"/>
      <c r="H33" s="282"/>
      <c r="I33" s="282"/>
      <c r="J33" s="283"/>
      <c r="K33" s="289">
        <v>0.2</v>
      </c>
      <c r="L33" s="289">
        <v>0.2</v>
      </c>
      <c r="M33" s="289">
        <v>0.2</v>
      </c>
      <c r="N33" s="289">
        <v>0.2</v>
      </c>
      <c r="O33" s="289">
        <v>0.2</v>
      </c>
      <c r="P33" s="286" t="s">
        <v>279</v>
      </c>
    </row>
    <row r="34" spans="1:16">
      <c r="A34" s="282"/>
      <c r="B34" s="282"/>
      <c r="C34" s="282"/>
      <c r="D34" s="282"/>
      <c r="E34" s="283"/>
      <c r="F34" s="282"/>
      <c r="G34" s="282"/>
      <c r="H34" s="282"/>
      <c r="I34" s="282"/>
      <c r="K34" s="282"/>
      <c r="L34" s="282"/>
      <c r="M34" s="282"/>
      <c r="N34" s="282"/>
      <c r="O34" s="282"/>
      <c r="P34" s="286"/>
    </row>
    <row r="35" spans="1:16" ht="15">
      <c r="A35" s="281" t="s">
        <v>670</v>
      </c>
      <c r="B35" s="282"/>
      <c r="C35" s="282"/>
      <c r="D35" s="282"/>
      <c r="E35" s="283"/>
      <c r="F35" s="282"/>
      <c r="G35" s="282"/>
      <c r="H35" s="282"/>
      <c r="I35" s="282"/>
      <c r="K35" s="282"/>
      <c r="L35" s="282"/>
      <c r="M35" s="282"/>
      <c r="N35" s="282"/>
      <c r="O35" s="282"/>
      <c r="P35" s="286"/>
    </row>
    <row r="36" spans="1:16">
      <c r="A36" s="307" t="s">
        <v>363</v>
      </c>
      <c r="B36" s="282" t="s">
        <v>113</v>
      </c>
      <c r="C36" s="282"/>
      <c r="D36" s="282"/>
      <c r="E36" s="308" t="s">
        <v>495</v>
      </c>
      <c r="F36" s="282"/>
      <c r="G36" s="282"/>
      <c r="H36" s="282"/>
      <c r="I36" s="282"/>
      <c r="K36" s="309">
        <v>0.8</v>
      </c>
      <c r="L36" s="309">
        <v>0.8</v>
      </c>
      <c r="M36" s="309">
        <v>0.8</v>
      </c>
      <c r="N36" s="309">
        <v>0.8</v>
      </c>
      <c r="O36" s="309">
        <v>0.8</v>
      </c>
      <c r="P36" s="286" t="s">
        <v>113</v>
      </c>
    </row>
    <row r="37" spans="1:16" s="313" customFormat="1" ht="14.25">
      <c r="A37" s="294"/>
      <c r="B37" s="294"/>
      <c r="C37" s="294"/>
      <c r="D37" s="310"/>
      <c r="E37" s="311"/>
      <c r="F37" s="310"/>
      <c r="G37" s="310"/>
      <c r="H37" s="310"/>
      <c r="I37" s="310"/>
      <c r="J37" s="310"/>
      <c r="K37" s="310"/>
      <c r="L37" s="310"/>
      <c r="M37" s="310"/>
      <c r="N37" s="310"/>
      <c r="O37" s="294"/>
      <c r="P37" s="312"/>
    </row>
    <row r="38" spans="1:16" s="313" customFormat="1" ht="15">
      <c r="A38" s="314" t="s">
        <v>144</v>
      </c>
      <c r="B38" s="294"/>
      <c r="C38" s="294"/>
      <c r="D38" s="292"/>
      <c r="E38" s="296"/>
      <c r="F38" s="294"/>
      <c r="G38" s="292"/>
      <c r="H38" s="292"/>
      <c r="I38" s="292"/>
      <c r="J38" s="292"/>
      <c r="K38" s="297"/>
      <c r="L38" s="292"/>
      <c r="M38" s="292"/>
      <c r="N38" s="292"/>
      <c r="O38" s="294"/>
      <c r="P38" s="315"/>
    </row>
    <row r="39" spans="1:16" s="313" customFormat="1">
      <c r="A39" s="292" t="s">
        <v>576</v>
      </c>
      <c r="B39" s="294"/>
      <c r="C39" s="294"/>
      <c r="D39" s="292"/>
      <c r="E39" s="296" t="s">
        <v>8</v>
      </c>
      <c r="F39" s="294"/>
      <c r="G39" s="292"/>
      <c r="H39" s="292"/>
      <c r="I39" s="292"/>
      <c r="J39" s="292"/>
      <c r="K39" s="316">
        <v>0.03</v>
      </c>
      <c r="L39" s="292"/>
      <c r="M39" s="292"/>
      <c r="N39" s="292"/>
      <c r="O39" s="294"/>
      <c r="P39" s="315"/>
    </row>
    <row r="40" spans="1:16" s="313" customFormat="1">
      <c r="A40" s="292" t="s">
        <v>578</v>
      </c>
      <c r="B40" s="294"/>
      <c r="C40" s="294"/>
      <c r="D40" s="292"/>
      <c r="E40" s="296" t="s">
        <v>8</v>
      </c>
      <c r="F40" s="294"/>
      <c r="G40" s="292"/>
      <c r="H40" s="292"/>
      <c r="I40" s="292"/>
      <c r="J40" s="292"/>
      <c r="K40" s="316">
        <v>1.4999999999999999E-2</v>
      </c>
      <c r="L40" s="292"/>
      <c r="M40" s="292"/>
      <c r="N40" s="292"/>
      <c r="O40" s="294"/>
      <c r="P40" s="315"/>
    </row>
    <row r="41" spans="1:16" s="313" customFormat="1">
      <c r="A41" s="292" t="s">
        <v>579</v>
      </c>
      <c r="B41" s="294"/>
      <c r="C41" s="294"/>
      <c r="D41" s="292"/>
      <c r="E41" s="296" t="s">
        <v>8</v>
      </c>
      <c r="F41" s="294"/>
      <c r="G41" s="292"/>
      <c r="H41" s="292"/>
      <c r="I41" s="292"/>
      <c r="J41" s="292"/>
      <c r="K41" s="316">
        <v>1.4999999999999999E-2</v>
      </c>
      <c r="L41" s="292"/>
      <c r="M41" s="292"/>
      <c r="N41" s="292"/>
      <c r="O41" s="294"/>
      <c r="P41" s="315"/>
    </row>
    <row r="42" spans="1:16" s="313" customFormat="1">
      <c r="A42" s="292" t="s">
        <v>577</v>
      </c>
      <c r="B42" s="294"/>
      <c r="C42" s="294"/>
      <c r="D42" s="292"/>
      <c r="E42" s="296" t="s">
        <v>8</v>
      </c>
      <c r="F42" s="294"/>
      <c r="G42" s="292"/>
      <c r="H42" s="292"/>
      <c r="I42" s="292"/>
      <c r="J42" s="292"/>
      <c r="K42" s="316">
        <v>0</v>
      </c>
      <c r="L42" s="292"/>
      <c r="M42" s="292"/>
      <c r="N42" s="292"/>
      <c r="O42" s="294"/>
      <c r="P42" s="315"/>
    </row>
    <row r="43" spans="1:16">
      <c r="A43" s="282"/>
      <c r="B43" s="282"/>
      <c r="C43" s="282"/>
      <c r="D43" s="282"/>
      <c r="E43" s="283"/>
      <c r="F43" s="282"/>
      <c r="G43" s="282"/>
      <c r="H43" s="282"/>
      <c r="I43" s="282"/>
      <c r="K43" s="282"/>
      <c r="L43" s="282"/>
      <c r="M43" s="282"/>
      <c r="N43" s="282"/>
      <c r="O43" s="282"/>
      <c r="P43" s="286"/>
    </row>
    <row r="44" spans="1:16" ht="15">
      <c r="A44" s="281" t="s">
        <v>159</v>
      </c>
      <c r="B44" s="282"/>
      <c r="C44" s="282"/>
      <c r="D44" s="282"/>
      <c r="E44" s="283"/>
      <c r="F44" s="282"/>
      <c r="G44" s="282"/>
      <c r="H44" s="282"/>
      <c r="I44" s="282"/>
      <c r="K44" s="282"/>
      <c r="L44" s="282"/>
      <c r="M44" s="282"/>
      <c r="N44" s="282"/>
      <c r="O44" s="282"/>
      <c r="P44" s="286"/>
    </row>
    <row r="45" spans="1:16">
      <c r="A45" s="282" t="s">
        <v>402</v>
      </c>
      <c r="B45" s="282"/>
      <c r="C45" s="282"/>
      <c r="D45" s="282"/>
      <c r="E45" s="305" t="s">
        <v>12</v>
      </c>
      <c r="F45" s="282"/>
      <c r="G45" s="282"/>
      <c r="H45" s="282"/>
      <c r="I45" s="282"/>
      <c r="K45" s="321"/>
      <c r="L45" s="321"/>
      <c r="M45" s="321"/>
      <c r="N45" s="321"/>
      <c r="O45" s="321"/>
      <c r="P45" s="286" t="s">
        <v>400</v>
      </c>
    </row>
    <row r="46" spans="1:16">
      <c r="A46" s="282"/>
      <c r="B46" s="282"/>
      <c r="C46" s="282"/>
      <c r="D46" s="282"/>
      <c r="E46" s="283"/>
      <c r="F46" s="282"/>
      <c r="G46" s="282"/>
      <c r="H46" s="282"/>
      <c r="I46" s="282"/>
      <c r="K46" s="282"/>
      <c r="L46" s="282"/>
      <c r="M46" s="282"/>
      <c r="N46" s="282"/>
      <c r="O46" s="282"/>
      <c r="P46" s="286"/>
    </row>
    <row r="47" spans="1:16" ht="15">
      <c r="A47" s="281" t="s">
        <v>48</v>
      </c>
      <c r="B47" s="282"/>
      <c r="C47" s="282"/>
      <c r="D47" s="282"/>
      <c r="E47" s="283"/>
      <c r="F47" s="282"/>
      <c r="G47" s="282"/>
      <c r="H47" s="282"/>
      <c r="I47" s="282"/>
      <c r="K47" s="282"/>
      <c r="L47" s="282"/>
      <c r="M47" s="282"/>
      <c r="N47" s="282"/>
      <c r="O47" s="282"/>
      <c r="P47" s="286"/>
    </row>
    <row r="48" spans="1:16" ht="12.75" customHeight="1">
      <c r="A48" s="282" t="s">
        <v>369</v>
      </c>
      <c r="B48" s="282" t="s">
        <v>280</v>
      </c>
      <c r="C48" s="282"/>
      <c r="D48" s="282"/>
      <c r="E48" s="283" t="s">
        <v>115</v>
      </c>
      <c r="F48" s="282"/>
      <c r="G48" s="282"/>
      <c r="H48" s="282"/>
      <c r="I48" s="282"/>
      <c r="K48" s="301">
        <v>1000</v>
      </c>
      <c r="L48" s="301">
        <v>1000</v>
      </c>
      <c r="M48" s="301">
        <v>1000</v>
      </c>
      <c r="N48" s="301">
        <v>1000</v>
      </c>
      <c r="O48" s="301">
        <v>1000</v>
      </c>
      <c r="P48" s="286" t="s">
        <v>114</v>
      </c>
    </row>
    <row r="49" spans="1:16">
      <c r="A49" s="282" t="s">
        <v>116</v>
      </c>
      <c r="B49" s="282" t="s">
        <v>382</v>
      </c>
      <c r="C49" s="282"/>
      <c r="D49" s="282"/>
      <c r="E49" s="283" t="s">
        <v>495</v>
      </c>
      <c r="F49" s="282"/>
      <c r="G49" s="282"/>
      <c r="H49" s="282"/>
      <c r="I49" s="282"/>
      <c r="K49" s="309">
        <v>0.8</v>
      </c>
      <c r="L49" s="309">
        <v>0.8</v>
      </c>
      <c r="M49" s="309">
        <v>0.8</v>
      </c>
      <c r="N49" s="309">
        <v>0.8</v>
      </c>
      <c r="O49" s="309">
        <v>0.8</v>
      </c>
      <c r="P49" s="286" t="s">
        <v>117</v>
      </c>
    </row>
    <row r="50" spans="1:16">
      <c r="B50" s="282" t="s">
        <v>118</v>
      </c>
      <c r="C50" s="282"/>
      <c r="D50" s="282"/>
      <c r="E50" s="283" t="s">
        <v>82</v>
      </c>
      <c r="F50" s="282"/>
      <c r="G50" s="282"/>
      <c r="H50" s="282"/>
      <c r="I50" s="282"/>
      <c r="K50" s="309">
        <v>15</v>
      </c>
      <c r="L50" s="309">
        <v>15</v>
      </c>
      <c r="M50" s="309">
        <v>15</v>
      </c>
      <c r="N50" s="309">
        <v>15</v>
      </c>
      <c r="O50" s="309">
        <v>15</v>
      </c>
      <c r="P50" s="286" t="s">
        <v>118</v>
      </c>
    </row>
    <row r="51" spans="1:16">
      <c r="B51" s="282" t="s">
        <v>384</v>
      </c>
      <c r="C51" s="282"/>
      <c r="D51" s="282"/>
      <c r="E51" s="283" t="s">
        <v>8</v>
      </c>
      <c r="F51" s="282"/>
      <c r="G51" s="282"/>
      <c r="H51" s="282"/>
      <c r="I51" s="282"/>
      <c r="K51" s="289">
        <v>5.6000000000000001E-2</v>
      </c>
      <c r="L51" s="289">
        <v>5.6000000000000001E-2</v>
      </c>
      <c r="M51" s="289">
        <v>5.6000000000000001E-2</v>
      </c>
      <c r="N51" s="289">
        <v>5.6000000000000001E-2</v>
      </c>
      <c r="O51" s="289">
        <v>5.6000000000000001E-2</v>
      </c>
      <c r="P51" s="286" t="s">
        <v>119</v>
      </c>
    </row>
    <row r="52" spans="1:16">
      <c r="A52" s="282" t="s">
        <v>120</v>
      </c>
      <c r="B52" s="282" t="s">
        <v>281</v>
      </c>
      <c r="C52" s="282"/>
      <c r="D52" s="282"/>
      <c r="E52" s="283" t="s">
        <v>115</v>
      </c>
      <c r="F52" s="282"/>
      <c r="G52" s="282"/>
      <c r="H52" s="282"/>
      <c r="I52" s="282"/>
      <c r="K52" s="301">
        <v>1000</v>
      </c>
      <c r="L52" s="301">
        <v>1000</v>
      </c>
      <c r="M52" s="301">
        <v>1000</v>
      </c>
      <c r="N52" s="301">
        <v>1000</v>
      </c>
      <c r="O52" s="301">
        <v>1000</v>
      </c>
      <c r="P52" s="286" t="s">
        <v>121</v>
      </c>
    </row>
    <row r="53" spans="1:16">
      <c r="A53" s="282" t="s">
        <v>122</v>
      </c>
      <c r="B53" s="282" t="s">
        <v>602</v>
      </c>
      <c r="C53" s="282"/>
      <c r="D53" s="282"/>
      <c r="E53" s="283" t="s">
        <v>115</v>
      </c>
      <c r="F53" s="282"/>
      <c r="G53" s="282"/>
      <c r="H53" s="282"/>
      <c r="I53" s="282"/>
      <c r="K53" s="301">
        <v>3450</v>
      </c>
      <c r="L53" s="301">
        <v>3450</v>
      </c>
      <c r="M53" s="301">
        <v>3450</v>
      </c>
      <c r="N53" s="301">
        <v>3450</v>
      </c>
      <c r="O53" s="301">
        <v>3450</v>
      </c>
      <c r="P53" s="286" t="s">
        <v>123</v>
      </c>
    </row>
    <row r="54" spans="1:16">
      <c r="B54" s="282" t="s">
        <v>124</v>
      </c>
      <c r="C54" s="282"/>
      <c r="D54" s="282"/>
      <c r="E54" s="283" t="s">
        <v>12</v>
      </c>
      <c r="F54" s="282"/>
      <c r="G54" s="282"/>
      <c r="H54" s="282"/>
      <c r="I54" s="282"/>
      <c r="K54" s="301">
        <v>0.5</v>
      </c>
      <c r="L54" s="301">
        <v>0.5</v>
      </c>
      <c r="M54" s="301">
        <v>0.5</v>
      </c>
      <c r="N54" s="301">
        <v>0.5</v>
      </c>
      <c r="O54" s="301">
        <v>0.5</v>
      </c>
      <c r="P54" s="286" t="s">
        <v>124</v>
      </c>
    </row>
    <row r="55" spans="1:16">
      <c r="A55" s="282" t="s">
        <v>176</v>
      </c>
      <c r="B55" s="282" t="s">
        <v>390</v>
      </c>
      <c r="C55" s="282"/>
      <c r="D55" s="282"/>
      <c r="E55" s="283" t="s">
        <v>12</v>
      </c>
      <c r="F55" s="282"/>
      <c r="G55" s="282"/>
      <c r="H55" s="282"/>
      <c r="I55" s="282"/>
      <c r="K55" s="321"/>
      <c r="L55" s="321"/>
      <c r="M55" s="321"/>
      <c r="N55" s="321"/>
      <c r="O55" s="321"/>
      <c r="P55" s="286" t="s">
        <v>390</v>
      </c>
    </row>
    <row r="56" spans="1:16">
      <c r="A56" s="282"/>
      <c r="B56" s="282"/>
      <c r="C56" s="282"/>
      <c r="D56" s="282"/>
      <c r="E56" s="283"/>
      <c r="F56" s="282"/>
      <c r="G56" s="282"/>
      <c r="H56" s="282"/>
      <c r="I56" s="282"/>
      <c r="K56" s="282"/>
      <c r="L56" s="282"/>
      <c r="M56" s="282"/>
      <c r="N56" s="282"/>
      <c r="O56" s="282"/>
      <c r="P56" s="286"/>
    </row>
    <row r="57" spans="1:16" ht="15">
      <c r="A57" s="281" t="s">
        <v>54</v>
      </c>
      <c r="B57" s="282"/>
      <c r="C57" s="282"/>
      <c r="D57" s="282"/>
      <c r="E57" s="283"/>
      <c r="F57" s="282"/>
      <c r="G57" s="282"/>
      <c r="H57" s="282"/>
      <c r="I57" s="282"/>
      <c r="K57" s="282"/>
      <c r="L57" s="282"/>
      <c r="M57" s="282"/>
      <c r="N57" s="282"/>
      <c r="O57" s="282"/>
      <c r="P57" s="286"/>
    </row>
    <row r="58" spans="1:16">
      <c r="A58" s="282" t="s">
        <v>125</v>
      </c>
      <c r="B58" s="282" t="s">
        <v>126</v>
      </c>
      <c r="C58" s="282"/>
      <c r="D58" s="282"/>
      <c r="E58" s="302" t="s">
        <v>14</v>
      </c>
      <c r="F58" s="282"/>
      <c r="G58" s="282"/>
      <c r="H58" s="282"/>
      <c r="I58" s="282"/>
      <c r="K58" s="301">
        <v>1.1200000000000001</v>
      </c>
      <c r="L58" s="301">
        <v>1.1200000000000001</v>
      </c>
      <c r="M58" s="301">
        <v>1.1200000000000001</v>
      </c>
      <c r="N58" s="301">
        <v>1.1200000000000001</v>
      </c>
      <c r="O58" s="301">
        <v>1.1200000000000001</v>
      </c>
      <c r="P58" s="286" t="s">
        <v>127</v>
      </c>
    </row>
    <row r="59" spans="1:16">
      <c r="A59" s="282" t="s">
        <v>259</v>
      </c>
      <c r="B59" s="282" t="s">
        <v>128</v>
      </c>
      <c r="C59" s="282"/>
      <c r="D59" s="282"/>
      <c r="E59" s="302" t="s">
        <v>14</v>
      </c>
      <c r="F59" s="282"/>
      <c r="G59" s="282"/>
      <c r="H59" s="282"/>
      <c r="I59" s="282"/>
      <c r="K59" s="301">
        <v>59</v>
      </c>
      <c r="L59" s="301">
        <v>59</v>
      </c>
      <c r="M59" s="301">
        <v>59</v>
      </c>
      <c r="N59" s="301">
        <v>59</v>
      </c>
      <c r="O59" s="301">
        <v>59</v>
      </c>
      <c r="P59" s="286" t="s">
        <v>129</v>
      </c>
    </row>
    <row r="60" spans="1:16">
      <c r="B60" s="282" t="s">
        <v>186</v>
      </c>
      <c r="C60" s="282"/>
      <c r="D60" s="282"/>
      <c r="E60" s="302" t="s">
        <v>82</v>
      </c>
      <c r="F60" s="282"/>
      <c r="G60" s="282"/>
      <c r="H60" s="282"/>
      <c r="I60" s="282"/>
      <c r="K60" s="309">
        <v>9.7200000000000006</v>
      </c>
      <c r="L60" s="309">
        <v>9.7200000000000006</v>
      </c>
      <c r="M60" s="309">
        <v>9.7200000000000006</v>
      </c>
      <c r="N60" s="309">
        <v>9.7200000000000006</v>
      </c>
      <c r="O60" s="309">
        <v>9.7200000000000006</v>
      </c>
      <c r="P60" s="286" t="s">
        <v>301</v>
      </c>
    </row>
    <row r="61" spans="1:16">
      <c r="A61" s="282" t="s">
        <v>130</v>
      </c>
      <c r="B61" s="282" t="s">
        <v>131</v>
      </c>
      <c r="C61" s="282"/>
      <c r="D61" s="282"/>
      <c r="E61" s="302" t="s">
        <v>14</v>
      </c>
      <c r="F61" s="282"/>
      <c r="G61" s="282"/>
      <c r="H61" s="282"/>
      <c r="I61" s="282"/>
      <c r="K61" s="301">
        <v>60.31</v>
      </c>
      <c r="L61" s="301">
        <v>60.31</v>
      </c>
      <c r="M61" s="301">
        <v>60.31</v>
      </c>
      <c r="N61" s="301">
        <v>60.31</v>
      </c>
      <c r="O61" s="301">
        <v>60.31</v>
      </c>
      <c r="P61" s="286" t="s">
        <v>131</v>
      </c>
    </row>
    <row r="62" spans="1:16">
      <c r="B62" s="282" t="s">
        <v>189</v>
      </c>
      <c r="C62" s="282"/>
      <c r="D62" s="282"/>
      <c r="E62" s="302" t="s">
        <v>82</v>
      </c>
      <c r="F62" s="282"/>
      <c r="G62" s="282"/>
      <c r="H62" s="282"/>
      <c r="I62" s="282"/>
      <c r="K62" s="309">
        <v>9.34</v>
      </c>
      <c r="L62" s="309">
        <v>9.34</v>
      </c>
      <c r="M62" s="309">
        <v>9.34</v>
      </c>
      <c r="N62" s="309">
        <v>9.34</v>
      </c>
      <c r="O62" s="309">
        <v>9.34</v>
      </c>
      <c r="P62" s="286" t="s">
        <v>189</v>
      </c>
    </row>
    <row r="63" spans="1:16">
      <c r="A63" s="282" t="s">
        <v>132</v>
      </c>
      <c r="B63" s="282" t="s">
        <v>133</v>
      </c>
      <c r="C63" s="282"/>
      <c r="D63" s="282"/>
      <c r="E63" s="302" t="s">
        <v>14</v>
      </c>
      <c r="F63" s="282"/>
      <c r="G63" s="282"/>
      <c r="H63" s="282"/>
      <c r="I63" s="282"/>
      <c r="K63" s="301">
        <v>62.77</v>
      </c>
      <c r="L63" s="301">
        <v>62.77</v>
      </c>
      <c r="M63" s="301">
        <v>62.77</v>
      </c>
      <c r="N63" s="301">
        <v>62.77</v>
      </c>
      <c r="O63" s="301">
        <v>62.77</v>
      </c>
      <c r="P63" s="286" t="s">
        <v>133</v>
      </c>
    </row>
    <row r="64" spans="1:16">
      <c r="B64" s="282" t="s">
        <v>192</v>
      </c>
      <c r="C64" s="282"/>
      <c r="D64" s="282"/>
      <c r="E64" s="302" t="s">
        <v>82</v>
      </c>
      <c r="F64" s="282"/>
      <c r="G64" s="282"/>
      <c r="H64" s="282"/>
      <c r="I64" s="282"/>
      <c r="K64" s="309">
        <v>7</v>
      </c>
      <c r="L64" s="309">
        <v>7</v>
      </c>
      <c r="M64" s="309">
        <v>7</v>
      </c>
      <c r="N64" s="309">
        <v>7</v>
      </c>
      <c r="O64" s="309">
        <v>7</v>
      </c>
      <c r="P64" s="286" t="s">
        <v>192</v>
      </c>
    </row>
    <row r="65" spans="1:16">
      <c r="A65" s="282"/>
      <c r="B65" s="282"/>
      <c r="C65" s="282"/>
      <c r="D65" s="282"/>
      <c r="E65" s="283"/>
      <c r="F65" s="282"/>
      <c r="G65" s="282"/>
      <c r="H65" s="282"/>
      <c r="I65" s="282"/>
      <c r="J65" s="317"/>
      <c r="K65" s="282"/>
      <c r="L65" s="282"/>
      <c r="M65" s="282"/>
      <c r="N65" s="282"/>
      <c r="O65" s="282"/>
      <c r="P65" s="286"/>
    </row>
    <row r="66" spans="1:16" hidden="1">
      <c r="A66" s="282"/>
      <c r="B66" s="282"/>
      <c r="C66" s="282"/>
      <c r="D66" s="282"/>
      <c r="E66" s="283"/>
      <c r="F66" s="318"/>
      <c r="G66" s="318"/>
      <c r="H66" s="318"/>
      <c r="I66" s="318"/>
      <c r="J66" s="319"/>
      <c r="K66" s="282"/>
      <c r="L66" s="282"/>
      <c r="M66" s="282"/>
      <c r="N66" s="282"/>
      <c r="O66" s="282"/>
      <c r="P66" s="286"/>
    </row>
    <row r="67" spans="1:16" hidden="1">
      <c r="F67" s="320"/>
      <c r="G67" s="320"/>
      <c r="H67" s="320"/>
      <c r="I67" s="320"/>
      <c r="J67" s="320"/>
    </row>
    <row r="68" spans="1:16" hidden="1">
      <c r="F68" s="320"/>
      <c r="G68" s="320"/>
      <c r="H68" s="320"/>
      <c r="I68" s="320"/>
      <c r="J68" s="320"/>
    </row>
    <row r="69" spans="1:16" hidden="1">
      <c r="F69" s="320"/>
      <c r="G69" s="320"/>
      <c r="H69" s="320"/>
      <c r="I69" s="320"/>
      <c r="J69" s="320"/>
    </row>
    <row r="70" spans="1:16" hidden="1">
      <c r="F70" s="320"/>
      <c r="G70" s="320"/>
      <c r="H70" s="320"/>
      <c r="I70" s="320"/>
      <c r="J70" s="320"/>
    </row>
    <row r="71" spans="1:16" hidden="1">
      <c r="F71" s="320"/>
      <c r="G71" s="320"/>
      <c r="H71" s="320"/>
      <c r="I71" s="320"/>
      <c r="J71" s="320"/>
    </row>
    <row r="72" spans="1:16" hidden="1">
      <c r="F72" s="320"/>
      <c r="G72" s="320"/>
      <c r="H72" s="320"/>
      <c r="I72" s="320"/>
      <c r="J72" s="320"/>
    </row>
    <row r="73" spans="1:16" hidden="1">
      <c r="F73" s="320"/>
      <c r="G73" s="320"/>
      <c r="H73" s="320"/>
      <c r="I73" s="320"/>
      <c r="J73" s="320"/>
    </row>
    <row r="74" spans="1:16" hidden="1">
      <c r="F74" s="320"/>
      <c r="G74" s="320"/>
      <c r="H74" s="320"/>
      <c r="I74" s="320"/>
      <c r="J74" s="320"/>
    </row>
    <row r="75" spans="1:16" hidden="1">
      <c r="F75" s="320"/>
      <c r="G75" s="320"/>
      <c r="H75" s="320"/>
      <c r="I75" s="320"/>
      <c r="J75" s="320"/>
    </row>
    <row r="76" spans="1:16" hidden="1">
      <c r="F76" s="320"/>
      <c r="G76" s="320"/>
      <c r="H76" s="320"/>
      <c r="I76" s="320"/>
      <c r="J76" s="320"/>
    </row>
    <row r="77" spans="1:16" hidden="1">
      <c r="F77" s="320"/>
      <c r="G77" s="320"/>
      <c r="H77" s="320"/>
      <c r="I77" s="320"/>
      <c r="J77" s="320"/>
    </row>
    <row r="78" spans="1:16" hidden="1">
      <c r="F78" s="320"/>
      <c r="G78" s="320"/>
      <c r="H78" s="320"/>
      <c r="I78" s="320"/>
      <c r="J78" s="320"/>
    </row>
    <row r="79" spans="1:16" hidden="1">
      <c r="F79" s="320"/>
      <c r="G79" s="320"/>
      <c r="H79" s="320"/>
      <c r="I79" s="320"/>
      <c r="J79" s="320"/>
    </row>
    <row r="80" spans="1:16" hidden="1">
      <c r="F80" s="320"/>
      <c r="G80" s="320"/>
      <c r="H80" s="320"/>
      <c r="I80" s="320"/>
      <c r="J80" s="320"/>
    </row>
    <row r="81" spans="6:10" hidden="1">
      <c r="F81" s="320"/>
      <c r="G81" s="320"/>
      <c r="H81" s="320"/>
      <c r="I81" s="320"/>
      <c r="J81" s="320"/>
    </row>
    <row r="82" spans="6:10" hidden="1">
      <c r="F82" s="320"/>
      <c r="G82" s="320"/>
      <c r="H82" s="320"/>
      <c r="I82" s="320"/>
      <c r="J82" s="320"/>
    </row>
    <row r="83" spans="6:10" hidden="1">
      <c r="F83" s="320"/>
      <c r="G83" s="320"/>
      <c r="H83" s="320"/>
      <c r="I83" s="320"/>
      <c r="J83" s="320"/>
    </row>
    <row r="84" spans="6:10" hidden="1">
      <c r="F84" s="320"/>
      <c r="G84" s="320"/>
      <c r="H84" s="320"/>
      <c r="I84" s="320"/>
      <c r="J84" s="320"/>
    </row>
    <row r="85" spans="6:10" hidden="1">
      <c r="F85" s="320"/>
      <c r="G85" s="320"/>
      <c r="H85" s="320"/>
      <c r="I85" s="320"/>
      <c r="J85" s="320"/>
    </row>
    <row r="86" spans="6:10" hidden="1">
      <c r="F86" s="320"/>
      <c r="G86" s="320"/>
      <c r="H86" s="320"/>
      <c r="I86" s="320"/>
      <c r="J86" s="320"/>
    </row>
    <row r="87" spans="6:10" hidden="1">
      <c r="F87" s="320"/>
      <c r="G87" s="320"/>
      <c r="H87" s="320"/>
      <c r="I87" s="320"/>
      <c r="J87" s="320"/>
    </row>
    <row r="88" spans="6:10" hidden="1">
      <c r="F88" s="320"/>
      <c r="G88" s="320"/>
      <c r="H88" s="320"/>
      <c r="I88" s="320"/>
      <c r="J88" s="320"/>
    </row>
    <row r="89" spans="6:10" hidden="1">
      <c r="F89" s="320"/>
      <c r="G89" s="320"/>
      <c r="H89" s="320"/>
      <c r="I89" s="320"/>
      <c r="J89" s="320"/>
    </row>
    <row r="90" spans="6:10" hidden="1">
      <c r="F90" s="320"/>
      <c r="G90" s="320"/>
      <c r="H90" s="320"/>
      <c r="I90" s="320"/>
      <c r="J90" s="320"/>
    </row>
    <row r="91" spans="6:10" hidden="1">
      <c r="F91" s="320"/>
      <c r="G91" s="320"/>
      <c r="H91" s="320"/>
      <c r="I91" s="320"/>
      <c r="J91" s="320"/>
    </row>
    <row r="92" spans="6:10" hidden="1">
      <c r="F92" s="320"/>
      <c r="G92" s="320"/>
      <c r="H92" s="320"/>
      <c r="I92" s="320"/>
      <c r="J92" s="320"/>
    </row>
    <row r="93" spans="6:10" hidden="1">
      <c r="F93" s="320"/>
      <c r="G93" s="320"/>
      <c r="H93" s="320"/>
      <c r="I93" s="320"/>
      <c r="J93" s="320"/>
    </row>
    <row r="94" spans="6:10" hidden="1">
      <c r="F94" s="320"/>
      <c r="G94" s="320"/>
      <c r="H94" s="320"/>
      <c r="I94" s="320"/>
      <c r="J94" s="320"/>
    </row>
    <row r="95" spans="6:10" hidden="1">
      <c r="F95" s="320"/>
      <c r="G95" s="320"/>
      <c r="H95" s="320"/>
      <c r="I95" s="320"/>
      <c r="J95" s="320"/>
    </row>
    <row r="96" spans="6:10" hidden="1">
      <c r="F96" s="320"/>
      <c r="G96" s="320"/>
      <c r="H96" s="320"/>
      <c r="I96" s="320"/>
      <c r="J96" s="320"/>
    </row>
    <row r="97" spans="6:10" hidden="1">
      <c r="F97" s="320"/>
      <c r="G97" s="320"/>
      <c r="H97" s="320"/>
      <c r="I97" s="320"/>
      <c r="J97" s="320"/>
    </row>
    <row r="98" spans="6:10" hidden="1">
      <c r="F98" s="320"/>
      <c r="G98" s="320"/>
      <c r="H98" s="320"/>
      <c r="I98" s="320"/>
      <c r="J98" s="320"/>
    </row>
    <row r="99" spans="6:10" hidden="1">
      <c r="F99" s="320"/>
      <c r="G99" s="320"/>
      <c r="H99" s="320"/>
      <c r="I99" s="320"/>
      <c r="J99" s="320"/>
    </row>
    <row r="100" spans="6:10" hidden="1">
      <c r="F100" s="320"/>
      <c r="G100" s="320"/>
      <c r="H100" s="320"/>
      <c r="I100" s="320"/>
      <c r="J100" s="320"/>
    </row>
    <row r="101" spans="6:10" hidden="1">
      <c r="F101" s="320"/>
      <c r="G101" s="320"/>
      <c r="H101" s="320"/>
      <c r="I101" s="320"/>
      <c r="J101" s="320"/>
    </row>
    <row r="102" spans="6:10" hidden="1">
      <c r="F102" s="320"/>
      <c r="G102" s="320"/>
      <c r="H102" s="320"/>
      <c r="I102" s="320"/>
      <c r="J102" s="320"/>
    </row>
    <row r="103" spans="6:10" hidden="1">
      <c r="F103" s="320"/>
      <c r="G103" s="320"/>
      <c r="H103" s="320"/>
      <c r="I103" s="320"/>
      <c r="J103" s="320"/>
    </row>
    <row r="104" spans="6:10" hidden="1">
      <c r="F104" s="320"/>
      <c r="G104" s="320"/>
      <c r="H104" s="320"/>
      <c r="I104" s="320"/>
      <c r="J104" s="320"/>
    </row>
    <row r="105" spans="6:10" hidden="1">
      <c r="F105" s="320"/>
      <c r="G105" s="320"/>
      <c r="H105" s="320"/>
      <c r="I105" s="320"/>
      <c r="J105" s="320"/>
    </row>
    <row r="106" spans="6:10" hidden="1">
      <c r="F106" s="320"/>
      <c r="G106" s="320"/>
      <c r="H106" s="320"/>
      <c r="I106" s="320"/>
      <c r="J106" s="320"/>
    </row>
    <row r="107" spans="6:10" hidden="1">
      <c r="F107" s="320"/>
      <c r="G107" s="320"/>
      <c r="H107" s="320"/>
      <c r="I107" s="320"/>
      <c r="J107" s="320"/>
    </row>
    <row r="108" spans="6:10" hidden="1">
      <c r="F108" s="320"/>
      <c r="G108" s="320"/>
      <c r="H108" s="320"/>
      <c r="I108" s="320"/>
      <c r="J108" s="320"/>
    </row>
    <row r="109" spans="6:10" hidden="1">
      <c r="F109" s="320"/>
      <c r="G109" s="320"/>
      <c r="H109" s="320"/>
      <c r="I109" s="320"/>
      <c r="J109" s="320"/>
    </row>
    <row r="110" spans="6:10" hidden="1">
      <c r="F110" s="320"/>
      <c r="G110" s="320"/>
      <c r="H110" s="320"/>
      <c r="I110" s="320"/>
      <c r="J110" s="320"/>
    </row>
    <row r="111" spans="6:10" hidden="1">
      <c r="F111" s="320"/>
      <c r="G111" s="320"/>
      <c r="H111" s="320"/>
      <c r="I111" s="320"/>
      <c r="J111" s="320"/>
    </row>
    <row r="112" spans="6:10" hidden="1">
      <c r="F112" s="320"/>
      <c r="G112" s="320"/>
      <c r="H112" s="320"/>
      <c r="I112" s="320"/>
      <c r="J112" s="320"/>
    </row>
    <row r="113" spans="6:10" hidden="1">
      <c r="F113" s="320"/>
      <c r="G113" s="320"/>
      <c r="H113" s="320"/>
      <c r="I113" s="320"/>
      <c r="J113" s="320"/>
    </row>
    <row r="114" spans="6:10" hidden="1">
      <c r="F114" s="320"/>
      <c r="G114" s="320"/>
      <c r="H114" s="320"/>
      <c r="I114" s="320"/>
      <c r="J114" s="320"/>
    </row>
    <row r="115" spans="6:10" hidden="1">
      <c r="F115" s="320"/>
      <c r="G115" s="320"/>
      <c r="H115" s="320"/>
      <c r="I115" s="320"/>
      <c r="J115" s="320"/>
    </row>
    <row r="116" spans="6:10" hidden="1">
      <c r="F116" s="320"/>
      <c r="G116" s="320"/>
      <c r="H116" s="320"/>
      <c r="I116" s="320"/>
      <c r="J116" s="320"/>
    </row>
    <row r="117" spans="6:10" hidden="1">
      <c r="F117" s="320"/>
      <c r="G117" s="320"/>
      <c r="H117" s="320"/>
      <c r="I117" s="320"/>
      <c r="J117" s="320"/>
    </row>
    <row r="118" spans="6:10" hidden="1">
      <c r="F118" s="320"/>
      <c r="G118" s="320"/>
      <c r="H118" s="320"/>
      <c r="I118" s="320"/>
      <c r="J118" s="320"/>
    </row>
    <row r="119" spans="6:10" hidden="1">
      <c r="F119" s="320"/>
      <c r="G119" s="320"/>
      <c r="H119" s="320"/>
      <c r="I119" s="320"/>
      <c r="J119" s="320"/>
    </row>
    <row r="120" spans="6:10" hidden="1">
      <c r="F120" s="320"/>
      <c r="G120" s="320"/>
      <c r="H120" s="320"/>
      <c r="I120" s="320"/>
      <c r="J120" s="320"/>
    </row>
    <row r="121" spans="6:10" hidden="1">
      <c r="F121" s="320"/>
      <c r="G121" s="320"/>
      <c r="H121" s="320"/>
      <c r="I121" s="320"/>
      <c r="J121" s="320"/>
    </row>
    <row r="122" spans="6:10" hidden="1">
      <c r="F122" s="320"/>
      <c r="G122" s="320"/>
      <c r="H122" s="320"/>
      <c r="I122" s="320"/>
      <c r="J122" s="320"/>
    </row>
    <row r="123" spans="6:10" hidden="1">
      <c r="F123" s="320"/>
      <c r="G123" s="320"/>
      <c r="H123" s="320"/>
      <c r="I123" s="320"/>
      <c r="J123" s="320"/>
    </row>
    <row r="124" spans="6:10" hidden="1">
      <c r="F124" s="320"/>
      <c r="G124" s="320"/>
      <c r="H124" s="320"/>
      <c r="I124" s="320"/>
      <c r="J124" s="320"/>
    </row>
    <row r="125" spans="6:10" hidden="1">
      <c r="F125" s="320"/>
      <c r="G125" s="320"/>
      <c r="H125" s="320"/>
      <c r="I125" s="320"/>
      <c r="J125" s="320"/>
    </row>
    <row r="126" spans="6:10" hidden="1">
      <c r="F126" s="320"/>
      <c r="G126" s="320"/>
      <c r="H126" s="320"/>
      <c r="I126" s="320"/>
      <c r="J126" s="320"/>
    </row>
    <row r="127" spans="6:10" hidden="1">
      <c r="F127" s="320"/>
      <c r="G127" s="320"/>
      <c r="H127" s="320"/>
      <c r="I127" s="320"/>
      <c r="J127" s="320"/>
    </row>
    <row r="128" spans="6:10" hidden="1">
      <c r="F128" s="320"/>
      <c r="G128" s="320"/>
      <c r="H128" s="320"/>
      <c r="I128" s="320"/>
      <c r="J128" s="320"/>
    </row>
    <row r="129" spans="6:10" hidden="1">
      <c r="F129" s="320"/>
      <c r="G129" s="320"/>
      <c r="H129" s="320"/>
      <c r="I129" s="320"/>
      <c r="J129" s="320"/>
    </row>
    <row r="130" spans="6:10" hidden="1">
      <c r="F130" s="320"/>
      <c r="G130" s="320"/>
      <c r="H130" s="320"/>
      <c r="I130" s="320"/>
      <c r="J130" s="320"/>
    </row>
    <row r="131" spans="6:10" hidden="1">
      <c r="F131" s="320"/>
      <c r="G131" s="320"/>
      <c r="H131" s="320"/>
      <c r="I131" s="320"/>
      <c r="J131" s="320"/>
    </row>
    <row r="132" spans="6:10" hidden="1">
      <c r="F132" s="320"/>
      <c r="G132" s="320"/>
      <c r="H132" s="320"/>
      <c r="I132" s="320"/>
      <c r="J132" s="320"/>
    </row>
    <row r="133" spans="6:10" hidden="1">
      <c r="F133" s="320"/>
      <c r="G133" s="320"/>
      <c r="H133" s="320"/>
      <c r="I133" s="320"/>
      <c r="J133" s="320"/>
    </row>
    <row r="134" spans="6:10" hidden="1">
      <c r="F134" s="320"/>
      <c r="G134" s="320"/>
      <c r="H134" s="320"/>
      <c r="I134" s="320"/>
      <c r="J134" s="320"/>
    </row>
    <row r="135" spans="6:10" hidden="1">
      <c r="F135" s="320"/>
      <c r="G135" s="320"/>
      <c r="H135" s="320"/>
      <c r="I135" s="320"/>
      <c r="J135" s="320"/>
    </row>
    <row r="136" spans="6:10" hidden="1">
      <c r="F136" s="320"/>
      <c r="G136" s="320"/>
      <c r="H136" s="320"/>
      <c r="I136" s="320"/>
      <c r="J136" s="320"/>
    </row>
    <row r="137" spans="6:10" hidden="1">
      <c r="F137" s="320"/>
      <c r="G137" s="320"/>
      <c r="H137" s="320"/>
      <c r="I137" s="320"/>
      <c r="J137" s="320"/>
    </row>
    <row r="138" spans="6:10" hidden="1">
      <c r="F138" s="320"/>
      <c r="G138" s="320"/>
      <c r="H138" s="320"/>
      <c r="I138" s="320"/>
      <c r="J138" s="320"/>
    </row>
    <row r="139" spans="6:10" hidden="1">
      <c r="F139" s="320"/>
      <c r="G139" s="320"/>
      <c r="H139" s="320"/>
      <c r="I139" s="320"/>
      <c r="J139" s="320"/>
    </row>
    <row r="140" spans="6:10" hidden="1">
      <c r="F140" s="320"/>
      <c r="G140" s="320"/>
      <c r="H140" s="320"/>
      <c r="I140" s="320"/>
      <c r="J140" s="320"/>
    </row>
    <row r="141" spans="6:10" hidden="1">
      <c r="F141" s="320"/>
      <c r="G141" s="320"/>
      <c r="H141" s="320"/>
      <c r="I141" s="320"/>
      <c r="J141" s="320"/>
    </row>
    <row r="142" spans="6:10" hidden="1">
      <c r="F142" s="320"/>
      <c r="G142" s="320"/>
      <c r="H142" s="320"/>
      <c r="I142" s="320"/>
      <c r="J142" s="320"/>
    </row>
    <row r="143" spans="6:10" hidden="1"/>
    <row r="144" spans="6:1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sheetData>
  <sheetProtection password="E1CD" sheet="1" objects="1" scenarios="1" formatCells="0" formatColumns="0" formatRows="0" insertHyperlinks="0" autoFilter="0" pivotTables="0"/>
  <mergeCells count="1">
    <mergeCell ref="K4:M4"/>
  </mergeCells>
  <pageMargins left="0.70866141732283472" right="0.70866141732283472" top="0.55118110236220474" bottom="0.74803149606299213" header="0.11811023622047245" footer="0.11811023622047245"/>
  <pageSetup paperSize="8" fitToHeight="0" orientation="landscape" r:id="rId1"/>
  <headerFooter>
    <oddHeader>&amp;C&amp;A</oddHeader>
    <oddFooter>&amp;L&amp;D &amp;T&amp;C&amp;Z&amp;R&amp;F</oddFooter>
  </headerFooter>
  <rowBreaks count="1" manualBreakCount="1">
    <brk id="46" max="16383" man="1"/>
  </rowBreaks>
  <drawing r:id="rId2"/>
</worksheet>
</file>

<file path=xl/worksheets/sheet5.xml><?xml version="1.0" encoding="utf-8"?>
<worksheet xmlns="http://schemas.openxmlformats.org/spreadsheetml/2006/main" xmlns:r="http://schemas.openxmlformats.org/officeDocument/2006/relationships">
  <sheetPr codeName="Sheet4">
    <tabColor rgb="FFFFFF99"/>
    <pageSetUpPr fitToPage="1"/>
  </sheetPr>
  <dimension ref="A1:T318"/>
  <sheetViews>
    <sheetView showGridLines="0" zoomScale="92" zoomScaleNormal="92" workbookViewId="0">
      <pane xSplit="1" ySplit="4" topLeftCell="B5" activePane="bottomRight" state="frozen"/>
      <selection pane="topRight" activeCell="B1" sqref="B1"/>
      <selection pane="bottomLeft" activeCell="A5" sqref="A5"/>
      <selection pane="bottomRight" activeCell="B5" sqref="B5"/>
    </sheetView>
  </sheetViews>
  <sheetFormatPr defaultColWidth="0" defaultRowHeight="12.75" zeroHeight="1" outlineLevelRow="1"/>
  <cols>
    <col min="1" max="1" width="62.625" style="34" customWidth="1"/>
    <col min="2" max="2" width="7.625" style="44" customWidth="1"/>
    <col min="3" max="4" width="1.5" style="34" customWidth="1"/>
    <col min="5" max="5" width="5.75" style="236" bestFit="1" customWidth="1"/>
    <col min="6" max="9" width="1.125" style="34" customWidth="1"/>
    <col min="10" max="15" width="10.625" style="34" customWidth="1"/>
    <col min="16" max="16" width="14.625" style="44" customWidth="1"/>
    <col min="17" max="17" width="11.5" style="44" hidden="1" customWidth="1"/>
    <col min="18" max="18" width="6.625" style="44" hidden="1" customWidth="1"/>
    <col min="19" max="19" width="18.25" style="44" hidden="1" customWidth="1"/>
    <col min="20" max="20" width="18.25" style="34" hidden="1" customWidth="1"/>
    <col min="21" max="16384" width="9" style="34" hidden="1"/>
  </cols>
  <sheetData>
    <row r="1" spans="1:18" s="36" customFormat="1" ht="15">
      <c r="A1" s="239" t="s">
        <v>483</v>
      </c>
      <c r="B1" s="120"/>
      <c r="E1" s="225"/>
    </row>
    <row r="2" spans="1:18" s="36" customFormat="1" ht="15">
      <c r="A2" s="239" t="str">
        <f>COMPNAME</f>
        <v>Company Name of Electricity Distribution Network Operator Limited</v>
      </c>
      <c r="E2" s="225"/>
    </row>
    <row r="3" spans="1:18" s="44" customFormat="1" ht="14.25">
      <c r="A3" s="155" t="str">
        <f>'R5 Input page'!K8</f>
        <v>Regulatory Year ending 31 March 2012</v>
      </c>
      <c r="B3" s="47"/>
      <c r="C3" s="47"/>
      <c r="D3" s="47"/>
      <c r="E3" s="48"/>
      <c r="F3" s="47"/>
      <c r="G3" s="47"/>
      <c r="H3" s="47"/>
      <c r="I3" s="47"/>
      <c r="J3" s="368" t="s">
        <v>645</v>
      </c>
      <c r="K3" s="368"/>
      <c r="L3" s="47"/>
      <c r="M3" s="47"/>
      <c r="N3" s="56"/>
      <c r="O3" s="47"/>
      <c r="P3" s="47"/>
      <c r="R3" s="47"/>
    </row>
    <row r="4" spans="1:18" s="44" customFormat="1">
      <c r="B4" s="45" t="s">
        <v>695</v>
      </c>
      <c r="C4" s="41"/>
      <c r="D4" s="41"/>
      <c r="E4" s="43" t="s">
        <v>5</v>
      </c>
      <c r="F4" s="49"/>
      <c r="G4" s="49"/>
      <c r="H4" s="49"/>
      <c r="I4" s="49"/>
      <c r="J4" s="49">
        <v>2010</v>
      </c>
      <c r="K4" s="49">
        <v>2011</v>
      </c>
      <c r="L4" s="49">
        <v>2012</v>
      </c>
      <c r="M4" s="49">
        <v>2013</v>
      </c>
      <c r="N4" s="49">
        <v>2014</v>
      </c>
      <c r="O4" s="49">
        <v>2015</v>
      </c>
      <c r="P4" s="54" t="s">
        <v>6</v>
      </c>
    </row>
    <row r="5" spans="1:18" s="330" customFormat="1" ht="9" customHeight="1">
      <c r="B5" s="45"/>
      <c r="C5" s="41"/>
      <c r="D5" s="41"/>
      <c r="E5" s="43"/>
      <c r="F5" s="49"/>
      <c r="G5" s="49"/>
      <c r="H5" s="49"/>
      <c r="I5" s="49"/>
      <c r="J5" s="49"/>
      <c r="K5" s="49"/>
      <c r="L5" s="49"/>
      <c r="M5" s="49"/>
      <c r="N5" s="49"/>
      <c r="O5" s="49"/>
      <c r="P5" s="54"/>
    </row>
    <row r="6" spans="1:18" s="44" customFormat="1" ht="15">
      <c r="A6" s="239" t="s">
        <v>4</v>
      </c>
      <c r="B6" s="50"/>
      <c r="C6" s="50"/>
      <c r="D6" s="50"/>
      <c r="E6" s="51"/>
      <c r="F6" s="47"/>
      <c r="G6" s="47"/>
      <c r="H6" s="47"/>
      <c r="I6" s="47"/>
      <c r="J6" s="47"/>
      <c r="K6" s="57"/>
      <c r="L6" s="57"/>
      <c r="M6" s="57"/>
      <c r="N6" s="57"/>
      <c r="O6" s="57"/>
      <c r="P6" s="54"/>
      <c r="R6" s="47"/>
    </row>
    <row r="7" spans="1:18">
      <c r="A7" s="335" t="s">
        <v>657</v>
      </c>
      <c r="C7" s="44"/>
      <c r="D7" s="44"/>
      <c r="E7" s="46"/>
      <c r="F7" s="44"/>
      <c r="G7" s="44"/>
      <c r="H7" s="44"/>
      <c r="I7" s="44"/>
      <c r="J7" s="44"/>
      <c r="K7" s="353" t="s">
        <v>684</v>
      </c>
      <c r="L7" s="354"/>
      <c r="M7" s="354"/>
      <c r="N7" s="354"/>
      <c r="O7" s="355"/>
      <c r="P7" s="54" t="s">
        <v>10</v>
      </c>
    </row>
    <row r="8" spans="1:18">
      <c r="A8" s="335" t="s">
        <v>681</v>
      </c>
      <c r="C8" s="44"/>
      <c r="D8" s="44"/>
      <c r="E8" s="46"/>
      <c r="F8" s="44"/>
      <c r="G8" s="44"/>
      <c r="H8" s="44"/>
      <c r="I8" s="44"/>
      <c r="J8" s="44"/>
      <c r="K8" s="365" t="s">
        <v>686</v>
      </c>
      <c r="L8" s="366"/>
      <c r="M8" s="366"/>
      <c r="N8" s="367"/>
      <c r="O8" s="44"/>
      <c r="P8" s="54" t="s">
        <v>574</v>
      </c>
    </row>
    <row r="9" spans="1:18" s="44" customFormat="1">
      <c r="A9" s="336"/>
      <c r="E9" s="46"/>
      <c r="F9" s="46"/>
      <c r="K9" s="41"/>
      <c r="P9" s="54"/>
    </row>
    <row r="10" spans="1:18" s="44" customFormat="1">
      <c r="A10" s="335" t="s">
        <v>7</v>
      </c>
      <c r="E10" s="46" t="s">
        <v>8</v>
      </c>
      <c r="F10" s="46"/>
      <c r="K10" s="167">
        <v>-3.8999999999999998E-3</v>
      </c>
      <c r="L10" s="167">
        <v>4.6899999999999997E-2</v>
      </c>
      <c r="M10" s="167">
        <v>5.1799999999999999E-2</v>
      </c>
      <c r="N10" s="193"/>
      <c r="O10" s="193"/>
      <c r="P10" s="54" t="s">
        <v>7</v>
      </c>
    </row>
    <row r="11" spans="1:18" s="44" customFormat="1">
      <c r="A11" s="335"/>
      <c r="E11" s="46"/>
      <c r="F11" s="46"/>
      <c r="K11" s="46"/>
      <c r="L11" s="46"/>
      <c r="M11" s="46"/>
      <c r="N11" s="46"/>
      <c r="O11" s="46"/>
      <c r="Q11" s="54"/>
    </row>
    <row r="12" spans="1:18" s="44" customFormat="1" ht="14.25">
      <c r="A12" s="335" t="s">
        <v>466</v>
      </c>
      <c r="B12" s="44" t="s">
        <v>607</v>
      </c>
      <c r="C12" s="240"/>
      <c r="D12" s="240"/>
      <c r="E12" s="46" t="s">
        <v>8</v>
      </c>
      <c r="F12" s="240"/>
      <c r="G12" s="240"/>
      <c r="H12" s="240"/>
      <c r="I12" s="46"/>
      <c r="K12" s="167">
        <v>5.0000000000000001E-3</v>
      </c>
      <c r="L12" s="167">
        <v>5.0000000000000001E-3</v>
      </c>
      <c r="M12" s="193"/>
      <c r="N12" s="193"/>
      <c r="O12" s="193"/>
      <c r="P12" s="23" t="s">
        <v>323</v>
      </c>
      <c r="Q12" s="54"/>
    </row>
    <row r="13" spans="1:18" s="44" customFormat="1">
      <c r="A13" s="335"/>
      <c r="E13" s="46"/>
      <c r="K13" s="39"/>
      <c r="L13" s="39"/>
      <c r="M13" s="39"/>
      <c r="N13" s="39"/>
      <c r="O13" s="39"/>
      <c r="Q13" s="54"/>
    </row>
    <row r="14" spans="1:18" s="330" customFormat="1">
      <c r="E14" s="46"/>
      <c r="K14" s="39"/>
      <c r="L14" s="39"/>
      <c r="M14" s="39"/>
      <c r="N14" s="39"/>
      <c r="O14" s="39"/>
      <c r="Q14" s="54"/>
    </row>
    <row r="15" spans="1:18" s="330" customFormat="1" ht="15">
      <c r="A15" s="239" t="s">
        <v>744</v>
      </c>
      <c r="B15" s="42" t="s">
        <v>520</v>
      </c>
      <c r="C15" s="44"/>
      <c r="D15" s="44"/>
      <c r="E15" s="46"/>
      <c r="F15" s="44"/>
      <c r="G15" s="44"/>
      <c r="H15" s="44"/>
      <c r="I15" s="44"/>
      <c r="J15" s="44"/>
      <c r="K15" s="44"/>
      <c r="L15" s="44"/>
      <c r="M15" s="44"/>
      <c r="N15" s="44"/>
      <c r="O15" s="44"/>
      <c r="P15" s="54"/>
      <c r="Q15" s="54"/>
    </row>
    <row r="16" spans="1:18" s="330" customFormat="1" ht="14.25">
      <c r="A16" s="333" t="s">
        <v>659</v>
      </c>
      <c r="B16" s="44" t="s">
        <v>218</v>
      </c>
      <c r="C16" s="44"/>
      <c r="D16" s="44"/>
      <c r="E16" s="46" t="s">
        <v>12</v>
      </c>
      <c r="F16" s="44"/>
      <c r="G16" s="44"/>
      <c r="H16" s="44"/>
      <c r="I16" s="44"/>
      <c r="J16" s="44"/>
      <c r="K16" s="356"/>
      <c r="L16" s="194"/>
      <c r="M16" s="194"/>
      <c r="N16" s="194"/>
      <c r="O16" s="194"/>
      <c r="P16" s="54" t="s">
        <v>17</v>
      </c>
      <c r="Q16" s="54"/>
    </row>
    <row r="17" spans="1:17" s="330" customFormat="1" ht="14.25">
      <c r="A17" s="333" t="s">
        <v>580</v>
      </c>
      <c r="B17" s="44" t="s">
        <v>219</v>
      </c>
      <c r="C17" s="44"/>
      <c r="D17" s="44"/>
      <c r="E17" s="46" t="s">
        <v>12</v>
      </c>
      <c r="F17" s="44"/>
      <c r="G17" s="44"/>
      <c r="H17" s="44"/>
      <c r="I17" s="44"/>
      <c r="J17" s="44"/>
      <c r="K17" s="356"/>
      <c r="L17" s="194"/>
      <c r="M17" s="194"/>
      <c r="N17" s="194"/>
      <c r="O17" s="194"/>
      <c r="P17" s="54" t="s">
        <v>18</v>
      </c>
      <c r="Q17" s="54"/>
    </row>
    <row r="18" spans="1:17" s="330" customFormat="1" ht="14.25">
      <c r="A18" s="333" t="s">
        <v>581</v>
      </c>
      <c r="B18" s="44" t="s">
        <v>220</v>
      </c>
      <c r="C18" s="44"/>
      <c r="D18" s="44"/>
      <c r="E18" s="46" t="s">
        <v>12</v>
      </c>
      <c r="F18" s="44"/>
      <c r="G18" s="44"/>
      <c r="H18" s="44"/>
      <c r="I18" s="44"/>
      <c r="J18" s="44"/>
      <c r="K18" s="356"/>
      <c r="L18" s="194"/>
      <c r="M18" s="194"/>
      <c r="N18" s="194"/>
      <c r="O18" s="194"/>
      <c r="P18" s="54" t="s">
        <v>19</v>
      </c>
      <c r="Q18" s="54"/>
    </row>
    <row r="19" spans="1:17" s="330" customFormat="1" ht="14.25">
      <c r="A19" s="333" t="s">
        <v>428</v>
      </c>
      <c r="B19" s="44" t="s">
        <v>221</v>
      </c>
      <c r="C19" s="44"/>
      <c r="D19" s="44"/>
      <c r="E19" s="46" t="s">
        <v>12</v>
      </c>
      <c r="F19" s="44"/>
      <c r="G19" s="44"/>
      <c r="H19" s="44"/>
      <c r="I19" s="44"/>
      <c r="J19" s="44"/>
      <c r="K19" s="356"/>
      <c r="L19" s="194"/>
      <c r="M19" s="194"/>
      <c r="N19" s="194"/>
      <c r="O19" s="194"/>
      <c r="P19" s="54" t="s">
        <v>20</v>
      </c>
      <c r="Q19" s="54"/>
    </row>
    <row r="20" spans="1:17" s="330" customFormat="1" ht="14.25">
      <c r="A20" s="333" t="s">
        <v>603</v>
      </c>
      <c r="B20" s="44" t="s">
        <v>222</v>
      </c>
      <c r="C20" s="44"/>
      <c r="D20" s="44"/>
      <c r="E20" s="46" t="s">
        <v>12</v>
      </c>
      <c r="F20" s="44"/>
      <c r="G20" s="44"/>
      <c r="H20" s="44"/>
      <c r="I20" s="44"/>
      <c r="J20" s="44"/>
      <c r="K20" s="356"/>
      <c r="L20" s="194"/>
      <c r="M20" s="194"/>
      <c r="N20" s="194"/>
      <c r="O20" s="194"/>
      <c r="P20" s="54" t="s">
        <v>21</v>
      </c>
      <c r="Q20" s="54"/>
    </row>
    <row r="21" spans="1:17" s="330" customFormat="1" ht="14.25">
      <c r="A21" s="333" t="s">
        <v>582</v>
      </c>
      <c r="B21" s="177" t="s">
        <v>511</v>
      </c>
      <c r="C21" s="37"/>
      <c r="D21" s="37"/>
      <c r="E21" s="46" t="s">
        <v>12</v>
      </c>
      <c r="F21" s="44"/>
      <c r="G21" s="44"/>
      <c r="H21" s="44"/>
      <c r="I21" s="44"/>
      <c r="J21" s="44"/>
      <c r="K21" s="356"/>
      <c r="L21" s="194"/>
      <c r="M21" s="194"/>
      <c r="N21" s="194"/>
      <c r="O21" s="194"/>
      <c r="P21" s="54" t="s">
        <v>158</v>
      </c>
      <c r="Q21" s="54"/>
    </row>
    <row r="22" spans="1:17" s="330" customFormat="1">
      <c r="A22" s="44"/>
      <c r="B22" s="44"/>
      <c r="C22" s="44"/>
      <c r="D22" s="44"/>
      <c r="E22" s="46"/>
      <c r="F22" s="44"/>
      <c r="G22" s="44"/>
      <c r="H22" s="44"/>
      <c r="I22" s="44"/>
      <c r="J22" s="44"/>
      <c r="K22" s="41"/>
      <c r="L22" s="41"/>
      <c r="M22" s="41"/>
      <c r="N22" s="41"/>
      <c r="O22" s="41"/>
      <c r="P22" s="54"/>
      <c r="Q22" s="54"/>
    </row>
    <row r="23" spans="1:17" s="330" customFormat="1" ht="15">
      <c r="A23" s="334" t="s">
        <v>745</v>
      </c>
      <c r="B23" s="44"/>
      <c r="C23" s="44"/>
      <c r="D23" s="44"/>
      <c r="E23" s="46"/>
      <c r="F23" s="44"/>
      <c r="G23" s="44"/>
      <c r="H23" s="44"/>
      <c r="I23" s="44"/>
      <c r="J23" s="44"/>
      <c r="K23" s="41"/>
      <c r="L23" s="41"/>
      <c r="M23" s="41"/>
      <c r="N23" s="41"/>
      <c r="O23" s="41"/>
      <c r="P23" s="54"/>
      <c r="Q23" s="54"/>
    </row>
    <row r="24" spans="1:17" s="330" customFormat="1" ht="14.25" hidden="1" outlineLevel="1">
      <c r="A24" s="333" t="s">
        <v>637</v>
      </c>
      <c r="B24" s="44" t="s">
        <v>223</v>
      </c>
      <c r="C24" s="44"/>
      <c r="D24" s="44"/>
      <c r="E24" s="46" t="s">
        <v>12</v>
      </c>
      <c r="F24" s="44"/>
      <c r="G24" s="44"/>
      <c r="H24" s="44"/>
      <c r="I24" s="44"/>
      <c r="J24" s="44"/>
      <c r="K24" s="356"/>
      <c r="L24" s="194"/>
      <c r="M24" s="194"/>
      <c r="N24" s="194"/>
      <c r="O24" s="194"/>
      <c r="P24" s="54" t="s">
        <v>22</v>
      </c>
      <c r="Q24" s="54"/>
    </row>
    <row r="25" spans="1:17" s="330" customFormat="1" ht="14.25" hidden="1" outlineLevel="1">
      <c r="A25" s="333" t="s">
        <v>638</v>
      </c>
      <c r="B25" s="44" t="s">
        <v>224</v>
      </c>
      <c r="C25" s="44"/>
      <c r="D25" s="44"/>
      <c r="E25" s="46" t="s">
        <v>12</v>
      </c>
      <c r="F25" s="44"/>
      <c r="G25" s="44"/>
      <c r="H25" s="44"/>
      <c r="I25" s="44"/>
      <c r="J25" s="44"/>
      <c r="K25" s="356"/>
      <c r="L25" s="194"/>
      <c r="M25" s="194"/>
      <c r="N25" s="194"/>
      <c r="O25" s="194"/>
      <c r="P25" s="54" t="s">
        <v>23</v>
      </c>
      <c r="Q25" s="54"/>
    </row>
    <row r="26" spans="1:17" s="330" customFormat="1" hidden="1" outlineLevel="1">
      <c r="A26" s="333" t="s">
        <v>639</v>
      </c>
      <c r="B26" s="44" t="s">
        <v>636</v>
      </c>
      <c r="C26" s="44"/>
      <c r="D26" s="44"/>
      <c r="E26" s="46" t="s">
        <v>12</v>
      </c>
      <c r="F26" s="44"/>
      <c r="G26" s="44"/>
      <c r="H26" s="44"/>
      <c r="I26" s="44"/>
      <c r="J26" s="44"/>
      <c r="K26" s="356"/>
      <c r="L26" s="194"/>
      <c r="M26" s="194"/>
      <c r="N26" s="194"/>
      <c r="O26" s="194"/>
      <c r="P26" s="54" t="s">
        <v>24</v>
      </c>
      <c r="Q26" s="54"/>
    </row>
    <row r="27" spans="1:17" s="330" customFormat="1" ht="14.25" hidden="1" outlineLevel="1">
      <c r="A27" s="333" t="s">
        <v>640</v>
      </c>
      <c r="B27" s="44" t="s">
        <v>226</v>
      </c>
      <c r="C27" s="44"/>
      <c r="D27" s="44"/>
      <c r="E27" s="46" t="s">
        <v>12</v>
      </c>
      <c r="F27" s="44"/>
      <c r="G27" s="44"/>
      <c r="H27" s="44"/>
      <c r="I27" s="44"/>
      <c r="J27" s="44"/>
      <c r="K27" s="356"/>
      <c r="L27" s="194"/>
      <c r="M27" s="194"/>
      <c r="N27" s="194"/>
      <c r="O27" s="194"/>
      <c r="P27" s="54" t="s">
        <v>25</v>
      </c>
      <c r="Q27" s="54"/>
    </row>
    <row r="28" spans="1:17" s="330" customFormat="1" collapsed="1">
      <c r="E28" s="46"/>
      <c r="K28" s="39"/>
      <c r="L28" s="39"/>
      <c r="M28" s="39"/>
      <c r="N28" s="39"/>
      <c r="O28" s="39"/>
      <c r="Q28" s="54"/>
    </row>
    <row r="29" spans="1:17" s="330" customFormat="1">
      <c r="E29" s="46"/>
      <c r="K29" s="39"/>
      <c r="L29" s="39"/>
      <c r="M29" s="39"/>
      <c r="N29" s="39"/>
      <c r="O29" s="39"/>
      <c r="Q29" s="54"/>
    </row>
    <row r="30" spans="1:17" s="330" customFormat="1" ht="15">
      <c r="A30" s="239" t="s">
        <v>746</v>
      </c>
      <c r="B30" s="42" t="s">
        <v>521</v>
      </c>
      <c r="E30" s="46"/>
      <c r="K30" s="39"/>
      <c r="L30" s="39"/>
      <c r="M30" s="39"/>
      <c r="N30" s="39"/>
      <c r="O30" s="39"/>
      <c r="Q30" s="54"/>
    </row>
    <row r="31" spans="1:17" s="44" customFormat="1" ht="15">
      <c r="A31" s="334" t="s">
        <v>228</v>
      </c>
      <c r="E31" s="46"/>
      <c r="Q31" s="54"/>
    </row>
    <row r="32" spans="1:17">
      <c r="A32" s="333" t="s">
        <v>677</v>
      </c>
      <c r="C32" s="44"/>
      <c r="D32" s="44"/>
      <c r="E32" s="46" t="s">
        <v>11</v>
      </c>
      <c r="F32" s="44"/>
      <c r="G32" s="44"/>
      <c r="H32" s="44"/>
      <c r="I32" s="44"/>
      <c r="J32" s="44"/>
      <c r="K32" s="39"/>
      <c r="L32" s="39"/>
      <c r="M32" s="189"/>
      <c r="N32" s="189"/>
      <c r="O32" s="189"/>
      <c r="P32" s="54" t="s">
        <v>299</v>
      </c>
    </row>
    <row r="33" spans="1:16">
      <c r="A33" s="333"/>
      <c r="C33" s="44"/>
      <c r="D33" s="44"/>
      <c r="E33" s="46"/>
      <c r="F33" s="44"/>
      <c r="G33" s="44"/>
      <c r="H33" s="44"/>
      <c r="I33" s="44"/>
      <c r="J33" s="44"/>
      <c r="K33" s="39"/>
      <c r="L33" s="39"/>
      <c r="M33" s="39"/>
      <c r="N33" s="39"/>
      <c r="O33" s="39"/>
      <c r="P33" s="54"/>
    </row>
    <row r="34" spans="1:16" ht="14.25">
      <c r="A34" s="333" t="s">
        <v>676</v>
      </c>
      <c r="B34" s="44" t="s">
        <v>608</v>
      </c>
      <c r="C34" s="44"/>
      <c r="D34" s="44"/>
      <c r="E34" s="46" t="s">
        <v>11</v>
      </c>
      <c r="F34" s="44"/>
      <c r="G34" s="44"/>
      <c r="H34" s="44"/>
      <c r="I34" s="44"/>
      <c r="J34" s="44"/>
      <c r="K34" s="39"/>
      <c r="L34" s="39"/>
      <c r="M34" s="189"/>
      <c r="N34" s="189"/>
      <c r="O34" s="189"/>
      <c r="P34" s="54" t="s">
        <v>278</v>
      </c>
    </row>
    <row r="35" spans="1:16">
      <c r="A35" s="333"/>
      <c r="C35" s="44"/>
      <c r="D35" s="44"/>
      <c r="E35" s="46"/>
      <c r="F35" s="44"/>
      <c r="G35" s="44"/>
      <c r="H35" s="44"/>
      <c r="I35" s="44"/>
      <c r="J35" s="44"/>
      <c r="K35" s="39"/>
      <c r="L35" s="39"/>
      <c r="M35" s="39"/>
      <c r="N35" s="39"/>
      <c r="O35" s="39"/>
      <c r="P35" s="54"/>
    </row>
    <row r="36" spans="1:16" s="44" customFormat="1" ht="15">
      <c r="A36" s="334" t="s">
        <v>230</v>
      </c>
      <c r="E36" s="46"/>
      <c r="P36" s="54"/>
    </row>
    <row r="37" spans="1:16" ht="14.25">
      <c r="A37" s="333" t="s">
        <v>641</v>
      </c>
      <c r="B37" s="44" t="s">
        <v>217</v>
      </c>
      <c r="C37" s="44"/>
      <c r="D37" s="44"/>
      <c r="E37" s="46" t="s">
        <v>12</v>
      </c>
      <c r="F37" s="44"/>
      <c r="G37" s="44"/>
      <c r="H37" s="44"/>
      <c r="I37" s="44"/>
      <c r="J37" s="44"/>
      <c r="K37" s="356"/>
      <c r="L37" s="194"/>
      <c r="M37" s="194"/>
      <c r="N37" s="194"/>
      <c r="O37" s="194"/>
      <c r="P37" s="54" t="s">
        <v>13</v>
      </c>
    </row>
    <row r="38" spans="1:16">
      <c r="A38" s="44"/>
      <c r="C38" s="44"/>
      <c r="D38" s="44"/>
      <c r="E38" s="46"/>
      <c r="F38" s="44"/>
      <c r="G38" s="44"/>
      <c r="H38" s="44"/>
      <c r="I38" s="44"/>
      <c r="J38" s="44"/>
      <c r="K38" s="44"/>
      <c r="L38" s="44"/>
      <c r="M38" s="44"/>
      <c r="N38" s="44"/>
      <c r="O38" s="44"/>
      <c r="P38" s="54"/>
    </row>
    <row r="39" spans="1:16" ht="15">
      <c r="A39" s="334" t="s">
        <v>754</v>
      </c>
      <c r="C39" s="44"/>
      <c r="D39" s="44"/>
      <c r="E39" s="46"/>
      <c r="F39" s="44"/>
      <c r="G39" s="44"/>
      <c r="H39" s="44"/>
      <c r="I39" s="44"/>
      <c r="J39" s="44"/>
      <c r="K39" s="44"/>
      <c r="L39" s="44"/>
      <c r="M39" s="44"/>
      <c r="N39" s="44"/>
      <c r="O39" s="44"/>
      <c r="P39" s="54"/>
    </row>
    <row r="40" spans="1:16" ht="12.75" customHeight="1">
      <c r="A40" s="333" t="s">
        <v>406</v>
      </c>
      <c r="B40" s="44" t="s">
        <v>609</v>
      </c>
      <c r="C40" s="44"/>
      <c r="D40" s="44"/>
      <c r="E40" s="46" t="s">
        <v>12</v>
      </c>
      <c r="F40" s="44"/>
      <c r="G40" s="44"/>
      <c r="H40" s="44"/>
      <c r="I40" s="44"/>
      <c r="J40" s="44"/>
      <c r="K40" s="356"/>
      <c r="L40" s="194"/>
      <c r="M40" s="194"/>
      <c r="N40" s="194"/>
      <c r="O40" s="194"/>
      <c r="P40" s="54" t="s">
        <v>407</v>
      </c>
    </row>
    <row r="41" spans="1:16" s="44" customFormat="1">
      <c r="A41" s="333"/>
      <c r="E41" s="46"/>
      <c r="P41" s="54"/>
    </row>
    <row r="42" spans="1:16" s="44" customFormat="1" ht="15">
      <c r="A42" s="334" t="s">
        <v>231</v>
      </c>
      <c r="B42" s="52"/>
      <c r="C42" s="52"/>
      <c r="D42" s="52"/>
      <c r="E42" s="46"/>
      <c r="P42" s="54"/>
    </row>
    <row r="43" spans="1:16" ht="14.25">
      <c r="A43" s="333" t="s">
        <v>366</v>
      </c>
      <c r="C43" s="44"/>
      <c r="D43" s="44"/>
      <c r="E43" s="46" t="s">
        <v>12</v>
      </c>
      <c r="F43" s="44"/>
      <c r="G43" s="44"/>
      <c r="H43" s="44"/>
      <c r="I43" s="44"/>
      <c r="J43" s="44"/>
      <c r="K43" s="356"/>
      <c r="L43" s="194"/>
      <c r="M43" s="194"/>
      <c r="N43" s="194"/>
      <c r="O43" s="194"/>
      <c r="P43" s="54" t="s">
        <v>15</v>
      </c>
    </row>
    <row r="44" spans="1:16" s="44" customFormat="1" ht="14.25">
      <c r="A44" s="333" t="s">
        <v>496</v>
      </c>
      <c r="E44" s="46" t="s">
        <v>12</v>
      </c>
      <c r="J44" s="356"/>
      <c r="P44" s="54"/>
    </row>
    <row r="45" spans="1:16" s="44" customFormat="1">
      <c r="A45" s="333"/>
      <c r="E45" s="46"/>
      <c r="P45" s="54"/>
    </row>
    <row r="46" spans="1:16" s="44" customFormat="1" ht="15">
      <c r="A46" s="239" t="s">
        <v>159</v>
      </c>
      <c r="B46" s="42" t="s">
        <v>749</v>
      </c>
      <c r="E46" s="46"/>
      <c r="K46" s="39"/>
      <c r="L46" s="39"/>
      <c r="M46" s="39"/>
      <c r="N46" s="39"/>
      <c r="O46" s="39"/>
      <c r="P46" s="54"/>
    </row>
    <row r="47" spans="1:16" s="44" customFormat="1" ht="12.75" customHeight="1">
      <c r="A47" s="337" t="s">
        <v>658</v>
      </c>
      <c r="B47" s="44" t="s">
        <v>610</v>
      </c>
      <c r="E47" s="46" t="s">
        <v>12</v>
      </c>
      <c r="K47" s="356"/>
      <c r="L47" s="194"/>
      <c r="M47" s="194"/>
      <c r="N47" s="194"/>
      <c r="O47" s="194"/>
      <c r="P47" s="54" t="s">
        <v>269</v>
      </c>
    </row>
    <row r="48" spans="1:16" s="44" customFormat="1" ht="24">
      <c r="A48" s="338" t="s">
        <v>679</v>
      </c>
      <c r="B48" s="44" t="s">
        <v>611</v>
      </c>
      <c r="E48" s="46" t="s">
        <v>12</v>
      </c>
      <c r="K48" s="356"/>
      <c r="L48" s="194"/>
      <c r="M48" s="194"/>
      <c r="N48" s="194"/>
      <c r="O48" s="194"/>
      <c r="P48" s="54" t="s">
        <v>591</v>
      </c>
    </row>
    <row r="49" spans="1:17" s="44" customFormat="1" ht="12.75" customHeight="1">
      <c r="A49" s="337"/>
      <c r="E49" s="46"/>
      <c r="P49" s="54"/>
    </row>
    <row r="50" spans="1:17" s="327" customFormat="1">
      <c r="A50" s="338"/>
      <c r="E50" s="46"/>
      <c r="P50" s="54"/>
    </row>
    <row r="51" spans="1:17" s="327" customFormat="1">
      <c r="A51" s="339" t="s">
        <v>700</v>
      </c>
      <c r="B51"/>
      <c r="E51" s="46"/>
      <c r="K51"/>
      <c r="L51"/>
      <c r="M51"/>
      <c r="N51"/>
      <c r="O51"/>
      <c r="P51" s="328"/>
      <c r="Q51"/>
    </row>
    <row r="52" spans="1:17" s="327" customFormat="1">
      <c r="A52" s="340" t="s">
        <v>701</v>
      </c>
      <c r="B52"/>
      <c r="E52" s="46"/>
      <c r="K52"/>
      <c r="L52"/>
      <c r="M52"/>
      <c r="N52"/>
      <c r="O52"/>
      <c r="P52" s="328"/>
      <c r="Q52"/>
    </row>
    <row r="53" spans="1:17" s="327" customFormat="1">
      <c r="A53" s="341" t="s">
        <v>702</v>
      </c>
      <c r="B53"/>
      <c r="E53" s="46" t="s">
        <v>12</v>
      </c>
      <c r="K53" s="356"/>
      <c r="L53" s="194"/>
      <c r="M53" s="194"/>
      <c r="N53" s="194"/>
      <c r="O53" s="194"/>
      <c r="P53" s="54" t="s">
        <v>703</v>
      </c>
      <c r="Q53"/>
    </row>
    <row r="54" spans="1:17" s="327" customFormat="1">
      <c r="A54" s="341" t="s">
        <v>704</v>
      </c>
      <c r="B54"/>
      <c r="E54" s="46" t="s">
        <v>12</v>
      </c>
      <c r="K54" s="356"/>
      <c r="L54" s="194"/>
      <c r="M54" s="194"/>
      <c r="N54" s="194"/>
      <c r="O54" s="194"/>
      <c r="P54" s="54" t="s">
        <v>705</v>
      </c>
      <c r="Q54"/>
    </row>
    <row r="55" spans="1:17" s="327" customFormat="1">
      <c r="A55" s="341" t="s">
        <v>706</v>
      </c>
      <c r="B55"/>
      <c r="E55" s="46" t="s">
        <v>12</v>
      </c>
      <c r="K55" s="356"/>
      <c r="L55" s="194"/>
      <c r="M55" s="194"/>
      <c r="N55" s="194"/>
      <c r="O55" s="194"/>
      <c r="P55" s="54" t="s">
        <v>707</v>
      </c>
      <c r="Q55"/>
    </row>
    <row r="56" spans="1:17" s="327" customFormat="1">
      <c r="A56" s="341" t="s">
        <v>708</v>
      </c>
      <c r="B56"/>
      <c r="E56" s="46" t="s">
        <v>12</v>
      </c>
      <c r="K56" s="356"/>
      <c r="L56" s="194"/>
      <c r="M56" s="194"/>
      <c r="N56" s="194"/>
      <c r="O56" s="194"/>
      <c r="P56" s="54" t="s">
        <v>709</v>
      </c>
      <c r="Q56"/>
    </row>
    <row r="57" spans="1:17" s="327" customFormat="1">
      <c r="A57" s="341" t="s">
        <v>710</v>
      </c>
      <c r="E57" s="46" t="s">
        <v>12</v>
      </c>
      <c r="K57" s="329">
        <f>-K90</f>
        <v>0</v>
      </c>
      <c r="L57" s="329">
        <f t="shared" ref="L57:O57" si="0">-L90</f>
        <v>0</v>
      </c>
      <c r="M57" s="329">
        <f t="shared" si="0"/>
        <v>0</v>
      </c>
      <c r="N57" s="329">
        <f t="shared" si="0"/>
        <v>0</v>
      </c>
      <c r="O57" s="329">
        <f t="shared" si="0"/>
        <v>0</v>
      </c>
      <c r="P57" s="54" t="s">
        <v>711</v>
      </c>
      <c r="Q57"/>
    </row>
    <row r="58" spans="1:17" s="327" customFormat="1" ht="14.25">
      <c r="A58" s="342" t="s">
        <v>712</v>
      </c>
      <c r="B58" s="327" t="s">
        <v>612</v>
      </c>
      <c r="C58"/>
      <c r="D58"/>
      <c r="E58" s="46" t="s">
        <v>12</v>
      </c>
      <c r="F58"/>
      <c r="G58"/>
      <c r="H58"/>
      <c r="I58"/>
      <c r="J58"/>
      <c r="K58" s="329">
        <f>SUM(K51:K57)</f>
        <v>0</v>
      </c>
      <c r="L58" s="329">
        <f>SUM(L51:L57)</f>
        <v>0</v>
      </c>
      <c r="M58" s="329">
        <f>SUM(M51:M57)</f>
        <v>0</v>
      </c>
      <c r="N58" s="329">
        <f>SUM(N51:N57)</f>
        <v>0</v>
      </c>
      <c r="O58" s="329">
        <f>SUM(O51:O57)</f>
        <v>0</v>
      </c>
      <c r="P58" s="54" t="s">
        <v>399</v>
      </c>
      <c r="Q58"/>
    </row>
    <row r="59" spans="1:17" s="327" customFormat="1">
      <c r="A59"/>
      <c r="B59"/>
      <c r="C59"/>
      <c r="D59"/>
      <c r="E59"/>
      <c r="F59"/>
      <c r="G59"/>
      <c r="H59"/>
      <c r="I59"/>
      <c r="J59"/>
      <c r="K59"/>
      <c r="L59"/>
      <c r="M59"/>
      <c r="N59"/>
      <c r="O59"/>
      <c r="P59" s="328"/>
      <c r="Q59"/>
    </row>
    <row r="60" spans="1:17" s="327" customFormat="1">
      <c r="A60"/>
      <c r="B60"/>
      <c r="C60"/>
      <c r="D60"/>
      <c r="E60"/>
      <c r="F60"/>
      <c r="G60"/>
      <c r="H60"/>
      <c r="I60"/>
      <c r="J60"/>
      <c r="K60"/>
      <c r="L60"/>
      <c r="M60"/>
      <c r="N60"/>
      <c r="O60"/>
      <c r="P60" s="328"/>
      <c r="Q60"/>
    </row>
    <row r="61" spans="1:17" s="327" customFormat="1">
      <c r="A61" s="102" t="s">
        <v>713</v>
      </c>
      <c r="B61"/>
      <c r="C61"/>
      <c r="D61"/>
      <c r="E61"/>
      <c r="F61"/>
      <c r="G61"/>
      <c r="H61"/>
      <c r="I61"/>
      <c r="J61"/>
      <c r="K61"/>
      <c r="L61"/>
      <c r="M61"/>
      <c r="N61"/>
      <c r="O61"/>
      <c r="P61" s="328"/>
      <c r="Q61"/>
    </row>
    <row r="62" spans="1:17" s="327" customFormat="1">
      <c r="A62" s="340" t="s">
        <v>714</v>
      </c>
      <c r="B62"/>
      <c r="C62"/>
      <c r="D62"/>
      <c r="E62"/>
      <c r="F62"/>
      <c r="G62"/>
      <c r="H62"/>
      <c r="I62"/>
      <c r="J62"/>
      <c r="K62"/>
      <c r="L62"/>
      <c r="M62"/>
      <c r="N62"/>
      <c r="O62"/>
      <c r="P62" s="328"/>
      <c r="Q62"/>
    </row>
    <row r="63" spans="1:17" s="327" customFormat="1" hidden="1" outlineLevel="1">
      <c r="A63" s="343" t="s">
        <v>715</v>
      </c>
      <c r="B63"/>
      <c r="C63"/>
      <c r="D63"/>
      <c r="E63"/>
      <c r="F63"/>
      <c r="G63"/>
      <c r="H63"/>
      <c r="I63"/>
      <c r="J63"/>
      <c r="K63"/>
      <c r="L63"/>
      <c r="M63"/>
      <c r="N63"/>
      <c r="O63"/>
      <c r="P63" s="328"/>
      <c r="Q63"/>
    </row>
    <row r="64" spans="1:17" s="327" customFormat="1" hidden="1" outlineLevel="1">
      <c r="A64" s="344"/>
      <c r="B64"/>
      <c r="C64"/>
      <c r="D64"/>
      <c r="E64"/>
      <c r="F64"/>
      <c r="G64"/>
      <c r="H64"/>
      <c r="I64"/>
      <c r="J64"/>
      <c r="K64"/>
      <c r="L64"/>
      <c r="M64"/>
      <c r="N64"/>
      <c r="O64"/>
      <c r="P64" s="328"/>
      <c r="Q64"/>
    </row>
    <row r="65" spans="1:17" s="327" customFormat="1" hidden="1" outlineLevel="1">
      <c r="A65" s="346" t="s">
        <v>716</v>
      </c>
      <c r="E65" s="46"/>
      <c r="P65" s="328"/>
      <c r="Q65"/>
    </row>
    <row r="66" spans="1:17" s="327" customFormat="1" hidden="1" outlineLevel="1">
      <c r="A66" s="345" t="s">
        <v>717</v>
      </c>
      <c r="E66" s="46"/>
      <c r="K66" s="194"/>
      <c r="L66" s="194"/>
      <c r="M66" s="194"/>
      <c r="N66" s="194"/>
      <c r="O66" s="194"/>
      <c r="P66" s="328"/>
      <c r="Q66"/>
    </row>
    <row r="67" spans="1:17" s="327" customFormat="1" hidden="1" outlineLevel="1">
      <c r="A67" s="345" t="s">
        <v>718</v>
      </c>
      <c r="E67" s="46"/>
      <c r="K67" s="194"/>
      <c r="L67" s="194"/>
      <c r="M67" s="194"/>
      <c r="N67" s="194"/>
      <c r="O67" s="194"/>
      <c r="P67" s="328"/>
      <c r="Q67"/>
    </row>
    <row r="68" spans="1:17" s="327" customFormat="1" hidden="1" outlineLevel="1">
      <c r="A68" s="345" t="s">
        <v>719</v>
      </c>
      <c r="E68" s="46"/>
      <c r="K68" s="194"/>
      <c r="L68" s="194"/>
      <c r="M68" s="194"/>
      <c r="N68" s="194"/>
      <c r="O68" s="194"/>
      <c r="P68" s="328"/>
      <c r="Q68"/>
    </row>
    <row r="69" spans="1:17" s="327" customFormat="1" hidden="1" outlineLevel="1">
      <c r="A69" s="345" t="s">
        <v>720</v>
      </c>
      <c r="E69" s="46"/>
      <c r="K69" s="194"/>
      <c r="L69" s="194"/>
      <c r="M69" s="194"/>
      <c r="N69" s="194"/>
      <c r="O69" s="194"/>
      <c r="P69" s="328"/>
      <c r="Q69"/>
    </row>
    <row r="70" spans="1:17" s="327" customFormat="1" hidden="1" outlineLevel="1">
      <c r="A70" s="345" t="s">
        <v>721</v>
      </c>
      <c r="E70" s="46"/>
      <c r="K70" s="194"/>
      <c r="L70" s="194"/>
      <c r="M70" s="194"/>
      <c r="N70" s="194"/>
      <c r="O70" s="194"/>
      <c r="P70" s="328"/>
      <c r="Q70"/>
    </row>
    <row r="71" spans="1:17" s="327" customFormat="1" hidden="1" outlineLevel="1">
      <c r="A71" s="345" t="s">
        <v>722</v>
      </c>
      <c r="E71" s="46"/>
      <c r="K71" s="329">
        <f>SUM(K65:K70)</f>
        <v>0</v>
      </c>
      <c r="L71" s="329">
        <f>SUM(L65:L70)</f>
        <v>0</v>
      </c>
      <c r="M71" s="329">
        <f>SUM(M65:M70)</f>
        <v>0</v>
      </c>
      <c r="N71" s="329">
        <f>SUM(N65:N70)</f>
        <v>0</v>
      </c>
      <c r="O71" s="329">
        <f>SUM(O65:O70)</f>
        <v>0</v>
      </c>
      <c r="P71" s="328"/>
      <c r="Q71"/>
    </row>
    <row r="72" spans="1:17" s="327" customFormat="1" hidden="1" outlineLevel="1">
      <c r="A72" s="343"/>
      <c r="B72"/>
      <c r="C72"/>
      <c r="D72"/>
      <c r="E72"/>
      <c r="F72"/>
      <c r="G72"/>
      <c r="H72"/>
      <c r="I72"/>
      <c r="J72"/>
      <c r="K72"/>
      <c r="L72"/>
      <c r="M72"/>
      <c r="N72"/>
      <c r="O72"/>
      <c r="P72" s="328"/>
      <c r="Q72"/>
    </row>
    <row r="73" spans="1:17" s="327" customFormat="1" hidden="1" outlineLevel="1">
      <c r="A73" s="346" t="s">
        <v>723</v>
      </c>
      <c r="E73" s="46"/>
      <c r="P73" s="328"/>
      <c r="Q73"/>
    </row>
    <row r="74" spans="1:17" s="327" customFormat="1" hidden="1" outlineLevel="1">
      <c r="A74" s="345" t="s">
        <v>724</v>
      </c>
      <c r="E74" s="46"/>
      <c r="K74" s="194"/>
      <c r="L74" s="194"/>
      <c r="M74" s="194"/>
      <c r="N74" s="194"/>
      <c r="O74" s="194"/>
      <c r="P74" s="328"/>
      <c r="Q74"/>
    </row>
    <row r="75" spans="1:17" s="327" customFormat="1" hidden="1" outlineLevel="1">
      <c r="A75" s="345" t="s">
        <v>725</v>
      </c>
      <c r="E75" s="46"/>
      <c r="K75" s="194"/>
      <c r="L75" s="194"/>
      <c r="M75" s="194"/>
      <c r="N75" s="194"/>
      <c r="O75" s="194"/>
      <c r="P75" s="328"/>
      <c r="Q75"/>
    </row>
    <row r="76" spans="1:17" s="327" customFormat="1" hidden="1" outlineLevel="1">
      <c r="A76" s="345" t="s">
        <v>726</v>
      </c>
      <c r="E76" s="46"/>
      <c r="K76" s="194"/>
      <c r="L76" s="194"/>
      <c r="M76" s="194"/>
      <c r="N76" s="194"/>
      <c r="O76" s="194"/>
      <c r="P76" s="328"/>
      <c r="Q76"/>
    </row>
    <row r="77" spans="1:17" s="327" customFormat="1" hidden="1" outlineLevel="1">
      <c r="A77" s="345" t="s">
        <v>727</v>
      </c>
      <c r="E77" s="46"/>
      <c r="K77" s="194"/>
      <c r="L77" s="194"/>
      <c r="M77" s="194"/>
      <c r="N77" s="194"/>
      <c r="O77" s="194"/>
      <c r="P77" s="328"/>
      <c r="Q77"/>
    </row>
    <row r="78" spans="1:17" s="327" customFormat="1" hidden="1" outlineLevel="1">
      <c r="A78" s="345" t="s">
        <v>728</v>
      </c>
      <c r="E78" s="46"/>
      <c r="K78" s="194"/>
      <c r="L78" s="194"/>
      <c r="M78" s="194"/>
      <c r="N78" s="194"/>
      <c r="O78" s="194"/>
      <c r="P78" s="328"/>
      <c r="Q78"/>
    </row>
    <row r="79" spans="1:17" s="327" customFormat="1" hidden="1" outlineLevel="1">
      <c r="A79" s="345" t="s">
        <v>729</v>
      </c>
      <c r="E79" s="46"/>
      <c r="K79" s="329">
        <f>SUM(K73:K78)</f>
        <v>0</v>
      </c>
      <c r="L79" s="329">
        <f>SUM(L73:L78)</f>
        <v>0</v>
      </c>
      <c r="M79" s="329">
        <f>SUM(M73:M78)</f>
        <v>0</v>
      </c>
      <c r="N79" s="329">
        <f>SUM(N73:N78)</f>
        <v>0</v>
      </c>
      <c r="O79" s="329">
        <f>SUM(O73:O78)</f>
        <v>0</v>
      </c>
      <c r="P79" s="328"/>
      <c r="Q79"/>
    </row>
    <row r="80" spans="1:17" s="327" customFormat="1" hidden="1" outlineLevel="1">
      <c r="A80" s="343"/>
      <c r="B80"/>
      <c r="C80"/>
      <c r="D80"/>
      <c r="E80"/>
      <c r="F80"/>
      <c r="G80"/>
      <c r="H80"/>
      <c r="I80"/>
      <c r="J80"/>
      <c r="K80"/>
      <c r="L80"/>
      <c r="M80"/>
      <c r="N80"/>
      <c r="O80"/>
      <c r="P80" s="328"/>
      <c r="Q80"/>
    </row>
    <row r="81" spans="1:17" s="327" customFormat="1" hidden="1" outlineLevel="1">
      <c r="A81" s="346" t="s">
        <v>730</v>
      </c>
      <c r="E81" s="46"/>
      <c r="P81" s="328"/>
      <c r="Q81"/>
    </row>
    <row r="82" spans="1:17" s="327" customFormat="1" hidden="1" outlineLevel="1">
      <c r="A82" s="345" t="s">
        <v>731</v>
      </c>
      <c r="E82" s="46"/>
      <c r="K82" s="329">
        <f t="shared" ref="K82:O86" si="1">K66-K74</f>
        <v>0</v>
      </c>
      <c r="L82" s="329">
        <f t="shared" si="1"/>
        <v>0</v>
      </c>
      <c r="M82" s="329">
        <f t="shared" si="1"/>
        <v>0</v>
      </c>
      <c r="N82" s="329">
        <f t="shared" si="1"/>
        <v>0</v>
      </c>
      <c r="O82" s="329">
        <f t="shared" si="1"/>
        <v>0</v>
      </c>
      <c r="P82" s="328"/>
      <c r="Q82"/>
    </row>
    <row r="83" spans="1:17" s="327" customFormat="1" hidden="1" outlineLevel="1">
      <c r="A83" s="345" t="s">
        <v>732</v>
      </c>
      <c r="E83" s="46"/>
      <c r="K83" s="329">
        <f t="shared" si="1"/>
        <v>0</v>
      </c>
      <c r="L83" s="329">
        <f t="shared" si="1"/>
        <v>0</v>
      </c>
      <c r="M83" s="329">
        <f t="shared" si="1"/>
        <v>0</v>
      </c>
      <c r="N83" s="329">
        <f t="shared" si="1"/>
        <v>0</v>
      </c>
      <c r="O83" s="329">
        <f t="shared" si="1"/>
        <v>0</v>
      </c>
      <c r="P83" s="328"/>
      <c r="Q83"/>
    </row>
    <row r="84" spans="1:17" s="327" customFormat="1" hidden="1" outlineLevel="1">
      <c r="A84" s="345" t="s">
        <v>733</v>
      </c>
      <c r="E84" s="46"/>
      <c r="K84" s="329">
        <f t="shared" si="1"/>
        <v>0</v>
      </c>
      <c r="L84" s="329">
        <f t="shared" si="1"/>
        <v>0</v>
      </c>
      <c r="M84" s="329">
        <f t="shared" si="1"/>
        <v>0</v>
      </c>
      <c r="N84" s="329">
        <f t="shared" si="1"/>
        <v>0</v>
      </c>
      <c r="O84" s="329">
        <f t="shared" si="1"/>
        <v>0</v>
      </c>
      <c r="P84" s="328"/>
      <c r="Q84"/>
    </row>
    <row r="85" spans="1:17" s="327" customFormat="1" hidden="1" outlineLevel="1">
      <c r="A85" s="345" t="s">
        <v>734</v>
      </c>
      <c r="E85" s="46"/>
      <c r="K85" s="329">
        <f t="shared" si="1"/>
        <v>0</v>
      </c>
      <c r="L85" s="329">
        <f t="shared" si="1"/>
        <v>0</v>
      </c>
      <c r="M85" s="329">
        <f t="shared" si="1"/>
        <v>0</v>
      </c>
      <c r="N85" s="329">
        <f t="shared" si="1"/>
        <v>0</v>
      </c>
      <c r="O85" s="329">
        <f t="shared" si="1"/>
        <v>0</v>
      </c>
      <c r="P85" s="328"/>
      <c r="Q85"/>
    </row>
    <row r="86" spans="1:17" s="327" customFormat="1" hidden="1" outlineLevel="1">
      <c r="A86" s="345" t="s">
        <v>735</v>
      </c>
      <c r="E86" s="46"/>
      <c r="K86" s="329">
        <f t="shared" si="1"/>
        <v>0</v>
      </c>
      <c r="L86" s="329">
        <f t="shared" si="1"/>
        <v>0</v>
      </c>
      <c r="M86" s="329">
        <f t="shared" si="1"/>
        <v>0</v>
      </c>
      <c r="N86" s="329">
        <f t="shared" si="1"/>
        <v>0</v>
      </c>
      <c r="O86" s="329">
        <f t="shared" si="1"/>
        <v>0</v>
      </c>
      <c r="P86" s="328"/>
      <c r="Q86"/>
    </row>
    <row r="87" spans="1:17" s="327" customFormat="1" hidden="1" outlineLevel="1">
      <c r="A87" s="345" t="s">
        <v>736</v>
      </c>
      <c r="E87" s="46"/>
      <c r="K87" s="329">
        <f>SUM(K81:K86)</f>
        <v>0</v>
      </c>
      <c r="L87" s="329">
        <f>SUM(L81:L86)</f>
        <v>0</v>
      </c>
      <c r="M87" s="329">
        <f>SUM(M81:M86)</f>
        <v>0</v>
      </c>
      <c r="N87" s="329">
        <f>SUM(N81:N86)</f>
        <v>0</v>
      </c>
      <c r="O87" s="329">
        <f>SUM(O81:O86)</f>
        <v>0</v>
      </c>
      <c r="P87" s="328"/>
      <c r="Q87"/>
    </row>
    <row r="88" spans="1:17" s="327" customFormat="1" hidden="1" outlineLevel="1">
      <c r="A88" s="343" t="s">
        <v>737</v>
      </c>
      <c r="B88"/>
      <c r="C88"/>
      <c r="D88"/>
      <c r="E88"/>
      <c r="F88"/>
      <c r="G88"/>
      <c r="H88"/>
      <c r="I88"/>
      <c r="J88"/>
      <c r="K88" s="194"/>
      <c r="L88" s="194"/>
      <c r="M88" s="194"/>
      <c r="N88" s="194"/>
      <c r="O88" s="194"/>
      <c r="P88" s="54" t="s">
        <v>743</v>
      </c>
      <c r="Q88"/>
    </row>
    <row r="89" spans="1:17" s="327" customFormat="1" hidden="1" outlineLevel="1">
      <c r="A89" s="343" t="s">
        <v>738</v>
      </c>
      <c r="B89"/>
      <c r="C89"/>
      <c r="D89"/>
      <c r="E89"/>
      <c r="F89"/>
      <c r="G89"/>
      <c r="H89"/>
      <c r="I89"/>
      <c r="J89"/>
      <c r="K89" s="329">
        <f>K87-K88</f>
        <v>0</v>
      </c>
      <c r="L89" s="329">
        <f>L87-L88</f>
        <v>0</v>
      </c>
      <c r="M89" s="329">
        <f>M87-M88</f>
        <v>0</v>
      </c>
      <c r="N89" s="329">
        <f>N87-N88</f>
        <v>0</v>
      </c>
      <c r="O89" s="329">
        <f>O87-O88</f>
        <v>0</v>
      </c>
      <c r="P89" s="328"/>
      <c r="Q89"/>
    </row>
    <row r="90" spans="1:17" s="327" customFormat="1" hidden="1" outlineLevel="1">
      <c r="A90" s="343" t="s">
        <v>739</v>
      </c>
      <c r="B90"/>
      <c r="C90"/>
      <c r="D90"/>
      <c r="E90"/>
      <c r="F90"/>
      <c r="G90"/>
      <c r="H90"/>
      <c r="I90"/>
      <c r="J90"/>
      <c r="K90" s="194"/>
      <c r="L90" s="194"/>
      <c r="M90" s="194"/>
      <c r="N90" s="194"/>
      <c r="O90" s="194">
        <f>O89*0.2</f>
        <v>0</v>
      </c>
      <c r="P90" s="328"/>
      <c r="Q90"/>
    </row>
    <row r="91" spans="1:17" s="327" customFormat="1" hidden="1" outlineLevel="1">
      <c r="A91" s="343" t="s">
        <v>740</v>
      </c>
      <c r="B91"/>
      <c r="C91"/>
      <c r="D91"/>
      <c r="E91"/>
      <c r="F91"/>
      <c r="G91"/>
      <c r="H91"/>
      <c r="I91"/>
      <c r="J91"/>
      <c r="K91" s="329">
        <f>K89-K90</f>
        <v>0</v>
      </c>
      <c r="L91" s="329">
        <f t="shared" ref="L91:O91" si="2">L89-L90</f>
        <v>0</v>
      </c>
      <c r="M91" s="329">
        <f t="shared" si="2"/>
        <v>0</v>
      </c>
      <c r="N91" s="329">
        <f t="shared" si="2"/>
        <v>0</v>
      </c>
      <c r="O91" s="329">
        <f t="shared" si="2"/>
        <v>0</v>
      </c>
      <c r="P91" s="328"/>
      <c r="Q91"/>
    </row>
    <row r="92" spans="1:17" s="327" customFormat="1" hidden="1" outlineLevel="1">
      <c r="A92" s="343" t="s">
        <v>741</v>
      </c>
      <c r="B92"/>
      <c r="C92"/>
      <c r="D92"/>
      <c r="E92"/>
      <c r="F92"/>
      <c r="G92"/>
      <c r="H92"/>
      <c r="I92"/>
      <c r="J92"/>
      <c r="K92" s="194"/>
      <c r="L92" s="194"/>
      <c r="M92" s="194"/>
      <c r="N92" s="194"/>
      <c r="O92" s="194"/>
      <c r="P92" s="328"/>
      <c r="Q92"/>
    </row>
    <row r="93" spans="1:17" s="327" customFormat="1" collapsed="1">
      <c r="A93" s="341"/>
      <c r="B93"/>
      <c r="C93"/>
      <c r="D93"/>
      <c r="E93"/>
      <c r="F93"/>
      <c r="G93"/>
      <c r="H93"/>
      <c r="I93"/>
      <c r="J93"/>
      <c r="K93"/>
      <c r="L93"/>
      <c r="M93"/>
      <c r="N93"/>
      <c r="O93"/>
      <c r="P93" s="328"/>
      <c r="Q93"/>
    </row>
    <row r="94" spans="1:17" s="327" customFormat="1">
      <c r="A94" s="36"/>
      <c r="E94" s="46"/>
      <c r="P94" s="54"/>
    </row>
    <row r="95" spans="1:17">
      <c r="B95" s="34"/>
      <c r="E95" s="34"/>
      <c r="P95" s="34"/>
    </row>
    <row r="96" spans="1:17" ht="15">
      <c r="A96" s="239" t="s">
        <v>753</v>
      </c>
      <c r="B96" s="42" t="s">
        <v>750</v>
      </c>
      <c r="C96" s="41"/>
      <c r="D96" s="41"/>
      <c r="E96" s="46"/>
      <c r="F96" s="44"/>
      <c r="G96" s="44"/>
      <c r="H96" s="44"/>
      <c r="I96" s="44"/>
      <c r="J96" s="44"/>
      <c r="K96" s="44"/>
      <c r="L96" s="44"/>
      <c r="M96" s="44"/>
      <c r="N96" s="42"/>
      <c r="O96" s="44"/>
      <c r="P96" s="54"/>
    </row>
    <row r="97" spans="1:16">
      <c r="A97" s="348" t="s">
        <v>28</v>
      </c>
      <c r="B97" s="41"/>
      <c r="C97" s="41"/>
      <c r="D97" s="41"/>
      <c r="E97" s="46"/>
      <c r="F97" s="44"/>
      <c r="G97" s="44"/>
      <c r="H97" s="44"/>
      <c r="I97" s="44"/>
      <c r="J97" s="44"/>
      <c r="K97" s="44"/>
      <c r="L97" s="44"/>
      <c r="M97" s="44"/>
      <c r="N97" s="42"/>
      <c r="O97" s="44"/>
      <c r="P97" s="54"/>
    </row>
    <row r="98" spans="1:16" s="44" customFormat="1">
      <c r="A98" s="333" t="s">
        <v>397</v>
      </c>
      <c r="E98" s="46" t="s">
        <v>29</v>
      </c>
      <c r="K98" s="357"/>
      <c r="L98" s="189"/>
      <c r="M98" s="189"/>
      <c r="N98" s="189"/>
      <c r="O98" s="189"/>
      <c r="P98" s="54" t="s">
        <v>371</v>
      </c>
    </row>
    <row r="99" spans="1:16" s="44" customFormat="1">
      <c r="A99" s="333" t="s">
        <v>604</v>
      </c>
      <c r="E99" s="46" t="s">
        <v>12</v>
      </c>
      <c r="K99" s="356"/>
      <c r="L99" s="194"/>
      <c r="M99" s="194"/>
      <c r="N99" s="194"/>
      <c r="O99" s="194"/>
      <c r="P99" s="54" t="s">
        <v>383</v>
      </c>
    </row>
    <row r="100" spans="1:16">
      <c r="A100" s="333" t="s">
        <v>605</v>
      </c>
      <c r="C100" s="44"/>
      <c r="D100" s="44"/>
      <c r="E100" s="46" t="s">
        <v>12</v>
      </c>
      <c r="F100" s="44"/>
      <c r="G100" s="44"/>
      <c r="H100" s="44"/>
      <c r="I100" s="44"/>
      <c r="J100" s="44"/>
      <c r="K100" s="356"/>
      <c r="L100" s="194"/>
      <c r="M100" s="194"/>
      <c r="N100" s="194"/>
      <c r="O100" s="194"/>
      <c r="P100" s="54" t="s">
        <v>381</v>
      </c>
    </row>
    <row r="101" spans="1:16">
      <c r="A101" s="333" t="s">
        <v>606</v>
      </c>
      <c r="C101" s="44"/>
      <c r="D101" s="44"/>
      <c r="E101" s="46" t="s">
        <v>29</v>
      </c>
      <c r="F101" s="44"/>
      <c r="G101" s="44"/>
      <c r="H101" s="44"/>
      <c r="I101" s="44"/>
      <c r="J101" s="44"/>
      <c r="K101" s="357"/>
      <c r="L101" s="189"/>
      <c r="M101" s="189"/>
      <c r="N101" s="189"/>
      <c r="O101" s="189"/>
      <c r="P101" s="54" t="s">
        <v>396</v>
      </c>
    </row>
    <row r="102" spans="1:16" ht="14.25">
      <c r="A102" s="341" t="s">
        <v>682</v>
      </c>
      <c r="C102" s="36"/>
      <c r="D102" s="36"/>
      <c r="E102" s="46" t="s">
        <v>12</v>
      </c>
      <c r="F102" s="44"/>
      <c r="G102" s="44"/>
      <c r="H102" s="44"/>
      <c r="I102" s="44"/>
      <c r="J102" s="44"/>
      <c r="K102" s="356"/>
      <c r="L102" s="194"/>
      <c r="M102" s="194"/>
      <c r="N102" s="194"/>
      <c r="O102" s="194"/>
      <c r="P102" s="54" t="s">
        <v>179</v>
      </c>
    </row>
    <row r="103" spans="1:16">
      <c r="A103" s="333"/>
      <c r="C103" s="44"/>
      <c r="D103" s="44"/>
      <c r="E103" s="46"/>
      <c r="F103" s="44"/>
      <c r="G103" s="44"/>
      <c r="H103" s="44"/>
      <c r="I103" s="44"/>
      <c r="J103" s="44"/>
      <c r="K103" s="44"/>
      <c r="L103" s="44"/>
      <c r="M103" s="44"/>
      <c r="N103" s="44"/>
      <c r="O103" s="44"/>
      <c r="P103" s="54"/>
    </row>
    <row r="104" spans="1:16" s="44" customFormat="1">
      <c r="A104" s="333"/>
      <c r="E104" s="46"/>
      <c r="N104" s="42"/>
      <c r="P104" s="54"/>
    </row>
    <row r="105" spans="1:16" s="44" customFormat="1" ht="15">
      <c r="A105" s="349" t="s">
        <v>26</v>
      </c>
      <c r="B105" s="42" t="s">
        <v>748</v>
      </c>
      <c r="E105" s="43"/>
      <c r="K105" s="49"/>
      <c r="L105" s="49"/>
      <c r="M105" s="49"/>
      <c r="N105" s="49"/>
      <c r="O105" s="49"/>
      <c r="P105" s="54"/>
    </row>
    <row r="106" spans="1:16" ht="12.75" customHeight="1">
      <c r="A106" s="335" t="s">
        <v>410</v>
      </c>
      <c r="B106" s="44" t="s">
        <v>613</v>
      </c>
      <c r="C106" s="44"/>
      <c r="D106" s="44"/>
      <c r="E106" s="46" t="s">
        <v>12</v>
      </c>
      <c r="F106" s="44"/>
      <c r="G106" s="44"/>
      <c r="H106" s="44"/>
      <c r="I106" s="44"/>
      <c r="J106" s="44"/>
      <c r="K106" s="356"/>
      <c r="L106" s="194"/>
      <c r="M106" s="194"/>
      <c r="N106" s="194"/>
      <c r="O106" s="194"/>
      <c r="P106" s="54" t="s">
        <v>547</v>
      </c>
    </row>
    <row r="107" spans="1:16" ht="14.25">
      <c r="A107" s="335" t="s">
        <v>642</v>
      </c>
      <c r="B107" s="44" t="s">
        <v>544</v>
      </c>
      <c r="C107" s="44"/>
      <c r="D107" s="44"/>
      <c r="E107" s="46" t="s">
        <v>12</v>
      </c>
      <c r="F107" s="44"/>
      <c r="G107" s="44"/>
      <c r="H107" s="44"/>
      <c r="I107" s="44"/>
      <c r="J107" s="44"/>
      <c r="K107" s="356"/>
      <c r="L107" s="194"/>
      <c r="M107" s="194"/>
      <c r="N107" s="194"/>
      <c r="O107" s="194"/>
      <c r="P107" s="54" t="s">
        <v>277</v>
      </c>
    </row>
    <row r="108" spans="1:16" ht="12.75" customHeight="1">
      <c r="A108" s="333" t="s">
        <v>419</v>
      </c>
      <c r="C108" s="44"/>
      <c r="D108" s="44"/>
      <c r="E108" s="46" t="s">
        <v>12</v>
      </c>
      <c r="F108" s="44"/>
      <c r="G108" s="44"/>
      <c r="H108" s="44"/>
      <c r="I108" s="44"/>
      <c r="J108" s="44"/>
      <c r="K108" s="356"/>
      <c r="L108" s="194"/>
      <c r="M108" s="194"/>
      <c r="N108" s="194"/>
      <c r="O108" s="194"/>
      <c r="P108" s="54"/>
    </row>
    <row r="109" spans="1:16">
      <c r="A109" s="333" t="s">
        <v>27</v>
      </c>
      <c r="C109" s="44"/>
      <c r="D109" s="44"/>
      <c r="E109" s="46" t="s">
        <v>12</v>
      </c>
      <c r="F109" s="44"/>
      <c r="G109" s="44"/>
      <c r="H109" s="44"/>
      <c r="I109" s="44"/>
      <c r="J109" s="44"/>
      <c r="K109" s="356"/>
      <c r="L109" s="194"/>
      <c r="M109" s="194"/>
      <c r="N109" s="194"/>
      <c r="O109" s="194"/>
      <c r="P109" s="54"/>
    </row>
    <row r="110" spans="1:16">
      <c r="A110" s="333" t="s">
        <v>285</v>
      </c>
      <c r="C110" s="44"/>
      <c r="D110" s="44"/>
      <c r="E110" s="46" t="s">
        <v>12</v>
      </c>
      <c r="F110" s="44"/>
      <c r="G110" s="44"/>
      <c r="H110" s="44"/>
      <c r="I110" s="44"/>
      <c r="J110" s="356"/>
      <c r="K110" s="44"/>
      <c r="L110" s="158"/>
      <c r="M110" s="158"/>
      <c r="N110" s="158"/>
      <c r="O110" s="158"/>
      <c r="P110" s="54"/>
    </row>
    <row r="111" spans="1:16">
      <c r="A111" s="333" t="s">
        <v>286</v>
      </c>
      <c r="C111" s="44"/>
      <c r="D111" s="44"/>
      <c r="E111" s="46" t="s">
        <v>12</v>
      </c>
      <c r="F111" s="44"/>
      <c r="G111" s="44"/>
      <c r="H111" s="44"/>
      <c r="I111" s="44"/>
      <c r="J111" s="356"/>
      <c r="K111" s="44"/>
      <c r="L111" s="158"/>
      <c r="M111" s="158"/>
      <c r="N111" s="158"/>
      <c r="O111" s="158"/>
      <c r="P111" s="54"/>
    </row>
    <row r="112" spans="1:16" ht="14.25">
      <c r="A112" s="333" t="s">
        <v>540</v>
      </c>
      <c r="C112" s="44"/>
      <c r="D112" s="44"/>
      <c r="E112" s="46" t="s">
        <v>12</v>
      </c>
      <c r="F112" s="44"/>
      <c r="G112" s="44"/>
      <c r="H112" s="44"/>
      <c r="I112" s="44"/>
      <c r="J112" s="196">
        <f>J110+J111</f>
        <v>0</v>
      </c>
      <c r="K112" s="44"/>
      <c r="L112" s="158"/>
      <c r="M112" s="158"/>
      <c r="N112" s="158"/>
      <c r="O112" s="158"/>
      <c r="P112" s="54" t="s">
        <v>412</v>
      </c>
    </row>
    <row r="113" spans="1:16">
      <c r="A113" s="333" t="s">
        <v>287</v>
      </c>
      <c r="C113" s="44"/>
      <c r="D113" s="44"/>
      <c r="E113" s="46" t="s">
        <v>12</v>
      </c>
      <c r="F113" s="44"/>
      <c r="G113" s="44"/>
      <c r="H113" s="44"/>
      <c r="I113" s="44"/>
      <c r="J113" s="356"/>
      <c r="K113" s="44"/>
      <c r="L113" s="158"/>
      <c r="M113" s="158"/>
      <c r="N113" s="158"/>
      <c r="O113" s="158"/>
      <c r="P113" s="54"/>
    </row>
    <row r="114" spans="1:16" ht="12.75" customHeight="1">
      <c r="A114" s="333" t="s">
        <v>288</v>
      </c>
      <c r="C114" s="44"/>
      <c r="D114" s="44"/>
      <c r="E114" s="46" t="s">
        <v>12</v>
      </c>
      <c r="F114" s="44"/>
      <c r="G114" s="44"/>
      <c r="H114" s="44"/>
      <c r="I114" s="44"/>
      <c r="J114" s="356"/>
      <c r="K114" s="44"/>
      <c r="L114" s="158"/>
      <c r="M114" s="158"/>
      <c r="N114" s="158"/>
      <c r="O114" s="158"/>
      <c r="P114" s="54"/>
    </row>
    <row r="115" spans="1:16" s="44" customFormat="1" ht="12.75" customHeight="1">
      <c r="A115" s="347" t="s">
        <v>616</v>
      </c>
      <c r="E115" s="46" t="s">
        <v>12</v>
      </c>
      <c r="J115" s="196">
        <f>J113+J114</f>
        <v>0</v>
      </c>
      <c r="N115" s="42"/>
      <c r="P115" s="54" t="s">
        <v>617</v>
      </c>
    </row>
    <row r="116" spans="1:16" s="44" customFormat="1">
      <c r="A116" s="347"/>
      <c r="E116" s="46"/>
      <c r="J116" s="253"/>
      <c r="N116" s="42"/>
      <c r="P116" s="54"/>
    </row>
    <row r="117" spans="1:16" s="44" customFormat="1"/>
    <row r="118" spans="1:16" s="330" customFormat="1" ht="15">
      <c r="A118" s="239" t="s">
        <v>747</v>
      </c>
      <c r="B118" s="332" t="s">
        <v>751</v>
      </c>
      <c r="C118" s="44"/>
      <c r="D118" s="44"/>
      <c r="E118" s="46"/>
      <c r="F118" s="44"/>
      <c r="G118" s="44"/>
      <c r="H118" s="44"/>
      <c r="I118" s="44"/>
      <c r="J118" s="44"/>
      <c r="K118" s="44"/>
      <c r="L118" s="44"/>
      <c r="M118" s="44"/>
      <c r="N118" s="44"/>
      <c r="O118" s="44"/>
      <c r="P118" s="54"/>
    </row>
    <row r="119" spans="1:16" s="330" customFormat="1" ht="14.25">
      <c r="A119" s="335" t="s">
        <v>621</v>
      </c>
      <c r="B119" s="44" t="s">
        <v>625</v>
      </c>
      <c r="C119" s="44"/>
      <c r="D119" s="44"/>
      <c r="E119" s="46" t="s">
        <v>12</v>
      </c>
      <c r="F119" s="44"/>
      <c r="G119" s="44"/>
      <c r="H119" s="44"/>
      <c r="I119" s="44"/>
      <c r="J119" s="44"/>
      <c r="K119" s="356"/>
      <c r="L119" s="194"/>
      <c r="M119" s="194"/>
      <c r="N119" s="194"/>
      <c r="O119" s="194"/>
      <c r="P119" s="54" t="s">
        <v>626</v>
      </c>
    </row>
    <row r="120" spans="1:16" s="330" customFormat="1" ht="25.5">
      <c r="A120" s="335" t="s">
        <v>683</v>
      </c>
      <c r="B120" s="44" t="s">
        <v>624</v>
      </c>
      <c r="C120" s="44"/>
      <c r="D120" s="44"/>
      <c r="E120" s="46" t="s">
        <v>12</v>
      </c>
      <c r="F120" s="44"/>
      <c r="G120" s="44"/>
      <c r="H120" s="44"/>
      <c r="I120" s="44"/>
      <c r="J120" s="44"/>
      <c r="K120" s="356"/>
      <c r="L120" s="194"/>
      <c r="M120" s="194"/>
      <c r="N120" s="194"/>
      <c r="O120" s="194"/>
      <c r="P120" s="54" t="s">
        <v>627</v>
      </c>
    </row>
    <row r="121" spans="1:16" s="330" customFormat="1" ht="25.5">
      <c r="A121" s="335" t="s">
        <v>622</v>
      </c>
      <c r="B121" s="44" t="s">
        <v>623</v>
      </c>
      <c r="C121" s="44"/>
      <c r="D121" s="44"/>
      <c r="E121" s="46" t="s">
        <v>12</v>
      </c>
      <c r="F121" s="44"/>
      <c r="G121" s="44"/>
      <c r="H121" s="44"/>
      <c r="I121" s="44"/>
      <c r="J121" s="44"/>
      <c r="K121" s="356"/>
      <c r="L121" s="194"/>
      <c r="M121" s="194"/>
      <c r="N121" s="194"/>
      <c r="O121" s="194"/>
      <c r="P121" s="54" t="s">
        <v>628</v>
      </c>
    </row>
    <row r="122" spans="1:16" s="330" customFormat="1">
      <c r="A122" s="44"/>
      <c r="B122" s="44"/>
      <c r="C122" s="44"/>
      <c r="D122" s="44"/>
      <c r="E122" s="46"/>
      <c r="F122" s="44"/>
      <c r="G122" s="44"/>
      <c r="H122" s="44"/>
      <c r="I122" s="44"/>
      <c r="J122" s="44"/>
      <c r="K122" s="44"/>
      <c r="L122" s="44"/>
      <c r="M122" s="44"/>
      <c r="N122" s="44"/>
      <c r="O122" s="44"/>
      <c r="P122" s="54"/>
    </row>
    <row r="123" spans="1:16" s="330" customFormat="1">
      <c r="E123" s="46"/>
      <c r="P123" s="54"/>
    </row>
    <row r="124" spans="1:16" s="324" customFormat="1" ht="15">
      <c r="A124" s="350" t="s">
        <v>691</v>
      </c>
      <c r="B124" s="42" t="s">
        <v>752</v>
      </c>
      <c r="E124" s="46"/>
      <c r="P124" s="54"/>
    </row>
    <row r="125" spans="1:16" s="324" customFormat="1" ht="14.25">
      <c r="A125" s="335" t="s">
        <v>692</v>
      </c>
      <c r="B125" s="330" t="s">
        <v>694</v>
      </c>
      <c r="E125" s="46" t="s">
        <v>12</v>
      </c>
      <c r="L125" s="194"/>
      <c r="M125" s="194"/>
      <c r="N125" s="194"/>
      <c r="O125" s="194"/>
      <c r="P125" s="54" t="s">
        <v>693</v>
      </c>
    </row>
    <row r="126" spans="1:16" s="324" customFormat="1">
      <c r="A126" s="351" t="s">
        <v>755</v>
      </c>
      <c r="E126" s="46"/>
      <c r="P126" s="54"/>
    </row>
    <row r="127" spans="1:16" s="44" customFormat="1">
      <c r="E127" s="46"/>
    </row>
    <row r="128" spans="1:16" s="330" customFormat="1">
      <c r="E128" s="46"/>
    </row>
    <row r="129" spans="1:19" s="330" customFormat="1">
      <c r="E129" s="46"/>
    </row>
    <row r="130" spans="1:19" s="330" customFormat="1">
      <c r="E130" s="46"/>
    </row>
    <row r="131" spans="1:19" s="44" customFormat="1" ht="15">
      <c r="A131" s="239" t="s">
        <v>34</v>
      </c>
      <c r="B131" s="41"/>
      <c r="C131" s="41"/>
      <c r="D131" s="41"/>
      <c r="E131" s="46"/>
      <c r="P131" s="54"/>
    </row>
    <row r="132" spans="1:19" s="151" customFormat="1">
      <c r="A132" s="352" t="s">
        <v>260</v>
      </c>
      <c r="B132" s="44" t="s">
        <v>35</v>
      </c>
      <c r="C132" s="41"/>
      <c r="D132" s="41"/>
      <c r="E132" s="152"/>
      <c r="F132" s="41"/>
      <c r="G132" s="41"/>
      <c r="H132" s="41"/>
      <c r="I132" s="41"/>
      <c r="J132" s="41"/>
      <c r="K132" s="44"/>
      <c r="L132" s="44"/>
      <c r="M132" s="44"/>
      <c r="N132" s="44"/>
      <c r="O132" s="44"/>
      <c r="P132" s="54"/>
      <c r="R132" s="44"/>
      <c r="S132" s="44"/>
    </row>
    <row r="133" spans="1:19" s="151" customFormat="1">
      <c r="A133" s="347" t="s">
        <v>435</v>
      </c>
      <c r="B133" s="44"/>
      <c r="C133" s="41"/>
      <c r="D133" s="41"/>
      <c r="E133" s="152" t="s">
        <v>12</v>
      </c>
      <c r="F133" s="41"/>
      <c r="G133" s="41"/>
      <c r="H133" s="41"/>
      <c r="I133" s="41"/>
      <c r="J133" s="41"/>
      <c r="K133" s="356"/>
      <c r="L133" s="194"/>
      <c r="M133" s="194"/>
      <c r="N133" s="194"/>
      <c r="O133" s="194"/>
      <c r="P133" s="54"/>
      <c r="R133" s="44"/>
      <c r="S133" s="44"/>
    </row>
    <row r="134" spans="1:19" s="151" customFormat="1" ht="12.75" customHeight="1">
      <c r="A134" s="347" t="s">
        <v>436</v>
      </c>
      <c r="B134" s="44"/>
      <c r="C134" s="41"/>
      <c r="D134" s="41"/>
      <c r="E134" s="152" t="s">
        <v>12</v>
      </c>
      <c r="F134" s="41"/>
      <c r="G134" s="41"/>
      <c r="H134" s="41"/>
      <c r="I134" s="41"/>
      <c r="J134" s="41"/>
      <c r="K134" s="356"/>
      <c r="L134" s="194"/>
      <c r="M134" s="194"/>
      <c r="N134" s="194"/>
      <c r="O134" s="194"/>
      <c r="P134" s="54"/>
      <c r="R134" s="44"/>
      <c r="S134" s="44"/>
    </row>
    <row r="135" spans="1:19" s="151" customFormat="1" ht="12.75" customHeight="1">
      <c r="A135" s="347" t="s">
        <v>437</v>
      </c>
      <c r="B135" s="44"/>
      <c r="C135" s="41"/>
      <c r="D135" s="41"/>
      <c r="E135" s="152" t="s">
        <v>12</v>
      </c>
      <c r="F135" s="41"/>
      <c r="G135" s="41"/>
      <c r="H135" s="41"/>
      <c r="I135" s="41"/>
      <c r="J135" s="41"/>
      <c r="K135" s="356"/>
      <c r="L135" s="194"/>
      <c r="M135" s="194"/>
      <c r="N135" s="194"/>
      <c r="O135" s="194"/>
      <c r="P135" s="54"/>
      <c r="R135" s="44"/>
      <c r="S135" s="44"/>
    </row>
    <row r="136" spans="1:19" s="151" customFormat="1" ht="12.75" customHeight="1">
      <c r="A136" s="271" t="s">
        <v>438</v>
      </c>
      <c r="B136" s="270"/>
      <c r="C136" s="41"/>
      <c r="D136" s="41"/>
      <c r="E136" s="152" t="s">
        <v>12</v>
      </c>
      <c r="F136" s="41"/>
      <c r="G136" s="41"/>
      <c r="H136" s="41"/>
      <c r="I136" s="41"/>
      <c r="J136" s="41"/>
      <c r="K136" s="196">
        <f>SUM(K133:K135)</f>
        <v>0</v>
      </c>
      <c r="L136" s="196">
        <f>SUM(L133:L135)</f>
        <v>0</v>
      </c>
      <c r="M136" s="196">
        <f>SUM(M133:M135)</f>
        <v>0</v>
      </c>
      <c r="N136" s="196">
        <f>SUM(N133:N135)</f>
        <v>0</v>
      </c>
      <c r="O136" s="196">
        <f>SUM(O133:O135)</f>
        <v>0</v>
      </c>
      <c r="P136" s="54" t="s">
        <v>449</v>
      </c>
      <c r="R136" s="44"/>
      <c r="S136" s="44"/>
    </row>
    <row r="137" spans="1:19" s="151" customFormat="1">
      <c r="A137" s="352" t="s">
        <v>261</v>
      </c>
      <c r="B137" s="44" t="s">
        <v>36</v>
      </c>
      <c r="C137" s="41"/>
      <c r="D137" s="41"/>
      <c r="E137" s="152" t="s">
        <v>12</v>
      </c>
      <c r="F137" s="41"/>
      <c r="G137" s="41"/>
      <c r="H137" s="41"/>
      <c r="I137" s="41"/>
      <c r="J137" s="41"/>
      <c r="K137" s="356"/>
      <c r="L137" s="194"/>
      <c r="M137" s="194"/>
      <c r="N137" s="194"/>
      <c r="O137" s="194"/>
      <c r="P137" s="54" t="s">
        <v>452</v>
      </c>
      <c r="R137" s="44"/>
      <c r="S137" s="44"/>
    </row>
    <row r="138" spans="1:19" s="151" customFormat="1">
      <c r="A138" s="352" t="s">
        <v>262</v>
      </c>
      <c r="B138" s="44" t="s">
        <v>37</v>
      </c>
      <c r="C138" s="41"/>
      <c r="D138" s="41"/>
      <c r="E138" s="152" t="s">
        <v>12</v>
      </c>
      <c r="F138" s="41"/>
      <c r="G138" s="41"/>
      <c r="H138" s="41"/>
      <c r="I138" s="41"/>
      <c r="J138" s="41"/>
      <c r="K138" s="356"/>
      <c r="L138" s="194"/>
      <c r="M138" s="194"/>
      <c r="N138" s="194"/>
      <c r="O138" s="194"/>
      <c r="P138" s="54" t="s">
        <v>454</v>
      </c>
      <c r="R138" s="44"/>
      <c r="S138" s="44"/>
    </row>
    <row r="139" spans="1:19" s="151" customFormat="1">
      <c r="A139" s="352" t="s">
        <v>263</v>
      </c>
      <c r="B139" s="44" t="s">
        <v>38</v>
      </c>
      <c r="C139" s="41"/>
      <c r="D139" s="41"/>
      <c r="E139" s="152" t="s">
        <v>12</v>
      </c>
      <c r="F139" s="41"/>
      <c r="G139" s="41"/>
      <c r="H139" s="41"/>
      <c r="I139" s="41"/>
      <c r="J139" s="41"/>
      <c r="K139" s="356"/>
      <c r="L139" s="194"/>
      <c r="M139" s="194"/>
      <c r="N139" s="194"/>
      <c r="O139" s="194"/>
      <c r="P139" s="54" t="s">
        <v>455</v>
      </c>
      <c r="R139" s="44"/>
      <c r="S139" s="44"/>
    </row>
    <row r="140" spans="1:19" s="151" customFormat="1">
      <c r="A140" s="352" t="s">
        <v>264</v>
      </c>
      <c r="B140" s="44" t="s">
        <v>39</v>
      </c>
      <c r="C140" s="41"/>
      <c r="D140" s="41"/>
      <c r="E140" s="152" t="s">
        <v>12</v>
      </c>
      <c r="F140" s="41"/>
      <c r="G140" s="41"/>
      <c r="H140" s="41"/>
      <c r="I140" s="41"/>
      <c r="J140" s="41"/>
      <c r="K140" s="356"/>
      <c r="L140" s="194"/>
      <c r="M140" s="194"/>
      <c r="N140" s="194"/>
      <c r="O140" s="194"/>
      <c r="P140" s="54" t="s">
        <v>457</v>
      </c>
      <c r="R140" s="44"/>
      <c r="S140" s="44"/>
    </row>
    <row r="141" spans="1:19" s="151" customFormat="1" ht="12.75" customHeight="1">
      <c r="A141" s="352" t="s">
        <v>421</v>
      </c>
      <c r="B141" s="44" t="s">
        <v>40</v>
      </c>
      <c r="C141" s="41"/>
      <c r="D141" s="41"/>
      <c r="E141" s="152" t="s">
        <v>12</v>
      </c>
      <c r="F141" s="41"/>
      <c r="G141" s="41"/>
      <c r="H141" s="41"/>
      <c r="I141" s="41"/>
      <c r="J141" s="41"/>
      <c r="K141" s="215">
        <f>MeterES</f>
        <v>0</v>
      </c>
      <c r="L141" s="215">
        <f>MeterES</f>
        <v>0</v>
      </c>
      <c r="M141" s="215">
        <f>MeterES</f>
        <v>0</v>
      </c>
      <c r="N141" s="215">
        <f>MeterES</f>
        <v>0</v>
      </c>
      <c r="O141" s="215">
        <f>MeterES</f>
        <v>0</v>
      </c>
      <c r="P141" s="54" t="s">
        <v>458</v>
      </c>
      <c r="R141" s="44"/>
      <c r="S141" s="44"/>
    </row>
    <row r="142" spans="1:19" s="151" customFormat="1">
      <c r="A142" s="352" t="s">
        <v>265</v>
      </c>
      <c r="B142" s="44" t="s">
        <v>266</v>
      </c>
      <c r="C142" s="41"/>
      <c r="D142" s="41"/>
      <c r="E142" s="152"/>
      <c r="F142" s="41"/>
      <c r="G142" s="41"/>
      <c r="H142" s="41"/>
      <c r="I142" s="41"/>
      <c r="J142" s="41"/>
      <c r="K142" s="41"/>
      <c r="L142" s="41"/>
      <c r="M142" s="41"/>
      <c r="N142" s="41"/>
      <c r="O142" s="41"/>
      <c r="P142" s="54"/>
      <c r="R142" s="44"/>
      <c r="S142" s="44"/>
    </row>
    <row r="143" spans="1:19" s="151" customFormat="1">
      <c r="A143" s="360" t="s">
        <v>550</v>
      </c>
      <c r="B143" s="44"/>
      <c r="C143" s="41"/>
      <c r="D143" s="41"/>
      <c r="E143" s="152" t="s">
        <v>12</v>
      </c>
      <c r="F143" s="41"/>
      <c r="G143" s="41"/>
      <c r="H143" s="41"/>
      <c r="I143" s="41"/>
      <c r="J143" s="41"/>
      <c r="K143" s="356"/>
      <c r="L143" s="194"/>
      <c r="M143" s="194"/>
      <c r="N143" s="194"/>
      <c r="O143" s="194"/>
      <c r="P143" s="54"/>
      <c r="R143" s="44"/>
      <c r="S143" s="44"/>
    </row>
    <row r="144" spans="1:19" s="151" customFormat="1">
      <c r="A144" s="360" t="s">
        <v>551</v>
      </c>
      <c r="B144" s="44"/>
      <c r="C144" s="41"/>
      <c r="D144" s="41"/>
      <c r="E144" s="152" t="s">
        <v>12</v>
      </c>
      <c r="F144" s="41"/>
      <c r="G144" s="41"/>
      <c r="H144" s="41"/>
      <c r="I144" s="41"/>
      <c r="J144" s="41"/>
      <c r="K144" s="356"/>
      <c r="L144" s="194"/>
      <c r="M144" s="194"/>
      <c r="N144" s="194"/>
      <c r="O144" s="194"/>
      <c r="P144" s="54"/>
      <c r="R144" s="44"/>
      <c r="S144" s="44"/>
    </row>
    <row r="145" spans="1:19" s="151" customFormat="1">
      <c r="A145" s="360" t="s">
        <v>552</v>
      </c>
      <c r="B145" s="44"/>
      <c r="C145" s="41"/>
      <c r="D145" s="41"/>
      <c r="E145" s="152" t="s">
        <v>12</v>
      </c>
      <c r="F145" s="41"/>
      <c r="G145" s="41"/>
      <c r="H145" s="41"/>
      <c r="I145" s="41"/>
      <c r="J145" s="41"/>
      <c r="K145" s="356"/>
      <c r="L145" s="194"/>
      <c r="M145" s="194"/>
      <c r="N145" s="194"/>
      <c r="O145" s="194"/>
      <c r="P145" s="54"/>
      <c r="R145" s="44"/>
      <c r="S145" s="44"/>
    </row>
    <row r="146" spans="1:19" s="151" customFormat="1">
      <c r="A146" s="360" t="s">
        <v>548</v>
      </c>
      <c r="B146" s="44"/>
      <c r="C146" s="41"/>
      <c r="D146" s="41"/>
      <c r="E146" s="152" t="s">
        <v>12</v>
      </c>
      <c r="F146" s="41"/>
      <c r="G146" s="41"/>
      <c r="H146" s="41"/>
      <c r="I146" s="41"/>
      <c r="J146" s="41"/>
      <c r="K146" s="356"/>
      <c r="L146" s="194"/>
      <c r="M146" s="194"/>
      <c r="N146" s="194"/>
      <c r="O146" s="194"/>
      <c r="P146" s="54"/>
      <c r="R146" s="44"/>
      <c r="S146" s="44"/>
    </row>
    <row r="147" spans="1:19" s="151" customFormat="1">
      <c r="A147" s="360" t="s">
        <v>549</v>
      </c>
      <c r="B147" s="44"/>
      <c r="C147" s="41"/>
      <c r="D147" s="41"/>
      <c r="E147" s="152" t="s">
        <v>12</v>
      </c>
      <c r="F147" s="41"/>
      <c r="G147" s="41"/>
      <c r="H147" s="41"/>
      <c r="I147" s="41"/>
      <c r="J147" s="41"/>
      <c r="K147" s="356"/>
      <c r="L147" s="194"/>
      <c r="M147" s="194"/>
      <c r="N147" s="194"/>
      <c r="O147" s="194"/>
      <c r="P147" s="54"/>
      <c r="R147" s="44"/>
      <c r="S147" s="44"/>
    </row>
    <row r="148" spans="1:19" s="151" customFormat="1">
      <c r="A148" s="360" t="s">
        <v>555</v>
      </c>
      <c r="B148" s="44"/>
      <c r="C148" s="41"/>
      <c r="D148" s="41"/>
      <c r="E148" s="152" t="s">
        <v>12</v>
      </c>
      <c r="F148" s="41"/>
      <c r="G148" s="41"/>
      <c r="H148" s="41"/>
      <c r="I148" s="41"/>
      <c r="J148" s="41"/>
      <c r="K148" s="356"/>
      <c r="L148" s="194"/>
      <c r="M148" s="194"/>
      <c r="N148" s="194"/>
      <c r="O148" s="194"/>
      <c r="P148" s="54"/>
      <c r="R148" s="44"/>
      <c r="S148" s="44"/>
    </row>
    <row r="149" spans="1:19" s="151" customFormat="1">
      <c r="A149" s="360" t="s">
        <v>553</v>
      </c>
      <c r="B149" s="44"/>
      <c r="C149" s="41"/>
      <c r="D149" s="41"/>
      <c r="E149" s="152" t="s">
        <v>12</v>
      </c>
      <c r="F149" s="41"/>
      <c r="G149" s="41"/>
      <c r="H149" s="41"/>
      <c r="I149" s="41"/>
      <c r="J149" s="41"/>
      <c r="K149" s="356"/>
      <c r="L149" s="194"/>
      <c r="M149" s="194"/>
      <c r="N149" s="194"/>
      <c r="O149" s="194"/>
      <c r="P149" s="54"/>
      <c r="R149" s="44"/>
      <c r="S149" s="44"/>
    </row>
    <row r="150" spans="1:19" s="151" customFormat="1">
      <c r="A150" s="360" t="s">
        <v>554</v>
      </c>
      <c r="B150" s="44"/>
      <c r="C150" s="41"/>
      <c r="D150" s="41"/>
      <c r="E150" s="152" t="s">
        <v>12</v>
      </c>
      <c r="F150" s="41"/>
      <c r="G150" s="41"/>
      <c r="H150" s="41"/>
      <c r="I150" s="41"/>
      <c r="J150" s="41"/>
      <c r="K150" s="356"/>
      <c r="L150" s="194"/>
      <c r="M150" s="194"/>
      <c r="N150" s="194"/>
      <c r="O150" s="194"/>
      <c r="P150" s="54"/>
      <c r="R150" s="44"/>
      <c r="S150" s="44"/>
    </row>
    <row r="151" spans="1:19" s="151" customFormat="1">
      <c r="A151" s="352" t="s">
        <v>556</v>
      </c>
      <c r="B151" s="44"/>
      <c r="C151" s="41"/>
      <c r="D151" s="41"/>
      <c r="E151" s="152" t="s">
        <v>12</v>
      </c>
      <c r="F151" s="41"/>
      <c r="G151" s="41"/>
      <c r="H151" s="41"/>
      <c r="I151" s="41"/>
      <c r="J151" s="41"/>
      <c r="K151" s="197">
        <f>SUM(K143:K150)</f>
        <v>0</v>
      </c>
      <c r="L151" s="197">
        <f>SUM(L143:L150)</f>
        <v>0</v>
      </c>
      <c r="M151" s="197">
        <f>SUM(M143:M150)</f>
        <v>0</v>
      </c>
      <c r="N151" s="197">
        <f>SUM(N143:N150)</f>
        <v>0</v>
      </c>
      <c r="O151" s="197">
        <f>SUM(O143:O150)</f>
        <v>0</v>
      </c>
      <c r="P151" s="54" t="s">
        <v>459</v>
      </c>
      <c r="R151" s="44"/>
      <c r="S151" s="44"/>
    </row>
    <row r="152" spans="1:19" s="42" customFormat="1">
      <c r="A152" s="45" t="s">
        <v>573</v>
      </c>
      <c r="B152" s="153"/>
      <c r="C152" s="153"/>
      <c r="D152" s="153"/>
      <c r="E152" s="49" t="s">
        <v>12</v>
      </c>
      <c r="K152" s="197">
        <f>(SUM(K136:K141))+K151</f>
        <v>0</v>
      </c>
      <c r="L152" s="197">
        <f>(SUM(L136:L141))+L151</f>
        <v>0</v>
      </c>
      <c r="M152" s="197">
        <f>(SUM(M136:M141))+M151</f>
        <v>0</v>
      </c>
      <c r="N152" s="197">
        <f>(SUM(N136:N141))+N151</f>
        <v>0</v>
      </c>
      <c r="O152" s="197">
        <f>(SUM(O136:O141))+O151</f>
        <v>0</v>
      </c>
      <c r="P152" s="54" t="s">
        <v>448</v>
      </c>
    </row>
    <row r="153" spans="1:19" s="42" customFormat="1">
      <c r="A153" s="45"/>
      <c r="B153" s="153"/>
      <c r="C153" s="153"/>
      <c r="D153" s="153"/>
      <c r="E153" s="43"/>
      <c r="K153" s="40"/>
      <c r="L153" s="40"/>
      <c r="M153" s="40"/>
      <c r="N153" s="40"/>
      <c r="O153" s="40"/>
      <c r="P153" s="55"/>
    </row>
    <row r="154" spans="1:19" s="33" customFormat="1" ht="15">
      <c r="A154" s="239" t="s">
        <v>593</v>
      </c>
      <c r="B154" s="41"/>
      <c r="C154" s="41"/>
      <c r="D154" s="41"/>
      <c r="E154" s="46"/>
      <c r="F154" s="44"/>
      <c r="G154" s="44"/>
      <c r="H154" s="44"/>
      <c r="I154" s="44"/>
      <c r="J154" s="44"/>
      <c r="K154" s="41"/>
      <c r="L154" s="41"/>
      <c r="M154" s="41"/>
      <c r="N154" s="41"/>
      <c r="O154" s="41"/>
      <c r="P154" s="54"/>
      <c r="R154" s="42"/>
      <c r="S154" s="42"/>
    </row>
    <row r="155" spans="1:19" s="33" customFormat="1">
      <c r="A155" s="335" t="s">
        <v>673</v>
      </c>
      <c r="B155" s="41"/>
      <c r="C155" s="41"/>
      <c r="D155" s="41"/>
      <c r="E155" s="46" t="s">
        <v>12</v>
      </c>
      <c r="F155" s="44"/>
      <c r="G155" s="44"/>
      <c r="H155" s="44"/>
      <c r="I155" s="44"/>
      <c r="J155" s="44"/>
      <c r="K155" s="356"/>
      <c r="L155" s="194"/>
      <c r="M155" s="194"/>
      <c r="N155" s="194"/>
      <c r="O155" s="194"/>
      <c r="P155" s="54" t="s">
        <v>583</v>
      </c>
      <c r="R155" s="42"/>
      <c r="S155" s="42"/>
    </row>
    <row r="156" spans="1:19" s="33" customFormat="1">
      <c r="A156" s="335" t="s">
        <v>660</v>
      </c>
      <c r="B156" s="42"/>
      <c r="C156" s="44"/>
      <c r="D156" s="44"/>
      <c r="E156" s="46" t="s">
        <v>12</v>
      </c>
      <c r="F156" s="44"/>
      <c r="G156" s="44"/>
      <c r="H156" s="44"/>
      <c r="I156" s="44"/>
      <c r="J156" s="44"/>
      <c r="K156" s="356"/>
      <c r="L156" s="194"/>
      <c r="M156" s="194"/>
      <c r="N156" s="194"/>
      <c r="O156" s="194"/>
      <c r="P156" s="54" t="s">
        <v>33</v>
      </c>
      <c r="R156" s="42"/>
      <c r="S156" s="42"/>
    </row>
    <row r="157" spans="1:19" s="44" customFormat="1">
      <c r="B157" s="41"/>
      <c r="E157" s="46"/>
      <c r="K157" s="53"/>
      <c r="L157" s="53"/>
      <c r="M157" s="53"/>
      <c r="N157" s="53"/>
      <c r="O157" s="53"/>
      <c r="P157" s="54"/>
    </row>
    <row r="158" spans="1:19" s="44" customFormat="1" ht="15">
      <c r="A158" s="239" t="s">
        <v>594</v>
      </c>
      <c r="B158" s="41"/>
      <c r="C158" s="41"/>
      <c r="D158" s="41"/>
      <c r="E158" s="46"/>
      <c r="N158" s="42"/>
      <c r="P158" s="54"/>
    </row>
    <row r="159" spans="1:19">
      <c r="A159" s="361" t="s">
        <v>557</v>
      </c>
      <c r="C159" s="44"/>
      <c r="D159" s="44"/>
      <c r="E159" s="46" t="s">
        <v>12</v>
      </c>
      <c r="F159" s="44"/>
      <c r="G159" s="44"/>
      <c r="H159" s="44"/>
      <c r="I159" s="44"/>
      <c r="J159" s="44"/>
      <c r="K159" s="356"/>
      <c r="L159" s="194"/>
      <c r="M159" s="194"/>
      <c r="N159" s="194"/>
      <c r="O159" s="194"/>
      <c r="P159" s="54"/>
    </row>
    <row r="160" spans="1:19">
      <c r="A160" s="361" t="s">
        <v>558</v>
      </c>
      <c r="C160" s="44"/>
      <c r="D160" s="44"/>
      <c r="E160" s="46" t="s">
        <v>12</v>
      </c>
      <c r="F160" s="44"/>
      <c r="G160" s="44"/>
      <c r="H160" s="44"/>
      <c r="I160" s="44"/>
      <c r="J160" s="44"/>
      <c r="K160" s="356"/>
      <c r="L160" s="194"/>
      <c r="M160" s="194"/>
      <c r="N160" s="194"/>
      <c r="O160" s="194"/>
      <c r="P160" s="54"/>
    </row>
    <row r="161" spans="1:19">
      <c r="A161" s="361" t="s">
        <v>559</v>
      </c>
      <c r="C161" s="44"/>
      <c r="D161" s="44"/>
      <c r="E161" s="46" t="s">
        <v>12</v>
      </c>
      <c r="F161" s="44"/>
      <c r="G161" s="44"/>
      <c r="H161" s="44"/>
      <c r="I161" s="44"/>
      <c r="J161" s="44"/>
      <c r="K161" s="356"/>
      <c r="L161" s="194"/>
      <c r="M161" s="194"/>
      <c r="N161" s="194"/>
      <c r="O161" s="194"/>
      <c r="P161" s="54"/>
    </row>
    <row r="162" spans="1:19">
      <c r="A162" s="361" t="s">
        <v>560</v>
      </c>
      <c r="C162" s="44"/>
      <c r="D162" s="44"/>
      <c r="E162" s="46" t="s">
        <v>12</v>
      </c>
      <c r="F162" s="44"/>
      <c r="G162" s="44"/>
      <c r="H162" s="44"/>
      <c r="I162" s="44"/>
      <c r="J162" s="44"/>
      <c r="K162" s="356"/>
      <c r="L162" s="194"/>
      <c r="M162" s="194"/>
      <c r="N162" s="194"/>
      <c r="O162" s="194"/>
      <c r="P162" s="54"/>
    </row>
    <row r="163" spans="1:19">
      <c r="A163" s="361" t="s">
        <v>561</v>
      </c>
      <c r="C163" s="44"/>
      <c r="D163" s="44"/>
      <c r="E163" s="46" t="s">
        <v>12</v>
      </c>
      <c r="F163" s="44"/>
      <c r="G163" s="44"/>
      <c r="H163" s="44"/>
      <c r="I163" s="44"/>
      <c r="J163" s="44"/>
      <c r="K163" s="356"/>
      <c r="L163" s="194"/>
      <c r="M163" s="194"/>
      <c r="N163" s="194"/>
      <c r="O163" s="194"/>
      <c r="P163" s="54"/>
    </row>
    <row r="164" spans="1:19">
      <c r="A164" s="361" t="s">
        <v>562</v>
      </c>
      <c r="C164" s="44"/>
      <c r="D164" s="44"/>
      <c r="E164" s="46" t="s">
        <v>12</v>
      </c>
      <c r="F164" s="44"/>
      <c r="G164" s="44"/>
      <c r="H164" s="44"/>
      <c r="I164" s="44"/>
      <c r="J164" s="44"/>
      <c r="K164" s="356"/>
      <c r="L164" s="194"/>
      <c r="M164" s="194"/>
      <c r="N164" s="194"/>
      <c r="O164" s="194"/>
      <c r="P164" s="54"/>
    </row>
    <row r="165" spans="1:19">
      <c r="A165" s="361" t="s">
        <v>566</v>
      </c>
      <c r="C165" s="44"/>
      <c r="D165" s="44"/>
      <c r="E165" s="46" t="s">
        <v>12</v>
      </c>
      <c r="F165" s="44"/>
      <c r="G165" s="44"/>
      <c r="H165" s="44"/>
      <c r="I165" s="44"/>
      <c r="J165" s="44"/>
      <c r="K165" s="356"/>
      <c r="L165" s="194"/>
      <c r="M165" s="194"/>
      <c r="N165" s="194"/>
      <c r="O165" s="194"/>
      <c r="P165" s="54"/>
    </row>
    <row r="166" spans="1:19">
      <c r="A166" s="361" t="s">
        <v>563</v>
      </c>
      <c r="C166" s="44"/>
      <c r="D166" s="44"/>
      <c r="E166" s="46" t="s">
        <v>12</v>
      </c>
      <c r="F166" s="44"/>
      <c r="G166" s="44"/>
      <c r="H166" s="44"/>
      <c r="I166" s="44"/>
      <c r="J166" s="44"/>
      <c r="K166" s="356"/>
      <c r="L166" s="194"/>
      <c r="M166" s="194"/>
      <c r="N166" s="194"/>
      <c r="O166" s="194"/>
      <c r="P166" s="54"/>
    </row>
    <row r="167" spans="1:19">
      <c r="A167" s="361" t="s">
        <v>564</v>
      </c>
      <c r="C167" s="44"/>
      <c r="D167" s="44"/>
      <c r="E167" s="46" t="s">
        <v>12</v>
      </c>
      <c r="F167" s="44"/>
      <c r="G167" s="44"/>
      <c r="H167" s="44"/>
      <c r="I167" s="44"/>
      <c r="J167" s="44"/>
      <c r="K167" s="356"/>
      <c r="L167" s="194"/>
      <c r="M167" s="194"/>
      <c r="N167" s="194"/>
      <c r="O167" s="194"/>
      <c r="P167" s="54"/>
    </row>
    <row r="168" spans="1:19">
      <c r="A168" s="361" t="s">
        <v>565</v>
      </c>
      <c r="C168" s="44"/>
      <c r="D168" s="44"/>
      <c r="E168" s="46" t="s">
        <v>12</v>
      </c>
      <c r="F168" s="44"/>
      <c r="G168" s="44"/>
      <c r="H168" s="44"/>
      <c r="I168" s="44"/>
      <c r="J168" s="44"/>
      <c r="K168" s="356"/>
      <c r="L168" s="194"/>
      <c r="M168" s="194"/>
      <c r="N168" s="194"/>
      <c r="O168" s="194"/>
      <c r="P168" s="54"/>
    </row>
    <row r="169" spans="1:19" s="33" customFormat="1">
      <c r="A169" s="42" t="s">
        <v>232</v>
      </c>
      <c r="B169" s="42"/>
      <c r="C169" s="42"/>
      <c r="D169" s="42"/>
      <c r="E169" s="43" t="s">
        <v>12</v>
      </c>
      <c r="F169" s="42"/>
      <c r="G169" s="42"/>
      <c r="H169" s="42"/>
      <c r="I169" s="42"/>
      <c r="J169" s="42"/>
      <c r="K169" s="197">
        <f>SUM(K159:K168)</f>
        <v>0</v>
      </c>
      <c r="L169" s="197">
        <f>SUM(L159:L168)</f>
        <v>0</v>
      </c>
      <c r="M169" s="197">
        <f>SUM(M159:M168)</f>
        <v>0</v>
      </c>
      <c r="N169" s="197">
        <f>SUM(N159:N168)</f>
        <v>0</v>
      </c>
      <c r="O169" s="197">
        <f>SUM(O159:O168)</f>
        <v>0</v>
      </c>
      <c r="P169" s="55" t="s">
        <v>41</v>
      </c>
      <c r="R169" s="42"/>
      <c r="S169" s="42"/>
    </row>
    <row r="170" spans="1:19" ht="9" customHeight="1">
      <c r="A170" s="44"/>
      <c r="C170" s="44"/>
      <c r="D170" s="44"/>
      <c r="E170" s="46"/>
      <c r="F170" s="44"/>
      <c r="G170" s="44"/>
      <c r="H170" s="44"/>
      <c r="I170" s="44"/>
      <c r="J170" s="44"/>
      <c r="K170" s="44"/>
      <c r="L170" s="44"/>
      <c r="M170" s="44"/>
      <c r="N170" s="44"/>
      <c r="O170" s="44"/>
    </row>
    <row r="171" spans="1:19" ht="12.75" customHeight="1"/>
    <row r="172" spans="1:19" ht="12.75" customHeight="1"/>
    <row r="173" spans="1:19" ht="12.75" hidden="1" customHeight="1"/>
    <row r="174" spans="1:19" ht="12.75" hidden="1" customHeight="1"/>
    <row r="175" spans="1:19" ht="12.75" hidden="1" customHeight="1"/>
    <row r="176" spans="1:19"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sheetData>
  <sheetProtection password="E1CD" sheet="1" objects="1" scenarios="1" formatCells="0" formatColumns="0" formatRows="0" insertHyperlinks="0" autoFilter="0" pivotTables="0"/>
  <mergeCells count="2">
    <mergeCell ref="K8:N8"/>
    <mergeCell ref="J3:K3"/>
  </mergeCells>
  <pageMargins left="0.51181102362204722" right="0.51181102362204722" top="0.39370078740157483" bottom="0.59055118110236227" header="0.11811023622047245" footer="0.11811023622047245"/>
  <pageSetup paperSize="8" fitToHeight="0" orientation="landscape" r:id="rId1"/>
  <headerFooter>
    <oddHeader>&amp;C&amp;A</oddHeader>
    <oddFooter>&amp;L&amp;D &amp;T&amp;C&amp;Z&amp;R&amp;F</oddFooter>
  </headerFooter>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sheetPr codeName="Sheet12">
    <tabColor rgb="FFFFFF99"/>
    <pageSetUpPr fitToPage="1"/>
  </sheetPr>
  <dimension ref="A1:R38"/>
  <sheetViews>
    <sheetView view="pageBreakPreview" zoomScaleNormal="100" zoomScaleSheetLayoutView="100" workbookViewId="0">
      <pane ySplit="5" topLeftCell="A6" activePane="bottomLeft" state="frozen"/>
      <selection pane="bottomLeft" activeCell="A6" sqref="A6"/>
    </sheetView>
  </sheetViews>
  <sheetFormatPr defaultColWidth="0" defaultRowHeight="12.75" zeroHeight="1"/>
  <cols>
    <col min="1" max="1" width="4.625" style="10" customWidth="1"/>
    <col min="2" max="2" width="34.625" style="10" customWidth="1"/>
    <col min="3" max="3" width="4.625" style="10" customWidth="1"/>
    <col min="4" max="4" width="13.625" style="10" customWidth="1"/>
    <col min="5" max="5" width="9.625" style="13" customWidth="1"/>
    <col min="6" max="6" width="4.625" style="10" customWidth="1"/>
    <col min="7" max="7" width="13.625" style="10" customWidth="1"/>
    <col min="8" max="8" width="9.625" style="10" customWidth="1"/>
    <col min="9" max="9" width="4.625" style="10" customWidth="1"/>
    <col min="10" max="10" width="13.625" style="10" customWidth="1"/>
    <col min="11" max="11" width="9.625" style="10" customWidth="1"/>
    <col min="12" max="12" width="4.625" style="10" customWidth="1"/>
    <col min="13" max="18" width="0" style="10" hidden="1" customWidth="1"/>
    <col min="19" max="16384" width="9" style="10" hidden="1"/>
  </cols>
  <sheetData>
    <row r="1" spans="1:12" s="5" customFormat="1" ht="15">
      <c r="A1" s="191" t="s">
        <v>661</v>
      </c>
      <c r="E1" s="61"/>
      <c r="G1" s="370" t="s">
        <v>645</v>
      </c>
      <c r="H1" s="371"/>
      <c r="I1" s="371"/>
    </row>
    <row r="2" spans="1:12" s="5" customFormat="1" ht="15">
      <c r="A2" s="191" t="str">
        <f>COMPNAME</f>
        <v>Company Name of Electricity Distribution Network Operator Limited</v>
      </c>
    </row>
    <row r="3" spans="1:12">
      <c r="A3" s="155" t="str">
        <f>'R5 Input page'!K8</f>
        <v>Regulatory Year ending 31 March 2012</v>
      </c>
      <c r="B3" s="5"/>
      <c r="C3" s="5"/>
      <c r="D3" s="369">
        <v>2013</v>
      </c>
      <c r="E3" s="369"/>
      <c r="F3" s="5"/>
      <c r="G3" s="369">
        <v>2014</v>
      </c>
      <c r="H3" s="369"/>
      <c r="I3" s="5"/>
      <c r="J3" s="369">
        <v>2015</v>
      </c>
      <c r="K3" s="369"/>
      <c r="L3" s="5"/>
    </row>
    <row r="4" spans="1:12">
      <c r="A4" s="5"/>
      <c r="B4" s="5"/>
      <c r="C4" s="5"/>
      <c r="D4" s="163" t="s">
        <v>298</v>
      </c>
      <c r="E4" s="161"/>
      <c r="F4" s="5"/>
      <c r="G4" s="163" t="s">
        <v>298</v>
      </c>
      <c r="H4" s="161"/>
      <c r="I4" s="5"/>
      <c r="J4" s="163" t="s">
        <v>298</v>
      </c>
      <c r="K4" s="161"/>
      <c r="L4" s="5"/>
    </row>
    <row r="5" spans="1:12">
      <c r="A5" s="5"/>
      <c r="B5" s="64" t="s">
        <v>147</v>
      </c>
      <c r="C5" s="59"/>
      <c r="D5" s="64" t="s">
        <v>148</v>
      </c>
      <c r="E5" s="64" t="s">
        <v>149</v>
      </c>
      <c r="F5" s="59"/>
      <c r="G5" s="64" t="s">
        <v>148</v>
      </c>
      <c r="H5" s="64" t="s">
        <v>149</v>
      </c>
      <c r="I5" s="59"/>
      <c r="J5" s="64" t="s">
        <v>148</v>
      </c>
      <c r="K5" s="64" t="s">
        <v>149</v>
      </c>
      <c r="L5" s="5"/>
    </row>
    <row r="6" spans="1:12" ht="25.5">
      <c r="A6" s="5"/>
      <c r="B6" s="65"/>
      <c r="C6" s="60"/>
      <c r="D6" s="66" t="s">
        <v>150</v>
      </c>
      <c r="E6" s="65" t="s">
        <v>11</v>
      </c>
      <c r="F6" s="60"/>
      <c r="G6" s="66" t="s">
        <v>150</v>
      </c>
      <c r="H6" s="65" t="s">
        <v>11</v>
      </c>
      <c r="I6" s="60"/>
      <c r="J6" s="66" t="s">
        <v>150</v>
      </c>
      <c r="K6" s="65" t="s">
        <v>11</v>
      </c>
      <c r="L6" s="5"/>
    </row>
    <row r="7" spans="1:12">
      <c r="A7" s="61">
        <v>1</v>
      </c>
      <c r="B7" s="189"/>
      <c r="C7" s="62"/>
      <c r="D7" s="189"/>
      <c r="E7" s="189"/>
      <c r="F7" s="62"/>
      <c r="G7" s="189"/>
      <c r="H7" s="189"/>
      <c r="I7" s="62"/>
      <c r="J7" s="189"/>
      <c r="K7" s="189"/>
      <c r="L7" s="63"/>
    </row>
    <row r="8" spans="1:12">
      <c r="A8" s="61">
        <v>2</v>
      </c>
      <c r="B8" s="189"/>
      <c r="C8" s="6"/>
      <c r="D8" s="189"/>
      <c r="E8" s="189"/>
      <c r="F8" s="6"/>
      <c r="G8" s="189"/>
      <c r="H8" s="189"/>
      <c r="I8" s="6"/>
      <c r="J8" s="189"/>
      <c r="K8" s="189"/>
      <c r="L8" s="5"/>
    </row>
    <row r="9" spans="1:12">
      <c r="A9" s="61">
        <v>3</v>
      </c>
      <c r="B9" s="189"/>
      <c r="C9" s="6"/>
      <c r="D9" s="189"/>
      <c r="E9" s="189"/>
      <c r="F9" s="6"/>
      <c r="G9" s="189"/>
      <c r="H9" s="189"/>
      <c r="I9" s="6"/>
      <c r="J9" s="189"/>
      <c r="K9" s="189"/>
      <c r="L9" s="5"/>
    </row>
    <row r="10" spans="1:12">
      <c r="A10" s="61">
        <v>4</v>
      </c>
      <c r="B10" s="189"/>
      <c r="C10" s="6"/>
      <c r="D10" s="189"/>
      <c r="E10" s="189"/>
      <c r="F10" s="6"/>
      <c r="G10" s="189"/>
      <c r="H10" s="189"/>
      <c r="I10" s="6"/>
      <c r="J10" s="189"/>
      <c r="K10" s="189"/>
      <c r="L10" s="5"/>
    </row>
    <row r="11" spans="1:12">
      <c r="A11" s="61">
        <v>5</v>
      </c>
      <c r="B11" s="189"/>
      <c r="C11" s="6"/>
      <c r="D11" s="189"/>
      <c r="E11" s="189"/>
      <c r="F11" s="6"/>
      <c r="G11" s="189"/>
      <c r="H11" s="189"/>
      <c r="I11" s="6"/>
      <c r="J11" s="189"/>
      <c r="K11" s="189"/>
      <c r="L11" s="5"/>
    </row>
    <row r="12" spans="1:12">
      <c r="A12" s="61">
        <v>6</v>
      </c>
      <c r="B12" s="189"/>
      <c r="C12" s="6"/>
      <c r="D12" s="189"/>
      <c r="E12" s="189"/>
      <c r="F12" s="6"/>
      <c r="G12" s="189"/>
      <c r="H12" s="189"/>
      <c r="I12" s="6"/>
      <c r="J12" s="189"/>
      <c r="K12" s="189"/>
      <c r="L12" s="5"/>
    </row>
    <row r="13" spans="1:12">
      <c r="A13" s="61">
        <v>7</v>
      </c>
      <c r="B13" s="189"/>
      <c r="C13" s="6"/>
      <c r="D13" s="189"/>
      <c r="E13" s="189"/>
      <c r="F13" s="6"/>
      <c r="G13" s="189"/>
      <c r="H13" s="189"/>
      <c r="I13" s="6"/>
      <c r="J13" s="189"/>
      <c r="K13" s="189"/>
      <c r="L13" s="5"/>
    </row>
    <row r="14" spans="1:12">
      <c r="A14" s="61">
        <v>8</v>
      </c>
      <c r="B14" s="189"/>
      <c r="C14" s="6"/>
      <c r="D14" s="189"/>
      <c r="E14" s="189"/>
      <c r="F14" s="6"/>
      <c r="G14" s="189"/>
      <c r="H14" s="189"/>
      <c r="I14" s="6"/>
      <c r="J14" s="189"/>
      <c r="K14" s="189"/>
      <c r="L14" s="5"/>
    </row>
    <row r="15" spans="1:12">
      <c r="A15" s="61">
        <v>9</v>
      </c>
      <c r="B15" s="189"/>
      <c r="C15" s="6"/>
      <c r="D15" s="189"/>
      <c r="E15" s="189"/>
      <c r="F15" s="6"/>
      <c r="G15" s="189"/>
      <c r="H15" s="189"/>
      <c r="I15" s="6"/>
      <c r="J15" s="189"/>
      <c r="K15" s="189"/>
      <c r="L15" s="5"/>
    </row>
    <row r="16" spans="1:12">
      <c r="A16" s="61">
        <v>10</v>
      </c>
      <c r="B16" s="189"/>
      <c r="C16" s="6"/>
      <c r="D16" s="189"/>
      <c r="E16" s="189"/>
      <c r="F16" s="6"/>
      <c r="G16" s="189"/>
      <c r="H16" s="189"/>
      <c r="I16" s="6"/>
      <c r="J16" s="189"/>
      <c r="K16" s="189"/>
      <c r="L16" s="5"/>
    </row>
    <row r="17" spans="1:12">
      <c r="A17" s="61">
        <v>11</v>
      </c>
      <c r="B17" s="189"/>
      <c r="C17" s="6"/>
      <c r="D17" s="189"/>
      <c r="E17" s="189"/>
      <c r="F17" s="6"/>
      <c r="G17" s="189"/>
      <c r="H17" s="189"/>
      <c r="I17" s="6"/>
      <c r="J17" s="189"/>
      <c r="K17" s="189"/>
      <c r="L17" s="5"/>
    </row>
    <row r="18" spans="1:12">
      <c r="A18" s="61">
        <v>12</v>
      </c>
      <c r="B18" s="189"/>
      <c r="C18" s="6"/>
      <c r="D18" s="189"/>
      <c r="E18" s="189"/>
      <c r="F18" s="6"/>
      <c r="G18" s="189"/>
      <c r="H18" s="189"/>
      <c r="I18" s="6"/>
      <c r="J18" s="189"/>
      <c r="K18" s="189"/>
      <c r="L18" s="5"/>
    </row>
    <row r="19" spans="1:12">
      <c r="A19" s="61">
        <v>13</v>
      </c>
      <c r="B19" s="189"/>
      <c r="C19" s="6"/>
      <c r="D19" s="189"/>
      <c r="E19" s="189"/>
      <c r="F19" s="6"/>
      <c r="G19" s="189"/>
      <c r="H19" s="189"/>
      <c r="I19" s="6"/>
      <c r="J19" s="189"/>
      <c r="K19" s="189"/>
      <c r="L19" s="5"/>
    </row>
    <row r="20" spans="1:12">
      <c r="A20" s="61">
        <v>14</v>
      </c>
      <c r="B20" s="189"/>
      <c r="C20" s="6"/>
      <c r="D20" s="189"/>
      <c r="E20" s="189"/>
      <c r="F20" s="6"/>
      <c r="G20" s="189"/>
      <c r="H20" s="189"/>
      <c r="I20" s="6"/>
      <c r="J20" s="189"/>
      <c r="K20" s="189"/>
      <c r="L20" s="5"/>
    </row>
    <row r="21" spans="1:12">
      <c r="A21" s="61">
        <v>15</v>
      </c>
      <c r="B21" s="189"/>
      <c r="C21" s="6"/>
      <c r="D21" s="189"/>
      <c r="E21" s="189"/>
      <c r="F21" s="6"/>
      <c r="G21" s="189"/>
      <c r="H21" s="189"/>
      <c r="I21" s="6"/>
      <c r="J21" s="189"/>
      <c r="K21" s="189"/>
      <c r="L21" s="5"/>
    </row>
    <row r="22" spans="1:12">
      <c r="A22" s="61">
        <v>16</v>
      </c>
      <c r="B22" s="189"/>
      <c r="C22" s="6"/>
      <c r="D22" s="189"/>
      <c r="E22" s="189"/>
      <c r="F22" s="6"/>
      <c r="G22" s="189"/>
      <c r="H22" s="189"/>
      <c r="I22" s="6"/>
      <c r="J22" s="189"/>
      <c r="K22" s="189"/>
      <c r="L22" s="5"/>
    </row>
    <row r="23" spans="1:12">
      <c r="A23" s="61">
        <v>17</v>
      </c>
      <c r="B23" s="189"/>
      <c r="C23" s="6"/>
      <c r="D23" s="189"/>
      <c r="E23" s="189"/>
      <c r="F23" s="6"/>
      <c r="G23" s="189"/>
      <c r="H23" s="189"/>
      <c r="I23" s="6"/>
      <c r="J23" s="189"/>
      <c r="K23" s="189"/>
      <c r="L23" s="5"/>
    </row>
    <row r="24" spans="1:12">
      <c r="A24" s="61">
        <v>18</v>
      </c>
      <c r="B24" s="189"/>
      <c r="C24" s="6"/>
      <c r="D24" s="189"/>
      <c r="E24" s="189"/>
      <c r="F24" s="6"/>
      <c r="G24" s="189"/>
      <c r="H24" s="189"/>
      <c r="I24" s="6"/>
      <c r="J24" s="189"/>
      <c r="K24" s="189"/>
      <c r="L24" s="5"/>
    </row>
    <row r="25" spans="1:12">
      <c r="A25" s="61">
        <v>19</v>
      </c>
      <c r="B25" s="189"/>
      <c r="C25" s="6"/>
      <c r="D25" s="189"/>
      <c r="E25" s="189"/>
      <c r="F25" s="6"/>
      <c r="G25" s="189"/>
      <c r="H25" s="189"/>
      <c r="I25" s="6"/>
      <c r="J25" s="189"/>
      <c r="K25" s="189"/>
      <c r="L25" s="5"/>
    </row>
    <row r="26" spans="1:12">
      <c r="A26" s="61">
        <v>20</v>
      </c>
      <c r="B26" s="189"/>
      <c r="C26" s="6"/>
      <c r="D26" s="189"/>
      <c r="E26" s="189"/>
      <c r="F26" s="6"/>
      <c r="G26" s="189"/>
      <c r="H26" s="189"/>
      <c r="I26" s="6"/>
      <c r="J26" s="189"/>
      <c r="K26" s="189"/>
      <c r="L26" s="5"/>
    </row>
    <row r="27" spans="1:12">
      <c r="A27" s="61">
        <v>21</v>
      </c>
      <c r="B27" s="189"/>
      <c r="C27" s="6"/>
      <c r="D27" s="189"/>
      <c r="E27" s="189"/>
      <c r="F27" s="6"/>
      <c r="G27" s="189"/>
      <c r="H27" s="189"/>
      <c r="I27" s="6"/>
      <c r="J27" s="189"/>
      <c r="K27" s="189"/>
      <c r="L27" s="5"/>
    </row>
    <row r="28" spans="1:12">
      <c r="A28" s="61">
        <v>22</v>
      </c>
      <c r="B28" s="189"/>
      <c r="C28" s="6"/>
      <c r="D28" s="189"/>
      <c r="E28" s="189"/>
      <c r="F28" s="6"/>
      <c r="G28" s="189"/>
      <c r="H28" s="189"/>
      <c r="I28" s="6"/>
      <c r="J28" s="189"/>
      <c r="K28" s="189"/>
      <c r="L28" s="5"/>
    </row>
    <row r="29" spans="1:12">
      <c r="A29" s="61">
        <v>23</v>
      </c>
      <c r="B29" s="189"/>
      <c r="C29" s="6"/>
      <c r="D29" s="189"/>
      <c r="E29" s="189"/>
      <c r="F29" s="6"/>
      <c r="G29" s="189"/>
      <c r="H29" s="189"/>
      <c r="I29" s="6"/>
      <c r="J29" s="189"/>
      <c r="K29" s="189"/>
      <c r="L29" s="5"/>
    </row>
    <row r="30" spans="1:12">
      <c r="A30" s="61">
        <v>24</v>
      </c>
      <c r="B30" s="189"/>
      <c r="C30" s="6"/>
      <c r="D30" s="189"/>
      <c r="E30" s="189"/>
      <c r="F30" s="6"/>
      <c r="G30" s="189"/>
      <c r="H30" s="189"/>
      <c r="I30" s="6"/>
      <c r="J30" s="189"/>
      <c r="K30" s="189"/>
      <c r="L30" s="5"/>
    </row>
    <row r="31" spans="1:12">
      <c r="A31" s="61">
        <v>25</v>
      </c>
      <c r="B31" s="189"/>
      <c r="C31" s="6"/>
      <c r="D31" s="189"/>
      <c r="E31" s="189"/>
      <c r="F31" s="6"/>
      <c r="G31" s="189"/>
      <c r="H31" s="189"/>
      <c r="I31" s="6"/>
      <c r="J31" s="189"/>
      <c r="K31" s="189"/>
      <c r="L31" s="5"/>
    </row>
    <row r="32" spans="1:12" ht="9" customHeight="1">
      <c r="A32" s="5"/>
      <c r="B32" s="5"/>
      <c r="C32" s="5"/>
      <c r="D32" s="5"/>
      <c r="E32" s="61"/>
      <c r="F32" s="5"/>
      <c r="G32" s="5"/>
      <c r="H32" s="5"/>
      <c r="I32" s="5"/>
      <c r="J32" s="5"/>
      <c r="K32" s="5"/>
      <c r="L32" s="5"/>
    </row>
    <row r="33" spans="1:12" s="70" customFormat="1" ht="25.5">
      <c r="A33" s="68"/>
      <c r="B33" s="68"/>
      <c r="C33" s="68"/>
      <c r="D33" s="68" t="s">
        <v>151</v>
      </c>
      <c r="E33" s="69" t="s">
        <v>152</v>
      </c>
      <c r="F33" s="68"/>
      <c r="G33" s="68" t="s">
        <v>151</v>
      </c>
      <c r="H33" s="69" t="s">
        <v>152</v>
      </c>
      <c r="I33" s="68"/>
      <c r="J33" s="68" t="s">
        <v>151</v>
      </c>
      <c r="K33" s="69" t="s">
        <v>152</v>
      </c>
      <c r="L33" s="68"/>
    </row>
    <row r="34" spans="1:12">
      <c r="A34" s="5"/>
      <c r="B34" s="5"/>
      <c r="C34" s="5"/>
      <c r="D34" s="198">
        <f>COUNT(D7:D31)</f>
        <v>0</v>
      </c>
      <c r="E34" s="198">
        <f>SUM(E7:E31)</f>
        <v>0</v>
      </c>
      <c r="F34" s="5"/>
      <c r="G34" s="198">
        <f>COUNT(G7:G31)</f>
        <v>0</v>
      </c>
      <c r="H34" s="198">
        <f>SUM(H7:H31)</f>
        <v>0</v>
      </c>
      <c r="I34" s="5"/>
      <c r="J34" s="198">
        <f>COUNT(J7:J31)</f>
        <v>0</v>
      </c>
      <c r="K34" s="198">
        <f>SUM(K7:K31)</f>
        <v>0</v>
      </c>
      <c r="L34" s="5"/>
    </row>
    <row r="35" spans="1:12" ht="9" customHeight="1">
      <c r="A35" s="14"/>
      <c r="B35" s="14"/>
      <c r="C35" s="14"/>
      <c r="D35" s="14"/>
      <c r="E35" s="96"/>
      <c r="F35" s="14"/>
      <c r="G35" s="14"/>
      <c r="H35" s="14"/>
      <c r="I35" s="14"/>
      <c r="J35" s="14"/>
      <c r="K35" s="14"/>
      <c r="L35" s="14"/>
    </row>
    <row r="36" spans="1:12" s="14" customFormat="1" hidden="1">
      <c r="E36" s="96"/>
    </row>
    <row r="37" spans="1:12" s="14" customFormat="1" hidden="1">
      <c r="E37" s="96"/>
    </row>
    <row r="38" spans="1:12" hidden="1"/>
  </sheetData>
  <sheetProtection password="E1CD" sheet="1" objects="1" scenarios="1" formatCells="0" formatColumns="0" formatRows="0" insertHyperlinks="0" autoFilter="0" pivotTables="0"/>
  <mergeCells count="4">
    <mergeCell ref="D3:E3"/>
    <mergeCell ref="G3:H3"/>
    <mergeCell ref="J3:K3"/>
    <mergeCell ref="G1:I1"/>
  </mergeCells>
  <pageMargins left="0.19685039370078741" right="0.19685039370078741" top="0.55118110236220474" bottom="0.55118110236220474" header="0.11811023622047245" footer="0.11811023622047245"/>
  <pageSetup paperSize="9" orientation="landscape" r:id="rId1"/>
  <headerFooter>
    <oddHeader>&amp;C&amp;A</oddHeader>
    <oddFooter>&amp;L&amp;D &amp;T&amp;C&amp;Z&amp;F&amp;R&amp;A</oddFooter>
  </headerFooter>
</worksheet>
</file>

<file path=xl/worksheets/sheet7.xml><?xml version="1.0" encoding="utf-8"?>
<worksheet xmlns="http://schemas.openxmlformats.org/spreadsheetml/2006/main" xmlns:r="http://schemas.openxmlformats.org/officeDocument/2006/relationships">
  <sheetPr codeName="Sheet5">
    <tabColor rgb="FFFFFF99"/>
  </sheetPr>
  <dimension ref="A1:Y124"/>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C5" sqref="C5"/>
    </sheetView>
  </sheetViews>
  <sheetFormatPr defaultColWidth="0" defaultRowHeight="12.75" zeroHeight="1"/>
  <cols>
    <col min="1" max="1" width="40.625" style="17" bestFit="1" customWidth="1"/>
    <col min="2" max="2" width="15.625" style="17" bestFit="1" customWidth="1"/>
    <col min="3" max="4" width="0.875" style="17" customWidth="1"/>
    <col min="5" max="5" width="5.75" style="235" bestFit="1" customWidth="1"/>
    <col min="6" max="10" width="0.875" style="17" customWidth="1"/>
    <col min="11" max="15" width="9" style="17" customWidth="1"/>
    <col min="16" max="16" width="15.625" style="17" customWidth="1"/>
    <col min="17" max="17" width="9" style="17" hidden="1" customWidth="1"/>
    <col min="18" max="25" width="0" style="17" hidden="1" customWidth="1"/>
    <col min="26" max="16384" width="9" style="17" hidden="1"/>
  </cols>
  <sheetData>
    <row r="1" spans="1:17" s="5" customFormat="1" ht="15">
      <c r="A1" s="191" t="s">
        <v>484</v>
      </c>
      <c r="E1" s="61"/>
    </row>
    <row r="2" spans="1:17" s="5" customFormat="1" ht="15">
      <c r="A2" s="191" t="str">
        <f>COMPNAME</f>
        <v>Company Name of Electricity Distribution Network Operator Limited</v>
      </c>
      <c r="E2" s="73"/>
      <c r="F2" s="74"/>
      <c r="G2" s="74"/>
      <c r="H2" s="74"/>
      <c r="I2" s="74"/>
      <c r="J2" s="74"/>
      <c r="K2" s="74"/>
      <c r="L2" s="74"/>
      <c r="M2" s="74"/>
      <c r="N2" s="74"/>
      <c r="O2" s="74"/>
    </row>
    <row r="3" spans="1:17" s="71" customFormat="1" ht="14.25">
      <c r="A3" s="155" t="str">
        <f>'R5 Input page'!K8</f>
        <v>Regulatory Year ending 31 March 2012</v>
      </c>
      <c r="B3" s="75"/>
      <c r="C3" s="75"/>
      <c r="D3" s="75"/>
      <c r="E3" s="234"/>
      <c r="F3" s="75"/>
      <c r="G3" s="75"/>
      <c r="H3" s="75"/>
      <c r="I3" s="75"/>
      <c r="J3" s="75"/>
      <c r="K3" s="372" t="s">
        <v>645</v>
      </c>
      <c r="L3" s="372"/>
      <c r="M3" s="372"/>
      <c r="N3" s="75"/>
      <c r="O3" s="75"/>
      <c r="P3" s="89"/>
      <c r="Q3" s="75"/>
    </row>
    <row r="4" spans="1:17" s="71" customFormat="1" ht="15">
      <c r="A4" s="191" t="s">
        <v>54</v>
      </c>
      <c r="B4" s="76"/>
      <c r="C4" s="76"/>
      <c r="D4" s="76"/>
      <c r="E4" s="74" t="s">
        <v>5</v>
      </c>
      <c r="F4" s="76"/>
      <c r="G4" s="76"/>
      <c r="H4" s="76"/>
      <c r="I4" s="76"/>
      <c r="J4" s="76"/>
      <c r="K4" s="74">
        <v>2011</v>
      </c>
      <c r="L4" s="74">
        <v>2012</v>
      </c>
      <c r="M4" s="74">
        <v>2013</v>
      </c>
      <c r="N4" s="74">
        <v>2014</v>
      </c>
      <c r="O4" s="74">
        <v>2015</v>
      </c>
      <c r="P4" s="30" t="s">
        <v>6</v>
      </c>
      <c r="Q4" s="76"/>
    </row>
    <row r="5" spans="1:17" ht="25.5">
      <c r="A5" s="77" t="s">
        <v>234</v>
      </c>
      <c r="B5" s="21"/>
      <c r="C5" s="21"/>
      <c r="D5" s="21"/>
      <c r="E5" s="25"/>
      <c r="F5" s="21"/>
      <c r="G5" s="21"/>
      <c r="H5" s="21"/>
      <c r="I5" s="21"/>
      <c r="J5" s="21"/>
      <c r="K5" s="21"/>
      <c r="L5" s="21"/>
      <c r="M5" s="21"/>
      <c r="N5" s="21"/>
      <c r="O5" s="21"/>
      <c r="P5" s="30"/>
      <c r="Q5" s="21"/>
    </row>
    <row r="6" spans="1:17">
      <c r="A6" s="21" t="s">
        <v>55</v>
      </c>
      <c r="B6" s="21"/>
      <c r="C6" s="21"/>
      <c r="D6" s="21"/>
      <c r="E6" s="25" t="s">
        <v>12</v>
      </c>
      <c r="F6" s="25"/>
      <c r="G6" s="25"/>
      <c r="H6" s="25"/>
      <c r="I6" s="25"/>
      <c r="J6" s="25"/>
      <c r="K6" s="356"/>
      <c r="L6" s="194"/>
      <c r="M6" s="194"/>
      <c r="N6" s="194"/>
      <c r="O6" s="194"/>
      <c r="P6" s="30" t="s">
        <v>524</v>
      </c>
      <c r="Q6" s="21"/>
    </row>
    <row r="7" spans="1:17">
      <c r="A7" s="78" t="s">
        <v>56</v>
      </c>
      <c r="B7" s="76"/>
      <c r="C7" s="76"/>
      <c r="D7" s="76"/>
      <c r="E7" s="26" t="s">
        <v>14</v>
      </c>
      <c r="F7" s="26"/>
      <c r="G7" s="26"/>
      <c r="H7" s="26"/>
      <c r="I7" s="26"/>
      <c r="J7" s="79"/>
      <c r="K7" s="356"/>
      <c r="L7" s="194"/>
      <c r="M7" s="194"/>
      <c r="N7" s="194"/>
      <c r="O7" s="194"/>
      <c r="P7" s="30" t="s">
        <v>530</v>
      </c>
      <c r="Q7" s="21"/>
    </row>
    <row r="8" spans="1:17">
      <c r="A8" s="21" t="s">
        <v>57</v>
      </c>
      <c r="B8" s="21"/>
      <c r="C8" s="21"/>
      <c r="D8" s="21"/>
      <c r="E8" s="25" t="s">
        <v>12</v>
      </c>
      <c r="F8" s="26"/>
      <c r="G8" s="26"/>
      <c r="H8" s="26"/>
      <c r="I8" s="26"/>
      <c r="J8" s="25"/>
      <c r="K8" s="356"/>
      <c r="L8" s="194"/>
      <c r="M8" s="194"/>
      <c r="N8" s="194"/>
      <c r="O8" s="194"/>
      <c r="P8" s="30" t="s">
        <v>58</v>
      </c>
      <c r="Q8" s="21"/>
    </row>
    <row r="9" spans="1:17">
      <c r="A9" s="78" t="s">
        <v>59</v>
      </c>
      <c r="B9" s="76"/>
      <c r="C9" s="76"/>
      <c r="D9" s="76"/>
      <c r="E9" s="26" t="s">
        <v>14</v>
      </c>
      <c r="F9" s="26"/>
      <c r="G9" s="26"/>
      <c r="H9" s="26"/>
      <c r="I9" s="26"/>
      <c r="J9" s="79"/>
      <c r="K9" s="356"/>
      <c r="L9" s="194"/>
      <c r="M9" s="194"/>
      <c r="N9" s="194"/>
      <c r="O9" s="194"/>
      <c r="P9" s="30" t="s">
        <v>531</v>
      </c>
      <c r="Q9" s="21"/>
    </row>
    <row r="10" spans="1:17">
      <c r="A10" s="21" t="s">
        <v>60</v>
      </c>
      <c r="B10" s="21"/>
      <c r="C10" s="21"/>
      <c r="D10" s="21"/>
      <c r="E10" s="25" t="s">
        <v>12</v>
      </c>
      <c r="F10" s="26"/>
      <c r="G10" s="26"/>
      <c r="H10" s="26"/>
      <c r="I10" s="26"/>
      <c r="J10" s="25"/>
      <c r="K10" s="356"/>
      <c r="L10" s="194"/>
      <c r="M10" s="194"/>
      <c r="N10" s="194"/>
      <c r="O10" s="194"/>
      <c r="P10" s="30" t="s">
        <v>61</v>
      </c>
      <c r="Q10" s="21"/>
    </row>
    <row r="11" spans="1:17">
      <c r="A11" s="78" t="s">
        <v>62</v>
      </c>
      <c r="B11" s="76"/>
      <c r="C11" s="76"/>
      <c r="D11" s="76"/>
      <c r="E11" s="26" t="s">
        <v>14</v>
      </c>
      <c r="F11" s="26"/>
      <c r="G11" s="26"/>
      <c r="H11" s="26"/>
      <c r="I11" s="26"/>
      <c r="J11" s="79"/>
      <c r="K11" s="356"/>
      <c r="L11" s="194"/>
      <c r="M11" s="194"/>
      <c r="N11" s="194"/>
      <c r="O11" s="194"/>
      <c r="P11" s="30" t="s">
        <v>532</v>
      </c>
      <c r="Q11" s="21"/>
    </row>
    <row r="12" spans="1:17">
      <c r="A12" s="21" t="s">
        <v>63</v>
      </c>
      <c r="B12" s="21"/>
      <c r="C12" s="21"/>
      <c r="D12" s="21"/>
      <c r="E12" s="25" t="s">
        <v>12</v>
      </c>
      <c r="F12" s="26"/>
      <c r="G12" s="26"/>
      <c r="H12" s="26"/>
      <c r="I12" s="26"/>
      <c r="J12" s="25"/>
      <c r="K12" s="356"/>
      <c r="L12" s="194"/>
      <c r="M12" s="194"/>
      <c r="N12" s="194"/>
      <c r="O12" s="194"/>
      <c r="P12" s="30" t="s">
        <v>64</v>
      </c>
      <c r="Q12" s="21"/>
    </row>
    <row r="13" spans="1:17">
      <c r="A13" s="76" t="s">
        <v>65</v>
      </c>
      <c r="B13" s="76"/>
      <c r="C13" s="76"/>
      <c r="D13" s="76"/>
      <c r="E13" s="26" t="s">
        <v>14</v>
      </c>
      <c r="F13" s="26"/>
      <c r="G13" s="26"/>
      <c r="H13" s="26"/>
      <c r="I13" s="26"/>
      <c r="J13" s="26"/>
      <c r="K13" s="356"/>
      <c r="L13" s="194"/>
      <c r="M13" s="194"/>
      <c r="N13" s="194"/>
      <c r="O13" s="194"/>
      <c r="P13" s="89" t="s">
        <v>533</v>
      </c>
      <c r="Q13" s="21"/>
    </row>
    <row r="14" spans="1:17">
      <c r="A14" s="80" t="s">
        <v>294</v>
      </c>
      <c r="B14" s="76"/>
      <c r="C14" s="76"/>
      <c r="D14" s="76"/>
      <c r="E14" s="73" t="s">
        <v>12</v>
      </c>
      <c r="F14" s="26"/>
      <c r="G14" s="26"/>
      <c r="H14" s="26"/>
      <c r="I14" s="26"/>
      <c r="J14" s="26"/>
      <c r="K14" s="197">
        <f>K6+K8+K10+K12</f>
        <v>0</v>
      </c>
      <c r="L14" s="197">
        <f>L6+L8+L10+L12</f>
        <v>0</v>
      </c>
      <c r="M14" s="197">
        <f>M6+M8+M10+M12</f>
        <v>0</v>
      </c>
      <c r="N14" s="197">
        <f>N6+N8+N10+N12</f>
        <v>0</v>
      </c>
      <c r="O14" s="197">
        <f>O6+O8+O10+O12</f>
        <v>0</v>
      </c>
      <c r="P14" s="89"/>
      <c r="Q14" s="21"/>
    </row>
    <row r="15" spans="1:17">
      <c r="A15" s="80"/>
      <c r="B15" s="76"/>
      <c r="C15" s="76"/>
      <c r="D15" s="76"/>
      <c r="E15" s="26"/>
      <c r="F15" s="26"/>
      <c r="G15" s="26"/>
      <c r="H15" s="26"/>
      <c r="I15" s="26"/>
      <c r="J15" s="26"/>
      <c r="K15" s="91"/>
      <c r="L15" s="91"/>
      <c r="M15" s="91"/>
      <c r="N15" s="91"/>
      <c r="O15" s="91"/>
      <c r="P15" s="89"/>
      <c r="Q15" s="21"/>
    </row>
    <row r="16" spans="1:17">
      <c r="A16" s="80" t="s">
        <v>293</v>
      </c>
      <c r="B16" s="76"/>
      <c r="C16" s="76"/>
      <c r="D16" s="76"/>
      <c r="E16" s="26"/>
      <c r="F16" s="26"/>
      <c r="G16" s="26"/>
      <c r="H16" s="26"/>
      <c r="I16" s="26"/>
      <c r="J16" s="26"/>
      <c r="K16" s="91"/>
      <c r="L16" s="91"/>
      <c r="M16" s="91"/>
      <c r="N16" s="91"/>
      <c r="O16" s="91"/>
      <c r="P16" s="89"/>
      <c r="Q16" s="21"/>
    </row>
    <row r="17" spans="1:17">
      <c r="A17" s="76" t="s">
        <v>66</v>
      </c>
      <c r="B17" s="21"/>
      <c r="C17" s="21"/>
      <c r="D17" s="21"/>
      <c r="E17" s="25" t="s">
        <v>12</v>
      </c>
      <c r="F17" s="26"/>
      <c r="G17" s="26"/>
      <c r="H17" s="26"/>
      <c r="I17" s="26"/>
      <c r="J17" s="25"/>
      <c r="K17" s="356"/>
      <c r="L17" s="194"/>
      <c r="M17" s="194"/>
      <c r="N17" s="194"/>
      <c r="O17" s="194"/>
      <c r="P17" s="30" t="s">
        <v>67</v>
      </c>
      <c r="Q17" s="21"/>
    </row>
    <row r="18" spans="1:17">
      <c r="A18" s="76" t="s">
        <v>68</v>
      </c>
      <c r="B18" s="21"/>
      <c r="C18" s="21"/>
      <c r="D18" s="21"/>
      <c r="E18" s="26" t="s">
        <v>14</v>
      </c>
      <c r="F18" s="26"/>
      <c r="G18" s="26"/>
      <c r="H18" s="26"/>
      <c r="I18" s="26"/>
      <c r="J18" s="79"/>
      <c r="K18" s="356"/>
      <c r="L18" s="194"/>
      <c r="M18" s="194"/>
      <c r="N18" s="194"/>
      <c r="O18" s="194"/>
      <c r="P18" s="30" t="s">
        <v>534</v>
      </c>
      <c r="Q18" s="21"/>
    </row>
    <row r="19" spans="1:17">
      <c r="A19" s="76" t="s">
        <v>69</v>
      </c>
      <c r="B19" s="21"/>
      <c r="C19" s="21"/>
      <c r="D19" s="21"/>
      <c r="E19" s="25" t="s">
        <v>12</v>
      </c>
      <c r="F19" s="26"/>
      <c r="G19" s="26"/>
      <c r="H19" s="26"/>
      <c r="I19" s="26"/>
      <c r="J19" s="25"/>
      <c r="K19" s="356"/>
      <c r="L19" s="194"/>
      <c r="M19" s="194"/>
      <c r="N19" s="194"/>
      <c r="O19" s="194"/>
      <c r="P19" s="30" t="s">
        <v>70</v>
      </c>
      <c r="Q19" s="21"/>
    </row>
    <row r="20" spans="1:17">
      <c r="A20" s="76" t="s">
        <v>71</v>
      </c>
      <c r="B20" s="21"/>
      <c r="C20" s="21"/>
      <c r="D20" s="21"/>
      <c r="E20" s="26" t="s">
        <v>14</v>
      </c>
      <c r="F20" s="26"/>
      <c r="G20" s="26"/>
      <c r="H20" s="26"/>
      <c r="I20" s="26"/>
      <c r="J20" s="79"/>
      <c r="K20" s="356"/>
      <c r="L20" s="194"/>
      <c r="M20" s="194"/>
      <c r="N20" s="194"/>
      <c r="O20" s="194"/>
      <c r="P20" s="30" t="s">
        <v>535</v>
      </c>
      <c r="Q20" s="21"/>
    </row>
    <row r="21" spans="1:17">
      <c r="A21" s="76" t="s">
        <v>72</v>
      </c>
      <c r="B21" s="21"/>
      <c r="C21" s="21"/>
      <c r="D21" s="21"/>
      <c r="E21" s="25" t="s">
        <v>12</v>
      </c>
      <c r="F21" s="26"/>
      <c r="G21" s="26"/>
      <c r="H21" s="26"/>
      <c r="I21" s="26"/>
      <c r="J21" s="25"/>
      <c r="K21" s="356"/>
      <c r="L21" s="194"/>
      <c r="M21" s="194"/>
      <c r="N21" s="194"/>
      <c r="O21" s="194"/>
      <c r="P21" s="30" t="s">
        <v>73</v>
      </c>
      <c r="Q21" s="21"/>
    </row>
    <row r="22" spans="1:17">
      <c r="A22" s="76" t="s">
        <v>74</v>
      </c>
      <c r="B22" s="21"/>
      <c r="C22" s="21"/>
      <c r="D22" s="21"/>
      <c r="E22" s="26" t="s">
        <v>14</v>
      </c>
      <c r="F22" s="26"/>
      <c r="G22" s="26"/>
      <c r="H22" s="26"/>
      <c r="I22" s="26"/>
      <c r="J22" s="79"/>
      <c r="K22" s="356"/>
      <c r="L22" s="194"/>
      <c r="M22" s="194"/>
      <c r="N22" s="194"/>
      <c r="O22" s="194"/>
      <c r="P22" s="30" t="s">
        <v>536</v>
      </c>
      <c r="Q22" s="21"/>
    </row>
    <row r="23" spans="1:17">
      <c r="A23" s="76" t="s">
        <v>75</v>
      </c>
      <c r="B23" s="21"/>
      <c r="C23" s="21"/>
      <c r="D23" s="21"/>
      <c r="E23" s="25" t="s">
        <v>12</v>
      </c>
      <c r="F23" s="26"/>
      <c r="G23" s="26"/>
      <c r="H23" s="26"/>
      <c r="I23" s="26"/>
      <c r="J23" s="25"/>
      <c r="K23" s="356"/>
      <c r="L23" s="194"/>
      <c r="M23" s="194"/>
      <c r="N23" s="194"/>
      <c r="O23" s="194"/>
      <c r="P23" s="30" t="s">
        <v>76</v>
      </c>
      <c r="Q23" s="21"/>
    </row>
    <row r="24" spans="1:17">
      <c r="A24" s="76" t="s">
        <v>77</v>
      </c>
      <c r="B24" s="21"/>
      <c r="C24" s="21"/>
      <c r="D24" s="21"/>
      <c r="E24" s="26" t="s">
        <v>14</v>
      </c>
      <c r="F24" s="26"/>
      <c r="G24" s="26"/>
      <c r="H24" s="26"/>
      <c r="I24" s="26"/>
      <c r="J24" s="79"/>
      <c r="K24" s="356"/>
      <c r="L24" s="194"/>
      <c r="M24" s="194"/>
      <c r="N24" s="194"/>
      <c r="O24" s="194"/>
      <c r="P24" s="30" t="s">
        <v>537</v>
      </c>
      <c r="Q24" s="21"/>
    </row>
    <row r="25" spans="1:17">
      <c r="A25" s="76" t="s">
        <v>78</v>
      </c>
      <c r="B25" s="21"/>
      <c r="C25" s="21"/>
      <c r="D25" s="21"/>
      <c r="E25" s="25" t="s">
        <v>12</v>
      </c>
      <c r="F25" s="26"/>
      <c r="G25" s="26"/>
      <c r="H25" s="26"/>
      <c r="I25" s="26"/>
      <c r="J25" s="25"/>
      <c r="K25" s="356"/>
      <c r="L25" s="194"/>
      <c r="M25" s="194"/>
      <c r="N25" s="194"/>
      <c r="O25" s="194"/>
      <c r="P25" s="30" t="s">
        <v>79</v>
      </c>
      <c r="Q25" s="21"/>
    </row>
    <row r="26" spans="1:17">
      <c r="A26" s="76" t="s">
        <v>80</v>
      </c>
      <c r="B26" s="21"/>
      <c r="C26" s="21"/>
      <c r="D26" s="21"/>
      <c r="E26" s="26" t="s">
        <v>14</v>
      </c>
      <c r="F26" s="26"/>
      <c r="G26" s="26"/>
      <c r="H26" s="26"/>
      <c r="I26" s="26"/>
      <c r="J26" s="79"/>
      <c r="K26" s="356"/>
      <c r="L26" s="194"/>
      <c r="M26" s="194"/>
      <c r="N26" s="194"/>
      <c r="O26" s="194"/>
      <c r="P26" s="30" t="s">
        <v>538</v>
      </c>
      <c r="Q26" s="21"/>
    </row>
    <row r="27" spans="1:17">
      <c r="A27" s="76"/>
      <c r="B27" s="21"/>
      <c r="C27" s="21"/>
      <c r="D27" s="21"/>
      <c r="E27" s="26"/>
      <c r="F27" s="26"/>
      <c r="G27" s="26"/>
      <c r="H27" s="26"/>
      <c r="I27" s="26"/>
      <c r="J27" s="26"/>
      <c r="K27" s="26"/>
      <c r="L27" s="26"/>
      <c r="M27" s="26"/>
      <c r="N27" s="26"/>
      <c r="O27" s="26"/>
      <c r="P27" s="30"/>
      <c r="Q27" s="21"/>
    </row>
    <row r="28" spans="1:17" ht="14.25">
      <c r="A28" s="77" t="s">
        <v>258</v>
      </c>
      <c r="B28" s="21"/>
      <c r="C28" s="21"/>
      <c r="D28" s="21"/>
      <c r="E28" s="25"/>
      <c r="F28" s="21"/>
      <c r="G28" s="21"/>
      <c r="H28" s="21"/>
      <c r="I28" s="21"/>
      <c r="J28" s="21"/>
      <c r="K28" s="21"/>
      <c r="L28" s="21"/>
      <c r="M28" s="21"/>
      <c r="N28" s="21"/>
      <c r="O28" s="21"/>
      <c r="P28" s="30"/>
      <c r="Q28" s="21"/>
    </row>
    <row r="29" spans="1:17">
      <c r="A29" s="76" t="s">
        <v>66</v>
      </c>
      <c r="B29" s="82"/>
      <c r="C29" s="26"/>
      <c r="D29" s="26"/>
      <c r="E29" s="26" t="s">
        <v>14</v>
      </c>
      <c r="F29" s="76"/>
      <c r="G29" s="76"/>
      <c r="H29" s="76"/>
      <c r="I29" s="76"/>
      <c r="J29" s="76"/>
      <c r="K29" s="356"/>
      <c r="L29" s="194"/>
      <c r="M29" s="194"/>
      <c r="N29" s="194"/>
      <c r="O29" s="194"/>
      <c r="P29" s="89" t="s">
        <v>83</v>
      </c>
      <c r="Q29" s="21"/>
    </row>
    <row r="30" spans="1:17">
      <c r="A30" s="76" t="s">
        <v>69</v>
      </c>
      <c r="B30" s="82"/>
      <c r="C30" s="26"/>
      <c r="D30" s="26"/>
      <c r="E30" s="26" t="s">
        <v>14</v>
      </c>
      <c r="F30" s="76"/>
      <c r="G30" s="76"/>
      <c r="H30" s="76"/>
      <c r="I30" s="76"/>
      <c r="J30" s="76"/>
      <c r="K30" s="356"/>
      <c r="L30" s="194"/>
      <c r="M30" s="194"/>
      <c r="N30" s="194"/>
      <c r="O30" s="194"/>
      <c r="P30" s="89" t="s">
        <v>84</v>
      </c>
      <c r="Q30" s="21"/>
    </row>
    <row r="31" spans="1:17">
      <c r="A31" s="76" t="s">
        <v>72</v>
      </c>
      <c r="B31" s="82"/>
      <c r="C31" s="26"/>
      <c r="D31" s="26"/>
      <c r="E31" s="26" t="s">
        <v>14</v>
      </c>
      <c r="F31" s="76"/>
      <c r="G31" s="76"/>
      <c r="H31" s="76"/>
      <c r="I31" s="76"/>
      <c r="J31" s="76"/>
      <c r="K31" s="356"/>
      <c r="L31" s="194"/>
      <c r="M31" s="194"/>
      <c r="N31" s="194"/>
      <c r="O31" s="194"/>
      <c r="P31" s="89" t="s">
        <v>85</v>
      </c>
      <c r="Q31" s="21"/>
    </row>
    <row r="32" spans="1:17">
      <c r="A32" s="76" t="s">
        <v>75</v>
      </c>
      <c r="B32" s="82"/>
      <c r="C32" s="26"/>
      <c r="D32" s="26"/>
      <c r="E32" s="26" t="s">
        <v>14</v>
      </c>
      <c r="F32" s="76"/>
      <c r="G32" s="76"/>
      <c r="H32" s="76"/>
      <c r="I32" s="76"/>
      <c r="J32" s="76"/>
      <c r="K32" s="356"/>
      <c r="L32" s="194"/>
      <c r="M32" s="194"/>
      <c r="N32" s="194"/>
      <c r="O32" s="194"/>
      <c r="P32" s="89" t="s">
        <v>86</v>
      </c>
      <c r="Q32" s="21"/>
    </row>
    <row r="33" spans="1:17">
      <c r="A33" s="76" t="s">
        <v>78</v>
      </c>
      <c r="B33" s="82"/>
      <c r="C33" s="26"/>
      <c r="D33" s="26"/>
      <c r="E33" s="26" t="s">
        <v>14</v>
      </c>
      <c r="F33" s="76"/>
      <c r="G33" s="76"/>
      <c r="H33" s="76"/>
      <c r="I33" s="76"/>
      <c r="J33" s="76"/>
      <c r="K33" s="356"/>
      <c r="L33" s="194"/>
      <c r="M33" s="194"/>
      <c r="N33" s="194"/>
      <c r="O33" s="194"/>
      <c r="P33" s="89" t="s">
        <v>87</v>
      </c>
      <c r="Q33" s="21"/>
    </row>
    <row r="34" spans="1:17">
      <c r="A34" s="76"/>
      <c r="B34" s="82"/>
      <c r="C34" s="26"/>
      <c r="D34" s="26"/>
      <c r="E34" s="26"/>
      <c r="F34" s="76"/>
      <c r="G34" s="76"/>
      <c r="H34" s="76"/>
      <c r="I34" s="76"/>
      <c r="J34" s="76"/>
      <c r="K34" s="76"/>
      <c r="L34" s="76"/>
      <c r="M34" s="76"/>
      <c r="N34" s="76"/>
      <c r="O34" s="76"/>
      <c r="P34" s="89"/>
      <c r="Q34" s="21"/>
    </row>
    <row r="35" spans="1:17">
      <c r="A35" s="77" t="s">
        <v>257</v>
      </c>
      <c r="B35" s="82"/>
      <c r="C35" s="21"/>
      <c r="D35" s="21"/>
      <c r="E35" s="25"/>
      <c r="F35" s="21"/>
      <c r="G35" s="21"/>
      <c r="H35" s="21"/>
      <c r="I35" s="21"/>
      <c r="J35" s="21"/>
      <c r="K35" s="21"/>
      <c r="L35" s="21"/>
      <c r="M35" s="21"/>
      <c r="N35" s="21"/>
      <c r="O35" s="21"/>
      <c r="P35" s="30"/>
      <c r="Q35" s="21"/>
    </row>
    <row r="36" spans="1:17">
      <c r="A36" s="76" t="s">
        <v>66</v>
      </c>
      <c r="B36" s="82"/>
      <c r="C36" s="26"/>
      <c r="D36" s="26"/>
      <c r="E36" s="26" t="s">
        <v>82</v>
      </c>
      <c r="F36" s="76"/>
      <c r="G36" s="76"/>
      <c r="H36" s="76"/>
      <c r="I36" s="76"/>
      <c r="J36" s="76"/>
      <c r="K36" s="357"/>
      <c r="L36" s="189"/>
      <c r="M36" s="189"/>
      <c r="N36" s="189"/>
      <c r="O36" s="189"/>
      <c r="P36" s="30" t="s">
        <v>88</v>
      </c>
      <c r="Q36" s="21"/>
    </row>
    <row r="37" spans="1:17">
      <c r="A37" s="76" t="s">
        <v>69</v>
      </c>
      <c r="B37" s="82"/>
      <c r="C37" s="26"/>
      <c r="D37" s="26"/>
      <c r="E37" s="26" t="s">
        <v>82</v>
      </c>
      <c r="F37" s="76"/>
      <c r="G37" s="76"/>
      <c r="H37" s="76"/>
      <c r="I37" s="76"/>
      <c r="J37" s="76"/>
      <c r="K37" s="357"/>
      <c r="L37" s="189"/>
      <c r="M37" s="189"/>
      <c r="N37" s="189"/>
      <c r="O37" s="189"/>
      <c r="P37" s="30" t="s">
        <v>89</v>
      </c>
      <c r="Q37" s="21"/>
    </row>
    <row r="38" spans="1:17">
      <c r="A38" s="76" t="s">
        <v>72</v>
      </c>
      <c r="B38" s="82"/>
      <c r="C38" s="26"/>
      <c r="D38" s="26"/>
      <c r="E38" s="26" t="s">
        <v>82</v>
      </c>
      <c r="F38" s="76"/>
      <c r="G38" s="76"/>
      <c r="H38" s="76"/>
      <c r="I38" s="76"/>
      <c r="J38" s="76"/>
      <c r="K38" s="357"/>
      <c r="L38" s="189"/>
      <c r="M38" s="189"/>
      <c r="N38" s="189"/>
      <c r="O38" s="189"/>
      <c r="P38" s="30" t="s">
        <v>90</v>
      </c>
      <c r="Q38" s="21"/>
    </row>
    <row r="39" spans="1:17">
      <c r="A39" s="76" t="s">
        <v>75</v>
      </c>
      <c r="B39" s="82"/>
      <c r="C39" s="26"/>
      <c r="D39" s="26"/>
      <c r="E39" s="26" t="s">
        <v>82</v>
      </c>
      <c r="F39" s="76"/>
      <c r="G39" s="76"/>
      <c r="H39" s="76"/>
      <c r="I39" s="76"/>
      <c r="J39" s="76"/>
      <c r="K39" s="357"/>
      <c r="L39" s="189"/>
      <c r="M39" s="189"/>
      <c r="N39" s="189"/>
      <c r="O39" s="189"/>
      <c r="P39" s="30" t="s">
        <v>91</v>
      </c>
      <c r="Q39" s="21"/>
    </row>
    <row r="40" spans="1:17">
      <c r="A40" s="76" t="s">
        <v>78</v>
      </c>
      <c r="B40" s="82"/>
      <c r="C40" s="26"/>
      <c r="D40" s="26"/>
      <c r="E40" s="26" t="s">
        <v>82</v>
      </c>
      <c r="F40" s="76"/>
      <c r="G40" s="76"/>
      <c r="H40" s="76"/>
      <c r="I40" s="76"/>
      <c r="J40" s="76"/>
      <c r="K40" s="357"/>
      <c r="L40" s="189"/>
      <c r="M40" s="189"/>
      <c r="N40" s="189"/>
      <c r="O40" s="189"/>
      <c r="P40" s="30" t="s">
        <v>92</v>
      </c>
      <c r="Q40" s="21"/>
    </row>
    <row r="41" spans="1:17">
      <c r="A41" s="76"/>
      <c r="B41" s="21"/>
      <c r="C41" s="21"/>
      <c r="D41" s="21"/>
      <c r="E41" s="26"/>
      <c r="F41" s="26"/>
      <c r="G41" s="26"/>
      <c r="H41" s="26"/>
      <c r="I41" s="26"/>
      <c r="J41" s="26"/>
      <c r="K41" s="26"/>
      <c r="L41" s="26"/>
      <c r="M41" s="26"/>
      <c r="N41" s="26"/>
      <c r="O41" s="26"/>
      <c r="P41" s="30"/>
      <c r="Q41" s="21"/>
    </row>
    <row r="42" spans="1:17" ht="14.25">
      <c r="A42" s="160" t="s">
        <v>415</v>
      </c>
      <c r="B42" s="85" t="s">
        <v>500</v>
      </c>
      <c r="C42" s="21"/>
      <c r="D42" s="21"/>
      <c r="E42" s="26" t="s">
        <v>14</v>
      </c>
      <c r="F42" s="26"/>
      <c r="G42" s="26"/>
      <c r="H42" s="26"/>
      <c r="I42" s="26"/>
      <c r="J42" s="25"/>
      <c r="K42" s="356"/>
      <c r="L42" s="194"/>
      <c r="M42" s="194"/>
      <c r="N42" s="194"/>
      <c r="O42" s="194"/>
      <c r="P42" s="30"/>
      <c r="Q42" s="21"/>
    </row>
    <row r="43" spans="1:17" ht="14.25">
      <c r="A43" s="76"/>
      <c r="B43" s="85" t="s">
        <v>501</v>
      </c>
      <c r="C43" s="21"/>
      <c r="D43" s="21"/>
      <c r="E43" s="26" t="s">
        <v>82</v>
      </c>
      <c r="F43" s="26"/>
      <c r="G43" s="26"/>
      <c r="H43" s="26"/>
      <c r="I43" s="26"/>
      <c r="J43" s="25"/>
      <c r="K43" s="357"/>
      <c r="L43" s="189"/>
      <c r="M43" s="189"/>
      <c r="N43" s="189"/>
      <c r="O43" s="189"/>
      <c r="P43" s="30"/>
      <c r="Q43" s="21"/>
    </row>
    <row r="44" spans="1:17">
      <c r="A44" s="76"/>
      <c r="B44" s="85" t="s">
        <v>497</v>
      </c>
      <c r="C44" s="21"/>
      <c r="D44" s="21"/>
      <c r="E44" s="26" t="s">
        <v>14</v>
      </c>
      <c r="F44" s="26"/>
      <c r="G44" s="26"/>
      <c r="H44" s="26"/>
      <c r="I44" s="26"/>
      <c r="J44" s="25"/>
      <c r="K44" s="356"/>
      <c r="L44" s="194"/>
      <c r="M44" s="194"/>
      <c r="N44" s="194"/>
      <c r="O44" s="194"/>
      <c r="P44" s="30"/>
      <c r="Q44" s="21"/>
    </row>
    <row r="45" spans="1:17">
      <c r="A45" s="76"/>
      <c r="B45" s="85" t="s">
        <v>498</v>
      </c>
      <c r="C45" s="21"/>
      <c r="D45" s="21"/>
      <c r="E45" s="25" t="s">
        <v>12</v>
      </c>
      <c r="F45" s="26"/>
      <c r="G45" s="26"/>
      <c r="H45" s="26"/>
      <c r="I45" s="26"/>
      <c r="J45" s="25"/>
      <c r="K45" s="356"/>
      <c r="L45" s="194"/>
      <c r="M45" s="194"/>
      <c r="N45" s="194"/>
      <c r="O45" s="194"/>
      <c r="P45" s="30"/>
      <c r="Q45" s="21"/>
    </row>
    <row r="46" spans="1:17" ht="14.25">
      <c r="A46" s="76"/>
      <c r="B46" s="85" t="s">
        <v>499</v>
      </c>
      <c r="C46" s="21"/>
      <c r="D46" s="21"/>
      <c r="E46" s="26" t="s">
        <v>14</v>
      </c>
      <c r="F46" s="26"/>
      <c r="G46" s="26"/>
      <c r="H46" s="26"/>
      <c r="I46" s="26"/>
      <c r="J46" s="25"/>
      <c r="K46" s="196" t="str">
        <f>IF(K42="","",(K42/K43+K42*6.9/200+0.242)*PIT+AF)</f>
        <v/>
      </c>
      <c r="L46" s="196" t="str">
        <f>IF(L42="","",(L42/L43+L42*6.9/200+0.242)*PIT+AF)</f>
        <v/>
      </c>
      <c r="M46" s="196" t="str">
        <f>IF(M42="","",(M42/M43+M42*6.9/200+0.242)*PIT+AF)</f>
        <v/>
      </c>
      <c r="N46" s="196" t="str">
        <f>IF(N42="","",(N42/N43+N42*6.9/200+0.242)*PIT+AF)</f>
        <v/>
      </c>
      <c r="O46" s="196" t="str">
        <f>IF(O42="","",(O42/O43+O42*6.9/200+0.242)*PIT+AF)</f>
        <v/>
      </c>
      <c r="P46" s="30"/>
      <c r="Q46" s="21"/>
    </row>
    <row r="47" spans="1:17" ht="14.25">
      <c r="A47" s="160" t="s">
        <v>417</v>
      </c>
      <c r="B47" s="85" t="s">
        <v>500</v>
      </c>
      <c r="C47" s="21"/>
      <c r="D47" s="21"/>
      <c r="E47" s="26" t="s">
        <v>14</v>
      </c>
      <c r="F47" s="26"/>
      <c r="G47" s="26"/>
      <c r="H47" s="26"/>
      <c r="I47" s="26"/>
      <c r="J47" s="25"/>
      <c r="K47" s="356"/>
      <c r="L47" s="194"/>
      <c r="M47" s="194"/>
      <c r="N47" s="194"/>
      <c r="O47" s="194"/>
      <c r="P47" s="30"/>
      <c r="Q47" s="21"/>
    </row>
    <row r="48" spans="1:17" ht="14.25">
      <c r="A48" s="76"/>
      <c r="B48" s="85" t="s">
        <v>501</v>
      </c>
      <c r="C48" s="21"/>
      <c r="D48" s="21"/>
      <c r="E48" s="26" t="s">
        <v>82</v>
      </c>
      <c r="F48" s="26"/>
      <c r="G48" s="26"/>
      <c r="H48" s="26"/>
      <c r="I48" s="26"/>
      <c r="J48" s="25"/>
      <c r="K48" s="357"/>
      <c r="L48" s="189"/>
      <c r="M48" s="189"/>
      <c r="N48" s="189"/>
      <c r="O48" s="189"/>
      <c r="P48" s="30"/>
      <c r="Q48" s="21"/>
    </row>
    <row r="49" spans="1:17">
      <c r="A49" s="76"/>
      <c r="B49" s="85" t="s">
        <v>497</v>
      </c>
      <c r="C49" s="21"/>
      <c r="D49" s="21"/>
      <c r="E49" s="26" t="s">
        <v>14</v>
      </c>
      <c r="F49" s="26"/>
      <c r="G49" s="26"/>
      <c r="H49" s="26"/>
      <c r="I49" s="26"/>
      <c r="J49" s="25"/>
      <c r="K49" s="356"/>
      <c r="L49" s="194"/>
      <c r="M49" s="194"/>
      <c r="N49" s="194"/>
      <c r="O49" s="194"/>
      <c r="P49" s="30"/>
      <c r="Q49" s="21"/>
    </row>
    <row r="50" spans="1:17">
      <c r="A50" s="76"/>
      <c r="B50" s="85" t="s">
        <v>498</v>
      </c>
      <c r="C50" s="21"/>
      <c r="D50" s="21"/>
      <c r="E50" s="25" t="s">
        <v>12</v>
      </c>
      <c r="F50" s="26"/>
      <c r="G50" s="26"/>
      <c r="H50" s="26"/>
      <c r="I50" s="26"/>
      <c r="J50" s="25"/>
      <c r="K50" s="356"/>
      <c r="L50" s="194"/>
      <c r="M50" s="194"/>
      <c r="N50" s="194"/>
      <c r="O50" s="194"/>
      <c r="P50" s="30"/>
      <c r="Q50" s="21"/>
    </row>
    <row r="51" spans="1:17" ht="14.25">
      <c r="A51" s="76"/>
      <c r="B51" s="85" t="s">
        <v>499</v>
      </c>
      <c r="C51" s="21"/>
      <c r="D51" s="21"/>
      <c r="E51" s="26" t="s">
        <v>14</v>
      </c>
      <c r="F51" s="26"/>
      <c r="G51" s="26"/>
      <c r="H51" s="26"/>
      <c r="I51" s="26"/>
      <c r="J51" s="25"/>
      <c r="K51" s="196" t="str">
        <f>IF(K47="","",(K47/K48+K47*6.9/200+0.242)*PIT+AF)</f>
        <v/>
      </c>
      <c r="L51" s="196" t="str">
        <f>IF(L47="","",(L47/L48+L47*6.9/200+0.242)*PIT+AF)</f>
        <v/>
      </c>
      <c r="M51" s="196" t="str">
        <f>IF(M47="","",(M47/M48+M47*6.9/200+0.242)*PIT+AF)</f>
        <v/>
      </c>
      <c r="N51" s="196" t="str">
        <f>IF(N47="","",(N47/N48+N47*6.9/200+0.242)*PIT+AF)</f>
        <v/>
      </c>
      <c r="O51" s="196" t="str">
        <f>IF(O47="","",(O47/O48+O47*6.9/200+0.242)*PIT+AF)</f>
        <v/>
      </c>
      <c r="P51" s="30"/>
      <c r="Q51" s="21"/>
    </row>
    <row r="52" spans="1:17" ht="14.25">
      <c r="A52" s="160" t="s">
        <v>418</v>
      </c>
      <c r="B52" s="85" t="s">
        <v>500</v>
      </c>
      <c r="C52" s="21"/>
      <c r="D52" s="21"/>
      <c r="E52" s="26" t="s">
        <v>14</v>
      </c>
      <c r="F52" s="26"/>
      <c r="G52" s="26"/>
      <c r="H52" s="26"/>
      <c r="I52" s="26"/>
      <c r="J52" s="25"/>
      <c r="K52" s="356"/>
      <c r="L52" s="194"/>
      <c r="M52" s="194"/>
      <c r="N52" s="194"/>
      <c r="O52" s="194"/>
      <c r="P52" s="30"/>
      <c r="Q52" s="21"/>
    </row>
    <row r="53" spans="1:17" ht="14.25">
      <c r="A53" s="76"/>
      <c r="B53" s="85" t="s">
        <v>501</v>
      </c>
      <c r="C53" s="21"/>
      <c r="D53" s="21"/>
      <c r="E53" s="26" t="s">
        <v>82</v>
      </c>
      <c r="F53" s="26"/>
      <c r="G53" s="26"/>
      <c r="H53" s="26"/>
      <c r="I53" s="26"/>
      <c r="J53" s="25"/>
      <c r="K53" s="357"/>
      <c r="L53" s="189"/>
      <c r="M53" s="189"/>
      <c r="N53" s="189"/>
      <c r="O53" s="189"/>
      <c r="P53" s="30"/>
      <c r="Q53" s="21"/>
    </row>
    <row r="54" spans="1:17">
      <c r="A54" s="76"/>
      <c r="B54" s="85" t="s">
        <v>497</v>
      </c>
      <c r="C54" s="21"/>
      <c r="D54" s="21"/>
      <c r="E54" s="26" t="s">
        <v>14</v>
      </c>
      <c r="F54" s="26"/>
      <c r="G54" s="26"/>
      <c r="H54" s="26"/>
      <c r="I54" s="26"/>
      <c r="J54" s="25"/>
      <c r="K54" s="356"/>
      <c r="L54" s="194"/>
      <c r="M54" s="194"/>
      <c r="N54" s="194"/>
      <c r="O54" s="194"/>
      <c r="P54" s="30"/>
      <c r="Q54" s="21"/>
    </row>
    <row r="55" spans="1:17">
      <c r="A55" s="76"/>
      <c r="B55" s="85" t="s">
        <v>498</v>
      </c>
      <c r="C55" s="21"/>
      <c r="D55" s="21"/>
      <c r="E55" s="25" t="s">
        <v>12</v>
      </c>
      <c r="F55" s="26"/>
      <c r="G55" s="26"/>
      <c r="H55" s="26"/>
      <c r="I55" s="26"/>
      <c r="J55" s="25"/>
      <c r="K55" s="356"/>
      <c r="L55" s="194"/>
      <c r="M55" s="194"/>
      <c r="N55" s="194"/>
      <c r="O55" s="194"/>
      <c r="P55" s="30"/>
      <c r="Q55" s="21"/>
    </row>
    <row r="56" spans="1:17" ht="14.25">
      <c r="A56" s="76"/>
      <c r="B56" s="85" t="s">
        <v>499</v>
      </c>
      <c r="C56" s="21"/>
      <c r="D56" s="21"/>
      <c r="E56" s="26" t="s">
        <v>14</v>
      </c>
      <c r="F56" s="26"/>
      <c r="G56" s="26"/>
      <c r="H56" s="26"/>
      <c r="I56" s="26"/>
      <c r="J56" s="25"/>
      <c r="K56" s="196" t="str">
        <f>IF(K52="","",(K52/K53+K52*6.9/200+0.242)*PIT+AF)</f>
        <v/>
      </c>
      <c r="L56" s="196" t="str">
        <f>IF(L52="","",(L52/L53+L52*6.9/200+0.242)*PIT+AF)</f>
        <v/>
      </c>
      <c r="M56" s="196" t="str">
        <f>IF(M52="","",(M52/M53+M52*6.9/200+0.242)*PIT+AF)</f>
        <v/>
      </c>
      <c r="N56" s="196" t="str">
        <f>IF(N52="","",(N52/N53+N52*6.9/200+0.242)*PIT+AF)</f>
        <v/>
      </c>
      <c r="O56" s="196" t="str">
        <f>IF(O52="","",(O52/O53+O52*6.9/200+0.242)*PIT+AF)</f>
        <v/>
      </c>
      <c r="P56" s="30"/>
      <c r="Q56" s="21"/>
    </row>
    <row r="57" spans="1:17" s="72" customFormat="1">
      <c r="A57" s="80" t="s">
        <v>502</v>
      </c>
      <c r="B57" s="73"/>
      <c r="C57" s="73"/>
      <c r="D57" s="73"/>
      <c r="E57" s="73" t="s">
        <v>12</v>
      </c>
      <c r="F57" s="74"/>
      <c r="G57" s="74"/>
      <c r="H57" s="74"/>
      <c r="I57" s="74"/>
      <c r="J57" s="73"/>
      <c r="K57" s="197">
        <f>K17+K19+K21+K23+K25+K45+K50+K55</f>
        <v>0</v>
      </c>
      <c r="L57" s="197">
        <f>L17+L19+L21+L23+L25+L45+L50+L55</f>
        <v>0</v>
      </c>
      <c r="M57" s="197">
        <f>M17+M19+M21+M23+M25+M45+M50+M55</f>
        <v>0</v>
      </c>
      <c r="N57" s="197">
        <f>N17+N19+N21+N23+N25+N45+N50+N55</f>
        <v>0</v>
      </c>
      <c r="O57" s="197">
        <f>O17+O19+O21+O23+O25+O45+O50+O55</f>
        <v>0</v>
      </c>
      <c r="P57" s="30" t="s">
        <v>205</v>
      </c>
      <c r="Q57" s="86"/>
    </row>
    <row r="58" spans="1:17">
      <c r="A58" s="81"/>
      <c r="B58" s="25"/>
      <c r="C58" s="25"/>
      <c r="D58" s="25"/>
      <c r="E58" s="25"/>
      <c r="F58" s="76"/>
      <c r="G58" s="76"/>
      <c r="H58" s="76"/>
      <c r="I58" s="76"/>
      <c r="J58" s="21"/>
      <c r="K58" s="91"/>
      <c r="L58" s="92"/>
      <c r="M58" s="92"/>
      <c r="N58" s="92"/>
      <c r="O58" s="92"/>
      <c r="P58" s="85"/>
      <c r="Q58" s="21"/>
    </row>
    <row r="59" spans="1:17">
      <c r="A59" s="77" t="s">
        <v>81</v>
      </c>
      <c r="B59" s="25"/>
      <c r="C59" s="25"/>
      <c r="D59" s="25"/>
      <c r="E59" s="26" t="s">
        <v>14</v>
      </c>
      <c r="F59" s="26"/>
      <c r="G59" s="26"/>
      <c r="H59" s="26"/>
      <c r="I59" s="26"/>
      <c r="J59" s="79"/>
      <c r="K59" s="356"/>
      <c r="L59" s="194"/>
      <c r="M59" s="194"/>
      <c r="N59" s="194"/>
      <c r="O59" s="194"/>
      <c r="P59" s="90"/>
      <c r="Q59" s="21"/>
    </row>
    <row r="60" spans="1:17">
      <c r="A60" s="81"/>
      <c r="B60" s="25"/>
      <c r="C60" s="25"/>
      <c r="D60" s="25"/>
      <c r="E60" s="25"/>
      <c r="F60" s="76"/>
      <c r="G60" s="76"/>
      <c r="H60" s="76"/>
      <c r="I60" s="76"/>
      <c r="J60" s="21"/>
      <c r="K60" s="91"/>
      <c r="L60" s="92"/>
      <c r="M60" s="92"/>
      <c r="N60" s="92"/>
      <c r="O60" s="92"/>
      <c r="P60" s="85"/>
      <c r="Q60" s="21"/>
    </row>
    <row r="61" spans="1:17" s="82" customFormat="1">
      <c r="A61" s="83"/>
      <c r="B61" s="76"/>
      <c r="C61" s="76"/>
      <c r="D61" s="76"/>
      <c r="E61" s="26"/>
      <c r="F61" s="76"/>
      <c r="G61" s="76"/>
      <c r="H61" s="76"/>
      <c r="I61" s="76"/>
      <c r="J61" s="76"/>
      <c r="K61" s="21"/>
      <c r="L61" s="21"/>
      <c r="M61" s="21"/>
      <c r="N61" s="21"/>
      <c r="O61" s="21"/>
      <c r="P61" s="30"/>
      <c r="Q61" s="21"/>
    </row>
    <row r="62" spans="1:17" s="82" customFormat="1">
      <c r="A62" s="84" t="s">
        <v>420</v>
      </c>
      <c r="B62" s="26"/>
      <c r="C62" s="26"/>
      <c r="D62" s="26"/>
      <c r="E62" s="26"/>
      <c r="F62" s="76"/>
      <c r="G62" s="76"/>
      <c r="H62" s="76"/>
      <c r="I62" s="76"/>
      <c r="J62" s="76"/>
      <c r="K62" s="21"/>
      <c r="L62" s="21"/>
      <c r="M62" s="21"/>
      <c r="N62" s="21"/>
      <c r="O62" s="21"/>
      <c r="P62" s="30"/>
      <c r="Q62" s="21"/>
    </row>
    <row r="63" spans="1:17">
      <c r="A63" s="358" t="s">
        <v>600</v>
      </c>
      <c r="B63" s="82"/>
      <c r="C63" s="85"/>
      <c r="D63" s="85"/>
      <c r="E63" s="22" t="s">
        <v>12</v>
      </c>
      <c r="F63" s="21"/>
      <c r="G63" s="21"/>
      <c r="H63" s="21"/>
      <c r="I63" s="21"/>
      <c r="J63" s="21"/>
      <c r="K63" s="356"/>
      <c r="L63" s="194"/>
      <c r="M63" s="194"/>
      <c r="N63" s="194"/>
      <c r="O63" s="194"/>
      <c r="P63" s="30" t="s">
        <v>93</v>
      </c>
      <c r="Q63" s="21"/>
    </row>
    <row r="64" spans="1:17">
      <c r="A64" s="358" t="s">
        <v>601</v>
      </c>
      <c r="B64" s="82"/>
      <c r="C64" s="85"/>
      <c r="D64" s="85"/>
      <c r="E64" s="22" t="s">
        <v>12</v>
      </c>
      <c r="F64" s="21"/>
      <c r="G64" s="21"/>
      <c r="H64" s="21"/>
      <c r="I64" s="21"/>
      <c r="J64" s="21"/>
      <c r="K64" s="356"/>
      <c r="L64" s="194"/>
      <c r="M64" s="194"/>
      <c r="N64" s="194"/>
      <c r="O64" s="194"/>
      <c r="P64" s="30" t="s">
        <v>94</v>
      </c>
      <c r="Q64" s="21"/>
    </row>
    <row r="65" spans="1:17">
      <c r="A65" s="358" t="s">
        <v>599</v>
      </c>
      <c r="B65" s="82"/>
      <c r="C65" s="85"/>
      <c r="D65" s="85"/>
      <c r="E65" s="22" t="s">
        <v>12</v>
      </c>
      <c r="F65" s="21"/>
      <c r="G65" s="21"/>
      <c r="H65" s="21"/>
      <c r="I65" s="21"/>
      <c r="J65" s="21"/>
      <c r="K65" s="356"/>
      <c r="L65" s="194"/>
      <c r="M65" s="194"/>
      <c r="N65" s="194"/>
      <c r="O65" s="194"/>
      <c r="P65" s="30" t="s">
        <v>95</v>
      </c>
      <c r="Q65" s="21"/>
    </row>
    <row r="66" spans="1:17">
      <c r="A66" s="358" t="s">
        <v>598</v>
      </c>
      <c r="B66" s="82"/>
      <c r="C66" s="85"/>
      <c r="D66" s="85"/>
      <c r="E66" s="22" t="s">
        <v>12</v>
      </c>
      <c r="F66" s="21"/>
      <c r="G66" s="21"/>
      <c r="H66" s="21"/>
      <c r="I66" s="21"/>
      <c r="J66" s="21"/>
      <c r="K66" s="356"/>
      <c r="L66" s="194"/>
      <c r="M66" s="194"/>
      <c r="N66" s="194"/>
      <c r="O66" s="194"/>
      <c r="P66" s="30" t="s">
        <v>96</v>
      </c>
      <c r="Q66" s="21"/>
    </row>
    <row r="67" spans="1:17">
      <c r="A67" s="358" t="s">
        <v>597</v>
      </c>
      <c r="B67" s="82"/>
      <c r="C67" s="85"/>
      <c r="D67" s="85"/>
      <c r="E67" s="22" t="s">
        <v>12</v>
      </c>
      <c r="F67" s="21"/>
      <c r="G67" s="21"/>
      <c r="H67" s="21"/>
      <c r="I67" s="21"/>
      <c r="J67" s="21"/>
      <c r="K67" s="356"/>
      <c r="L67" s="194"/>
      <c r="M67" s="194"/>
      <c r="N67" s="194"/>
      <c r="O67" s="194"/>
      <c r="P67" s="30" t="s">
        <v>97</v>
      </c>
      <c r="Q67" s="21"/>
    </row>
    <row r="68" spans="1:17">
      <c r="A68" s="358" t="s">
        <v>290</v>
      </c>
      <c r="B68" s="82"/>
      <c r="C68" s="85"/>
      <c r="D68" s="85"/>
      <c r="E68" s="22" t="s">
        <v>12</v>
      </c>
      <c r="F68" s="21"/>
      <c r="G68" s="21"/>
      <c r="H68" s="21"/>
      <c r="I68" s="21"/>
      <c r="J68" s="21"/>
      <c r="K68" s="356"/>
      <c r="L68" s="194"/>
      <c r="M68" s="194"/>
      <c r="N68" s="194"/>
      <c r="O68" s="194"/>
      <c r="P68" s="30" t="s">
        <v>98</v>
      </c>
      <c r="Q68" s="21"/>
    </row>
    <row r="69" spans="1:17">
      <c r="A69" s="358" t="s">
        <v>291</v>
      </c>
      <c r="B69" s="82"/>
      <c r="C69" s="85"/>
      <c r="D69" s="85"/>
      <c r="E69" s="22" t="s">
        <v>12</v>
      </c>
      <c r="F69" s="21"/>
      <c r="G69" s="21"/>
      <c r="H69" s="21"/>
      <c r="I69" s="21"/>
      <c r="J69" s="21"/>
      <c r="K69" s="356"/>
      <c r="L69" s="194"/>
      <c r="M69" s="194"/>
      <c r="N69" s="194"/>
      <c r="O69" s="194"/>
      <c r="P69" s="30" t="s">
        <v>99</v>
      </c>
      <c r="Q69" s="21"/>
    </row>
    <row r="70" spans="1:17">
      <c r="A70" s="358" t="s">
        <v>292</v>
      </c>
      <c r="B70" s="82"/>
      <c r="C70" s="85"/>
      <c r="D70" s="85"/>
      <c r="E70" s="22" t="s">
        <v>12</v>
      </c>
      <c r="F70" s="21"/>
      <c r="G70" s="21"/>
      <c r="H70" s="21"/>
      <c r="I70" s="21"/>
      <c r="J70" s="21"/>
      <c r="K70" s="356"/>
      <c r="L70" s="194"/>
      <c r="M70" s="194"/>
      <c r="N70" s="194"/>
      <c r="O70" s="194"/>
      <c r="P70" s="30" t="s">
        <v>100</v>
      </c>
      <c r="Q70" s="21"/>
    </row>
    <row r="71" spans="1:17" s="72" customFormat="1">
      <c r="A71" s="77" t="s">
        <v>227</v>
      </c>
      <c r="B71" s="86"/>
      <c r="C71" s="86"/>
      <c r="D71" s="86"/>
      <c r="E71" s="87" t="s">
        <v>12</v>
      </c>
      <c r="F71" s="86"/>
      <c r="G71" s="86"/>
      <c r="H71" s="86"/>
      <c r="I71" s="86"/>
      <c r="J71" s="86"/>
      <c r="K71" s="197">
        <f>SUM(K63:K70)</f>
        <v>0</v>
      </c>
      <c r="L71" s="197">
        <f>SUM(L63:L70)</f>
        <v>0</v>
      </c>
      <c r="M71" s="197">
        <f>SUM(M63:M70)</f>
        <v>0</v>
      </c>
      <c r="N71" s="197">
        <f>SUM(N63:N70)</f>
        <v>0</v>
      </c>
      <c r="O71" s="197">
        <f>SUM(O63:O70)</f>
        <v>0</v>
      </c>
      <c r="P71" s="30" t="s">
        <v>408</v>
      </c>
      <c r="Q71" s="86"/>
    </row>
    <row r="72" spans="1:17">
      <c r="A72" s="88"/>
      <c r="B72" s="82"/>
      <c r="C72" s="82"/>
      <c r="D72" s="82"/>
      <c r="E72" s="29"/>
      <c r="F72" s="82"/>
      <c r="G72" s="82"/>
      <c r="H72" s="82"/>
      <c r="I72" s="82"/>
      <c r="J72" s="82"/>
      <c r="K72" s="82"/>
      <c r="L72" s="82"/>
      <c r="M72" s="82"/>
      <c r="N72" s="82"/>
      <c r="O72" s="82"/>
      <c r="P72" s="82"/>
      <c r="Q72" s="82"/>
    </row>
    <row r="73" spans="1:17">
      <c r="A73" s="84" t="s">
        <v>469</v>
      </c>
      <c r="B73" s="82"/>
      <c r="C73" s="82"/>
      <c r="D73" s="82"/>
      <c r="E73" s="29"/>
      <c r="F73" s="82"/>
      <c r="G73" s="82"/>
      <c r="H73" s="82"/>
      <c r="I73" s="82"/>
      <c r="J73" s="82"/>
      <c r="K73" s="82"/>
      <c r="L73" s="82"/>
      <c r="M73" s="82"/>
      <c r="N73" s="82"/>
      <c r="O73" s="82"/>
      <c r="P73" s="82"/>
      <c r="Q73" s="82"/>
    </row>
    <row r="74" spans="1:17">
      <c r="A74" s="185" t="s">
        <v>470</v>
      </c>
      <c r="B74" s="82"/>
      <c r="C74" s="82"/>
      <c r="D74" s="82"/>
      <c r="E74" s="22" t="s">
        <v>12</v>
      </c>
      <c r="F74" s="82"/>
      <c r="G74" s="82"/>
      <c r="H74" s="82"/>
      <c r="I74" s="82"/>
      <c r="J74" s="82"/>
      <c r="K74" s="356"/>
      <c r="L74" s="194"/>
      <c r="M74" s="194"/>
      <c r="N74" s="194"/>
      <c r="O74" s="194"/>
      <c r="P74" s="30" t="s">
        <v>472</v>
      </c>
      <c r="Q74" s="82"/>
    </row>
    <row r="75" spans="1:17">
      <c r="A75" s="82"/>
      <c r="B75" s="82"/>
      <c r="C75" s="82"/>
      <c r="D75" s="82"/>
      <c r="E75" s="29"/>
      <c r="F75" s="82"/>
      <c r="G75" s="82"/>
      <c r="H75" s="82"/>
      <c r="I75" s="82"/>
      <c r="J75" s="82"/>
      <c r="K75" s="82"/>
      <c r="L75" s="82"/>
      <c r="M75" s="82"/>
      <c r="N75" s="82"/>
      <c r="O75" s="82"/>
      <c r="P75" s="82"/>
      <c r="Q75" s="82"/>
    </row>
    <row r="76" spans="1:17" hidden="1"/>
    <row r="77" spans="1:17" hidden="1"/>
    <row r="78" spans="1:17" hidden="1"/>
    <row r="79" spans="1:17" hidden="1"/>
    <row r="80" spans="1:17"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sheetData>
  <sheetProtection formatCells="0" formatColumns="0" formatRows="0" insertHyperlinks="0" autoFilter="0" pivotTables="0"/>
  <mergeCells count="1">
    <mergeCell ref="K3:M3"/>
  </mergeCells>
  <pageMargins left="0.70866141732283472" right="0.70866141732283472" top="0.74803149606299213" bottom="0.74803149606299213" header="0.31496062992125984" footer="0.31496062992125984"/>
  <pageSetup paperSize="8" orientation="landscape" r:id="rId1"/>
  <headerFooter>
    <oddHeader>&amp;C&amp;A</oddHeader>
    <oddFooter>&amp;L&amp;D &amp;T&amp;C&amp;Z&amp;F&amp;R&amp;A</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sheetPr>
    <tabColor rgb="FFFFFF99"/>
    <pageSetUpPr fitToPage="1"/>
  </sheetPr>
  <dimension ref="A1:Y128"/>
  <sheetViews>
    <sheetView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D5" sqref="D5"/>
    </sheetView>
  </sheetViews>
  <sheetFormatPr defaultColWidth="0" defaultRowHeight="12.75" customHeight="1" zeroHeight="1"/>
  <cols>
    <col min="1" max="1" width="46.625" style="82" customWidth="1"/>
    <col min="2" max="4" width="1.875" style="82" customWidth="1"/>
    <col min="5" max="5" width="5.75" style="29" bestFit="1" customWidth="1"/>
    <col min="6" max="10" width="1.25" style="82" customWidth="1"/>
    <col min="11" max="15" width="9" style="82" customWidth="1"/>
    <col min="16" max="16" width="14.375" style="82" bestFit="1" customWidth="1"/>
    <col min="17" max="17" width="9" style="82" hidden="1" customWidth="1"/>
    <col min="18" max="25" width="0" style="17" hidden="1" customWidth="1"/>
    <col min="26" max="16384" width="9" style="17" hidden="1"/>
  </cols>
  <sheetData>
    <row r="1" spans="1:17" s="5" customFormat="1" ht="15">
      <c r="A1" s="191" t="s">
        <v>585</v>
      </c>
      <c r="E1" s="61"/>
    </row>
    <row r="2" spans="1:17" s="5" customFormat="1" ht="15">
      <c r="A2" s="191" t="str">
        <f>COMPNAME</f>
        <v>Company Name of Electricity Distribution Network Operator Limited</v>
      </c>
      <c r="E2" s="73"/>
      <c r="F2" s="74"/>
      <c r="G2" s="74"/>
      <c r="H2" s="74"/>
      <c r="I2" s="74"/>
      <c r="J2" s="74"/>
      <c r="K2" s="74"/>
      <c r="L2" s="74"/>
      <c r="M2" s="74"/>
      <c r="N2" s="74"/>
      <c r="O2" s="74"/>
      <c r="P2" s="30"/>
    </row>
    <row r="3" spans="1:17" s="71" customFormat="1" ht="14.25">
      <c r="A3" s="155" t="str">
        <f>'R5 Input page'!K8</f>
        <v>Regulatory Year ending 31 March 2012</v>
      </c>
      <c r="B3" s="75"/>
      <c r="C3" s="75"/>
      <c r="D3" s="75"/>
      <c r="E3" s="234"/>
      <c r="F3" s="75"/>
      <c r="G3" s="75"/>
      <c r="H3" s="75"/>
      <c r="I3" s="75"/>
      <c r="J3" s="75"/>
      <c r="K3" s="372" t="s">
        <v>645</v>
      </c>
      <c r="L3" s="372"/>
      <c r="M3" s="372"/>
      <c r="N3" s="75"/>
      <c r="O3" s="75"/>
      <c r="P3" s="89"/>
      <c r="Q3" s="75"/>
    </row>
    <row r="4" spans="1:17" s="71" customFormat="1" ht="15">
      <c r="A4" s="24"/>
      <c r="B4" s="76"/>
      <c r="C4" s="76"/>
      <c r="D4" s="76"/>
      <c r="E4" s="74" t="s">
        <v>5</v>
      </c>
      <c r="F4" s="76"/>
      <c r="G4" s="76"/>
      <c r="H4" s="76"/>
      <c r="I4" s="76"/>
      <c r="J4" s="76"/>
      <c r="K4" s="74">
        <v>2011</v>
      </c>
      <c r="L4" s="74">
        <v>2012</v>
      </c>
      <c r="M4" s="74">
        <v>2013</v>
      </c>
      <c r="N4" s="74">
        <v>2014</v>
      </c>
      <c r="O4" s="74">
        <v>2015</v>
      </c>
      <c r="P4" s="89"/>
      <c r="Q4" s="76"/>
    </row>
    <row r="5" spans="1:17" ht="7.5" customHeight="1">
      <c r="A5" s="77"/>
      <c r="B5" s="21"/>
      <c r="C5" s="21"/>
      <c r="D5" s="21"/>
      <c r="E5" s="25"/>
      <c r="F5" s="21"/>
      <c r="G5" s="21"/>
      <c r="H5" s="21"/>
      <c r="I5" s="21"/>
      <c r="J5" s="21"/>
      <c r="K5" s="21"/>
      <c r="L5" s="21"/>
      <c r="M5" s="21"/>
      <c r="N5" s="21"/>
      <c r="O5" s="21"/>
      <c r="P5" s="30"/>
      <c r="Q5" s="21"/>
    </row>
    <row r="6" spans="1:17" ht="12.75" customHeight="1">
      <c r="A6" s="44" t="s">
        <v>410</v>
      </c>
      <c r="B6" s="21"/>
      <c r="C6" s="21"/>
      <c r="D6" s="21"/>
      <c r="E6" s="25" t="s">
        <v>12</v>
      </c>
      <c r="G6" s="25"/>
      <c r="H6" s="25"/>
      <c r="I6" s="25"/>
      <c r="J6" s="25"/>
      <c r="K6" s="195">
        <f>RD</f>
        <v>0</v>
      </c>
      <c r="L6" s="195">
        <f>RD</f>
        <v>0</v>
      </c>
      <c r="M6" s="195">
        <f>RD</f>
        <v>0</v>
      </c>
      <c r="N6" s="195">
        <f>RD</f>
        <v>0</v>
      </c>
      <c r="O6" s="195">
        <f>RD</f>
        <v>0</v>
      </c>
      <c r="P6" s="30" t="s">
        <v>411</v>
      </c>
      <c r="Q6" s="21"/>
    </row>
    <row r="7" spans="1:17">
      <c r="A7" s="78" t="s">
        <v>446</v>
      </c>
      <c r="B7" s="76"/>
      <c r="C7" s="76"/>
      <c r="D7" s="76"/>
      <c r="E7" s="26" t="s">
        <v>12</v>
      </c>
      <c r="G7" s="26"/>
      <c r="H7" s="26"/>
      <c r="I7" s="26"/>
      <c r="J7" s="79"/>
      <c r="K7" s="195">
        <f>MAP</f>
        <v>0</v>
      </c>
      <c r="L7" s="195">
        <f>MAP</f>
        <v>0</v>
      </c>
      <c r="M7" s="195">
        <f>MAP</f>
        <v>0</v>
      </c>
      <c r="N7" s="195">
        <f>MAP</f>
        <v>0</v>
      </c>
      <c r="O7" s="195">
        <f>MAP</f>
        <v>0</v>
      </c>
      <c r="P7" s="30" t="s">
        <v>201</v>
      </c>
      <c r="Q7" s="21"/>
    </row>
    <row r="8" spans="1:17">
      <c r="A8" s="78" t="s">
        <v>473</v>
      </c>
      <c r="B8" s="78"/>
      <c r="C8" s="78"/>
      <c r="D8" s="78"/>
      <c r="E8" s="26" t="s">
        <v>12</v>
      </c>
      <c r="G8" s="78"/>
      <c r="H8" s="78"/>
      <c r="I8" s="78"/>
      <c r="J8" s="78"/>
      <c r="K8" s="195">
        <f>DS</f>
        <v>0</v>
      </c>
      <c r="L8" s="195">
        <f>DS</f>
        <v>0</v>
      </c>
      <c r="M8" s="195">
        <f>DS</f>
        <v>0</v>
      </c>
      <c r="N8" s="195">
        <f>DS</f>
        <v>0</v>
      </c>
      <c r="O8" s="195">
        <f>DS</f>
        <v>0</v>
      </c>
      <c r="P8" s="30" t="s">
        <v>472</v>
      </c>
    </row>
    <row r="9" spans="1:17">
      <c r="A9" s="78" t="s">
        <v>474</v>
      </c>
      <c r="B9" s="78"/>
      <c r="C9" s="78"/>
      <c r="D9" s="78"/>
      <c r="E9" s="26" t="s">
        <v>12</v>
      </c>
      <c r="G9" s="78"/>
      <c r="H9" s="78"/>
      <c r="I9" s="78"/>
      <c r="J9" s="78"/>
      <c r="K9" s="195">
        <f>ES_Total</f>
        <v>0</v>
      </c>
      <c r="L9" s="195">
        <f>ES_Total</f>
        <v>0</v>
      </c>
      <c r="M9" s="195">
        <f>ES_Total</f>
        <v>0</v>
      </c>
      <c r="N9" s="195">
        <f>ES_Total</f>
        <v>0</v>
      </c>
      <c r="O9" s="195">
        <f>ES_Total</f>
        <v>0</v>
      </c>
      <c r="P9" s="30" t="s">
        <v>503</v>
      </c>
    </row>
    <row r="10" spans="1:17">
      <c r="A10" s="269" t="s">
        <v>671</v>
      </c>
      <c r="B10" s="78"/>
      <c r="C10" s="78"/>
      <c r="D10" s="78"/>
      <c r="E10" s="26" t="s">
        <v>12</v>
      </c>
      <c r="G10" s="78"/>
      <c r="H10" s="78"/>
      <c r="I10" s="78"/>
      <c r="J10" s="78"/>
      <c r="K10" s="195">
        <f>Out_Area_UoS</f>
        <v>0</v>
      </c>
      <c r="L10" s="195">
        <f>Out_Area_UoS</f>
        <v>0</v>
      </c>
      <c r="M10" s="195">
        <f>Out_Area_UoS</f>
        <v>0</v>
      </c>
      <c r="N10" s="195">
        <f>Out_Area_UoS</f>
        <v>0</v>
      </c>
      <c r="O10" s="195">
        <f>Out_Area_UoS</f>
        <v>0</v>
      </c>
      <c r="P10" s="30" t="s">
        <v>583</v>
      </c>
    </row>
    <row r="11" spans="1:17">
      <c r="A11" s="269" t="s">
        <v>672</v>
      </c>
      <c r="B11" s="78"/>
      <c r="C11" s="78"/>
      <c r="D11" s="78"/>
      <c r="E11" s="26" t="s">
        <v>12</v>
      </c>
      <c r="G11" s="78"/>
      <c r="H11" s="78"/>
      <c r="I11" s="78"/>
      <c r="J11" s="78"/>
      <c r="K11" s="195">
        <f>Out_Area_other</f>
        <v>0</v>
      </c>
      <c r="L11" s="195">
        <f>Out_Area_other</f>
        <v>0</v>
      </c>
      <c r="M11" s="195">
        <f>Out_Area_other</f>
        <v>0</v>
      </c>
      <c r="N11" s="195">
        <f>Out_Area_other</f>
        <v>0</v>
      </c>
      <c r="O11" s="195">
        <f>Out_Area_other</f>
        <v>0</v>
      </c>
      <c r="P11" s="30" t="s">
        <v>584</v>
      </c>
    </row>
    <row r="12" spans="1:17">
      <c r="A12" s="78" t="s">
        <v>447</v>
      </c>
      <c r="B12" s="78"/>
      <c r="C12" s="78"/>
      <c r="D12" s="78"/>
      <c r="E12" s="26" t="s">
        <v>12</v>
      </c>
      <c r="G12" s="78"/>
      <c r="H12" s="78"/>
      <c r="I12" s="78"/>
      <c r="J12" s="78"/>
      <c r="K12" s="195">
        <f>De_minimis</f>
        <v>0</v>
      </c>
      <c r="L12" s="195">
        <f>De_minimis</f>
        <v>0</v>
      </c>
      <c r="M12" s="195">
        <f>De_minimis</f>
        <v>0</v>
      </c>
      <c r="N12" s="195">
        <f>De_minimis</f>
        <v>0</v>
      </c>
      <c r="O12" s="195">
        <f>De_minimis</f>
        <v>0</v>
      </c>
      <c r="P12" s="30" t="s">
        <v>41</v>
      </c>
    </row>
    <row r="13" spans="1:17">
      <c r="A13" s="78"/>
      <c r="B13" s="78"/>
      <c r="C13" s="78"/>
      <c r="D13" s="78"/>
      <c r="E13" s="26"/>
      <c r="G13" s="78"/>
      <c r="H13" s="78"/>
      <c r="I13" s="78"/>
      <c r="J13" s="78"/>
      <c r="K13" s="78"/>
      <c r="L13" s="78"/>
      <c r="M13" s="78"/>
      <c r="N13" s="78"/>
      <c r="O13" s="78"/>
    </row>
    <row r="14" spans="1:17" s="72" customFormat="1">
      <c r="A14" s="199" t="s">
        <v>478</v>
      </c>
      <c r="B14" s="199"/>
      <c r="C14" s="199"/>
      <c r="D14" s="199"/>
      <c r="E14" s="74" t="s">
        <v>12</v>
      </c>
      <c r="F14" s="155"/>
      <c r="G14" s="199"/>
      <c r="H14" s="199"/>
      <c r="I14" s="199"/>
      <c r="J14" s="199"/>
      <c r="K14" s="197">
        <f>SUM(K6:K12)</f>
        <v>0</v>
      </c>
      <c r="L14" s="197">
        <f>SUM(L6:L12)</f>
        <v>0</v>
      </c>
      <c r="M14" s="197">
        <f>SUM(M6:M12)</f>
        <v>0</v>
      </c>
      <c r="N14" s="197">
        <f>SUM(N6:N12)</f>
        <v>0</v>
      </c>
      <c r="O14" s="197">
        <f>SUM(O6:O12)</f>
        <v>0</v>
      </c>
      <c r="P14" s="155"/>
      <c r="Q14" s="155"/>
    </row>
    <row r="15" spans="1:17">
      <c r="A15" s="78"/>
      <c r="B15" s="78"/>
      <c r="C15" s="78"/>
      <c r="D15" s="78"/>
      <c r="E15" s="26"/>
      <c r="G15" s="78"/>
      <c r="H15" s="78"/>
      <c r="I15" s="78"/>
      <c r="J15" s="78"/>
      <c r="K15" s="78"/>
      <c r="L15" s="78"/>
      <c r="M15" s="78"/>
      <c r="N15" s="78"/>
      <c r="O15" s="78"/>
    </row>
    <row r="16" spans="1:17">
      <c r="A16" s="78" t="s">
        <v>476</v>
      </c>
      <c r="B16" s="78"/>
      <c r="C16" s="78"/>
      <c r="D16" s="78"/>
      <c r="E16" s="26"/>
      <c r="G16" s="78"/>
      <c r="H16" s="78"/>
      <c r="I16" s="78"/>
      <c r="J16" s="78"/>
      <c r="K16" s="78"/>
      <c r="L16" s="78"/>
      <c r="M16" s="78"/>
      <c r="N16" s="78"/>
      <c r="O16" s="78"/>
    </row>
    <row r="17" spans="1:17">
      <c r="A17" s="78" t="s">
        <v>477</v>
      </c>
      <c r="B17" s="78"/>
      <c r="C17" s="78"/>
      <c r="D17" s="78"/>
      <c r="E17" s="26" t="s">
        <v>12</v>
      </c>
      <c r="G17" s="78"/>
      <c r="H17" s="78"/>
      <c r="I17" s="78"/>
      <c r="J17" s="78"/>
      <c r="K17" s="194"/>
      <c r="L17" s="194"/>
      <c r="M17" s="194"/>
      <c r="N17" s="194"/>
      <c r="O17" s="194"/>
    </row>
    <row r="18" spans="1:17">
      <c r="A18" s="362"/>
      <c r="B18" s="78"/>
      <c r="C18" s="78"/>
      <c r="D18" s="78"/>
      <c r="E18" s="26" t="s">
        <v>12</v>
      </c>
      <c r="G18" s="78"/>
      <c r="H18" s="78"/>
      <c r="I18" s="78"/>
      <c r="J18" s="78"/>
      <c r="K18" s="194"/>
      <c r="L18" s="194"/>
      <c r="M18" s="194"/>
      <c r="N18" s="194"/>
      <c r="O18" s="194"/>
    </row>
    <row r="19" spans="1:17">
      <c r="A19" s="362"/>
      <c r="B19" s="78"/>
      <c r="C19" s="78"/>
      <c r="D19" s="78"/>
      <c r="E19" s="26" t="s">
        <v>12</v>
      </c>
      <c r="G19" s="78"/>
      <c r="H19" s="78"/>
      <c r="I19" s="78"/>
      <c r="J19" s="78"/>
      <c r="K19" s="194"/>
      <c r="L19" s="194"/>
      <c r="M19" s="194"/>
      <c r="N19" s="194"/>
      <c r="O19" s="194"/>
    </row>
    <row r="20" spans="1:17">
      <c r="A20" s="362"/>
      <c r="B20" s="78"/>
      <c r="C20" s="78"/>
      <c r="D20" s="78"/>
      <c r="E20" s="26" t="s">
        <v>12</v>
      </c>
      <c r="G20" s="78"/>
      <c r="H20" s="78"/>
      <c r="I20" s="78"/>
      <c r="J20" s="78"/>
      <c r="K20" s="194"/>
      <c r="L20" s="194"/>
      <c r="M20" s="194"/>
      <c r="N20" s="194"/>
      <c r="O20" s="194"/>
    </row>
    <row r="21" spans="1:17">
      <c r="A21" s="362"/>
      <c r="B21" s="78"/>
      <c r="C21" s="78"/>
      <c r="D21" s="78"/>
      <c r="E21" s="26" t="s">
        <v>12</v>
      </c>
      <c r="G21" s="78"/>
      <c r="H21" s="78"/>
      <c r="I21" s="78"/>
      <c r="J21" s="78"/>
      <c r="K21" s="194"/>
      <c r="L21" s="194"/>
      <c r="M21" s="194"/>
      <c r="N21" s="194"/>
      <c r="O21" s="194"/>
    </row>
    <row r="22" spans="1:17">
      <c r="A22" s="362"/>
      <c r="B22" s="78"/>
      <c r="C22" s="78"/>
      <c r="D22" s="78"/>
      <c r="E22" s="26" t="s">
        <v>12</v>
      </c>
      <c r="G22" s="78"/>
      <c r="H22" s="78"/>
      <c r="I22" s="78"/>
      <c r="J22" s="78"/>
      <c r="K22" s="194"/>
      <c r="L22" s="194"/>
      <c r="M22" s="194"/>
      <c r="N22" s="194"/>
      <c r="O22" s="194"/>
    </row>
    <row r="23" spans="1:17">
      <c r="A23" s="362"/>
      <c r="B23" s="78"/>
      <c r="C23" s="78"/>
      <c r="D23" s="78"/>
      <c r="E23" s="26" t="s">
        <v>12</v>
      </c>
      <c r="G23" s="78"/>
      <c r="H23" s="78"/>
      <c r="I23" s="78"/>
      <c r="J23" s="78"/>
      <c r="K23" s="194"/>
      <c r="L23" s="194"/>
      <c r="M23" s="194"/>
      <c r="N23" s="194"/>
      <c r="O23" s="194"/>
    </row>
    <row r="24" spans="1:17">
      <c r="A24" s="359" t="s">
        <v>742</v>
      </c>
      <c r="B24" s="78"/>
      <c r="C24" s="78"/>
      <c r="D24" s="78"/>
      <c r="E24" s="26" t="s">
        <v>12</v>
      </c>
      <c r="G24" s="78"/>
      <c r="H24" s="78"/>
      <c r="I24" s="78"/>
      <c r="J24" s="78"/>
      <c r="K24" s="331">
        <f>LCN2_Ry_DNO</f>
        <v>0</v>
      </c>
      <c r="L24" s="331">
        <f>LCN2_Ry_DNO</f>
        <v>0</v>
      </c>
      <c r="M24" s="331">
        <f>LCN2_Ry_DNO</f>
        <v>0</v>
      </c>
      <c r="N24" s="331">
        <f>LCN2_Ry_DNO</f>
        <v>0</v>
      </c>
      <c r="O24" s="331">
        <f>LCN2_Ry_DNO</f>
        <v>0</v>
      </c>
      <c r="P24" s="54" t="s">
        <v>743</v>
      </c>
    </row>
    <row r="25" spans="1:17">
      <c r="A25" s="78"/>
      <c r="B25" s="78"/>
      <c r="C25" s="78"/>
      <c r="D25" s="78"/>
      <c r="E25" s="26"/>
      <c r="G25" s="78"/>
      <c r="H25" s="78"/>
      <c r="I25" s="78"/>
      <c r="J25" s="78"/>
      <c r="K25" s="78"/>
      <c r="L25" s="78"/>
      <c r="M25" s="78"/>
      <c r="N25" s="78"/>
      <c r="O25" s="78"/>
    </row>
    <row r="26" spans="1:17" s="72" customFormat="1">
      <c r="A26" s="199" t="s">
        <v>541</v>
      </c>
      <c r="B26" s="155"/>
      <c r="C26" s="155"/>
      <c r="D26" s="155"/>
      <c r="E26" s="74" t="s">
        <v>12</v>
      </c>
      <c r="F26" s="155"/>
      <c r="G26" s="155"/>
      <c r="H26" s="155"/>
      <c r="I26" s="155"/>
      <c r="J26" s="155"/>
      <c r="K26" s="197">
        <f>SUM(K14:K25)</f>
        <v>0</v>
      </c>
      <c r="L26" s="197">
        <f>SUM(L14:L25)</f>
        <v>0</v>
      </c>
      <c r="M26" s="197">
        <f>SUM(M14:M25)</f>
        <v>0</v>
      </c>
      <c r="N26" s="197">
        <f>SUM(N14:N25)</f>
        <v>0</v>
      </c>
      <c r="O26" s="197">
        <f>SUM(O14:O25)</f>
        <v>0</v>
      </c>
      <c r="P26" s="155"/>
      <c r="Q26" s="155"/>
    </row>
    <row r="27" spans="1:17" s="72" customFormat="1">
      <c r="A27" s="199"/>
      <c r="B27" s="155"/>
      <c r="C27" s="155"/>
      <c r="D27" s="155"/>
      <c r="E27" s="74"/>
      <c r="F27" s="155"/>
      <c r="G27" s="155"/>
      <c r="H27" s="155"/>
      <c r="I27" s="155"/>
      <c r="J27" s="155"/>
      <c r="K27" s="241"/>
      <c r="L27" s="241"/>
      <c r="M27" s="241"/>
      <c r="N27" s="241"/>
      <c r="O27" s="241"/>
      <c r="P27" s="155"/>
      <c r="Q27" s="155"/>
    </row>
    <row r="28" spans="1:17" s="72" customFormat="1">
      <c r="A28" s="78" t="s">
        <v>475</v>
      </c>
      <c r="B28" s="155"/>
      <c r="C28" s="155"/>
      <c r="D28" s="155"/>
      <c r="E28" s="26" t="s">
        <v>12</v>
      </c>
      <c r="F28" s="155"/>
      <c r="G28" s="155"/>
      <c r="H28" s="155"/>
      <c r="I28" s="155"/>
      <c r="J28" s="155"/>
      <c r="K28" s="194"/>
      <c r="L28" s="194"/>
      <c r="M28" s="194"/>
      <c r="N28" s="194"/>
      <c r="O28" s="194"/>
      <c r="P28" s="155"/>
      <c r="Q28" s="155"/>
    </row>
    <row r="29" spans="1:17" s="72" customFormat="1">
      <c r="A29" s="199"/>
      <c r="B29" s="155"/>
      <c r="C29" s="155"/>
      <c r="D29" s="155"/>
      <c r="E29" s="74"/>
      <c r="F29" s="155"/>
      <c r="G29" s="155"/>
      <c r="H29" s="155"/>
      <c r="I29" s="155"/>
      <c r="J29" s="155"/>
      <c r="K29" s="241"/>
      <c r="L29" s="241"/>
      <c r="M29" s="241"/>
      <c r="N29" s="241"/>
      <c r="O29" s="241"/>
      <c r="P29" s="155"/>
      <c r="Q29" s="155"/>
    </row>
    <row r="30" spans="1:17" s="72" customFormat="1">
      <c r="A30" s="199" t="s">
        <v>542</v>
      </c>
      <c r="B30" s="155"/>
      <c r="C30" s="155"/>
      <c r="D30" s="155"/>
      <c r="E30" s="74" t="s">
        <v>12</v>
      </c>
      <c r="F30" s="155"/>
      <c r="G30" s="155"/>
      <c r="H30" s="155"/>
      <c r="I30" s="155"/>
      <c r="J30" s="155"/>
      <c r="K30" s="242">
        <f>K26-K28</f>
        <v>0</v>
      </c>
      <c r="L30" s="242">
        <f>L26-L28</f>
        <v>0</v>
      </c>
      <c r="M30" s="242">
        <f>M26-M28</f>
        <v>0</v>
      </c>
      <c r="N30" s="242">
        <f>N26-N28</f>
        <v>0</v>
      </c>
      <c r="O30" s="242">
        <f>O26-O28</f>
        <v>0</v>
      </c>
      <c r="P30" s="155"/>
      <c r="Q30" s="155"/>
    </row>
    <row r="31" spans="1:17" s="72" customFormat="1">
      <c r="A31" s="78" t="s">
        <v>543</v>
      </c>
      <c r="B31" s="155"/>
      <c r="C31" s="155"/>
      <c r="D31" s="155"/>
      <c r="E31" s="26"/>
      <c r="F31" s="155"/>
      <c r="G31" s="155"/>
      <c r="H31" s="155"/>
      <c r="I31" s="155"/>
      <c r="J31" s="155"/>
      <c r="K31" s="238" t="str">
        <f>IF(ROUND(K30,1)=0,"ok","error")</f>
        <v>ok</v>
      </c>
      <c r="L31" s="238" t="str">
        <f t="shared" ref="L31:O31" si="0">IF(ROUND(L30,1)=0,"ok","error")</f>
        <v>ok</v>
      </c>
      <c r="M31" s="238" t="str">
        <f t="shared" si="0"/>
        <v>ok</v>
      </c>
      <c r="N31" s="238" t="str">
        <f t="shared" si="0"/>
        <v>ok</v>
      </c>
      <c r="O31" s="238" t="str">
        <f t="shared" si="0"/>
        <v>ok</v>
      </c>
      <c r="P31" s="155"/>
      <c r="Q31" s="155"/>
    </row>
    <row r="32" spans="1:17">
      <c r="K32" s="29"/>
    </row>
    <row r="33" hidden="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row r="57" ht="12.75" hidden="1" customHeight="1"/>
    <row r="58" ht="12.75" hidden="1" customHeight="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sheetData>
  <sheetProtection password="E1CD" sheet="1" objects="1" scenarios="1" formatCells="0" formatColumns="0" formatRows="0" insertHyperlinks="0" autoFilter="0" pivotTables="0"/>
  <mergeCells count="1">
    <mergeCell ref="K3:M3"/>
  </mergeCells>
  <pageMargins left="0.70866141732283472" right="0.31496062992125984" top="0.74803149606299213" bottom="0.74803149606299213" header="0.31496062992125984" footer="0.31496062992125984"/>
  <pageSetup paperSize="8" fitToHeight="0" orientation="landscape" r:id="rId1"/>
  <headerFooter>
    <oddHeader>&amp;C&amp;A</oddHeader>
    <oddFooter>&amp;L&amp;D &amp;T&amp;C&amp;Z&amp;F&amp;R&amp;A</oddFooter>
  </headerFooter>
</worksheet>
</file>

<file path=xl/worksheets/sheet9.xml><?xml version="1.0" encoding="utf-8"?>
<worksheet xmlns="http://schemas.openxmlformats.org/spreadsheetml/2006/main" xmlns:r="http://schemas.openxmlformats.org/officeDocument/2006/relationships">
  <sheetPr codeName="Sheet6">
    <tabColor rgb="FFCCFFCC"/>
    <pageSetUpPr fitToPage="1"/>
  </sheetPr>
  <dimension ref="A1:T81"/>
  <sheetViews>
    <sheetView zoomScaleNormal="100" workbookViewId="0">
      <pane xSplit="3" ySplit="4" topLeftCell="D5" activePane="bottomRight" state="frozen"/>
      <selection pane="topRight" activeCell="D1" sqref="D1"/>
      <selection pane="bottomLeft" activeCell="A5" sqref="A5"/>
      <selection pane="bottomRight" activeCell="J6" sqref="J6"/>
    </sheetView>
  </sheetViews>
  <sheetFormatPr defaultColWidth="0" defaultRowHeight="12.75" zeroHeight="1"/>
  <cols>
    <col min="1" max="1" width="23.75" style="10" bestFit="1" customWidth="1"/>
    <col min="2" max="4" width="0.75" style="10" customWidth="1"/>
    <col min="5" max="5" width="5.75" style="13" bestFit="1" customWidth="1"/>
    <col min="6" max="10" width="1.125" style="13" customWidth="1"/>
    <col min="11" max="15" width="10.625" style="13" customWidth="1"/>
    <col min="16" max="16" width="11" style="10" bestFit="1" customWidth="1"/>
    <col min="17" max="17" width="9" style="14" hidden="1" customWidth="1"/>
    <col min="18" max="16384" width="9" style="10" hidden="1"/>
  </cols>
  <sheetData>
    <row r="1" spans="1:20" s="5" customFormat="1" ht="15">
      <c r="A1" s="8" t="s">
        <v>485</v>
      </c>
      <c r="E1" s="61"/>
      <c r="F1" s="61"/>
      <c r="G1" s="61"/>
      <c r="H1" s="61"/>
      <c r="I1" s="61"/>
      <c r="J1" s="61"/>
      <c r="K1" s="61"/>
      <c r="L1" s="61"/>
      <c r="M1" s="61"/>
      <c r="N1" s="61"/>
      <c r="O1" s="61"/>
      <c r="T1" s="4" t="s">
        <v>134</v>
      </c>
    </row>
    <row r="2" spans="1:20" s="5" customFormat="1" ht="15">
      <c r="A2" s="8" t="str">
        <f>COMPNAME</f>
        <v>Company Name of Electricity Distribution Network Operator Limited</v>
      </c>
      <c r="E2" s="61"/>
      <c r="F2" s="61"/>
      <c r="G2" s="61"/>
      <c r="H2" s="61"/>
      <c r="I2" s="61"/>
      <c r="J2" s="61"/>
      <c r="K2" s="61"/>
      <c r="L2" s="61"/>
      <c r="M2" s="61"/>
      <c r="N2" s="61"/>
      <c r="O2" s="61"/>
      <c r="T2" s="11"/>
    </row>
    <row r="3" spans="1:20">
      <c r="A3" s="155" t="str">
        <f>'R5 Input page'!K8</f>
        <v>Regulatory Year ending 31 March 2012</v>
      </c>
      <c r="B3" s="14"/>
      <c r="C3" s="58"/>
      <c r="D3" s="58"/>
      <c r="E3" s="207"/>
      <c r="F3" s="58"/>
      <c r="G3" s="94"/>
      <c r="H3" s="58"/>
      <c r="I3" s="94"/>
      <c r="J3" s="58"/>
      <c r="K3" s="373" t="s">
        <v>645</v>
      </c>
      <c r="L3" s="374"/>
      <c r="M3" s="374"/>
      <c r="N3" s="96"/>
      <c r="O3" s="96"/>
      <c r="P3" s="14"/>
    </row>
    <row r="4" spans="1:20">
      <c r="A4" s="14"/>
      <c r="B4" s="14"/>
      <c r="C4" s="14"/>
      <c r="D4" s="14"/>
      <c r="E4" s="213" t="s">
        <v>5</v>
      </c>
      <c r="F4" s="96"/>
      <c r="G4" s="96"/>
      <c r="H4" s="96"/>
      <c r="I4" s="96"/>
      <c r="J4" s="96"/>
      <c r="K4" s="74">
        <v>2011</v>
      </c>
      <c r="L4" s="74">
        <v>2012</v>
      </c>
      <c r="M4" s="74">
        <v>2013</v>
      </c>
      <c r="N4" s="74">
        <v>2014</v>
      </c>
      <c r="O4" s="74">
        <v>2015</v>
      </c>
      <c r="P4" s="95" t="s">
        <v>6</v>
      </c>
    </row>
    <row r="5" spans="1:20" ht="8.25" customHeight="1">
      <c r="A5" s="58"/>
      <c r="B5" s="94"/>
      <c r="C5" s="14"/>
      <c r="D5" s="14"/>
      <c r="E5" s="96"/>
      <c r="F5" s="96"/>
      <c r="G5" s="96"/>
      <c r="H5" s="96"/>
      <c r="I5" s="96"/>
      <c r="J5" s="96"/>
      <c r="K5" s="96"/>
      <c r="L5" s="96"/>
      <c r="M5" s="96"/>
      <c r="N5" s="96"/>
      <c r="O5" s="96"/>
      <c r="P5" s="94"/>
      <c r="Q5" s="200"/>
    </row>
    <row r="6" spans="1:20" s="9" customFormat="1" ht="15">
      <c r="A6" s="24" t="s">
        <v>7</v>
      </c>
      <c r="C6" s="128"/>
      <c r="D6" s="128"/>
      <c r="E6" s="204" t="s">
        <v>8</v>
      </c>
      <c r="F6" s="204"/>
      <c r="G6" s="204"/>
      <c r="H6" s="204"/>
      <c r="I6" s="204"/>
      <c r="J6" s="204"/>
      <c r="K6" s="202">
        <f>RPI</f>
        <v>-3.8999999999999998E-3</v>
      </c>
      <c r="L6" s="202">
        <f>RPI</f>
        <v>4.6899999999999997E-2</v>
      </c>
      <c r="M6" s="202">
        <f>RPI</f>
        <v>5.1799999999999999E-2</v>
      </c>
      <c r="N6" s="202">
        <f>RPI</f>
        <v>0</v>
      </c>
      <c r="O6" s="202">
        <f>RPI</f>
        <v>0</v>
      </c>
      <c r="P6" s="137" t="s">
        <v>7</v>
      </c>
      <c r="Q6" s="205"/>
    </row>
    <row r="7" spans="1:20" ht="15">
      <c r="A7" s="24"/>
      <c r="B7" s="97"/>
      <c r="C7" s="94"/>
      <c r="D7" s="94"/>
      <c r="E7" s="94"/>
      <c r="F7" s="59"/>
      <c r="G7" s="59"/>
      <c r="H7" s="59"/>
      <c r="I7" s="59"/>
      <c r="J7" s="59"/>
      <c r="K7" s="59"/>
      <c r="L7" s="59"/>
      <c r="M7" s="59"/>
      <c r="N7" s="59"/>
      <c r="O7" s="59"/>
      <c r="P7" s="99"/>
      <c r="Q7" s="99"/>
    </row>
    <row r="8" spans="1:20" ht="15">
      <c r="A8" s="24" t="s">
        <v>274</v>
      </c>
      <c r="B8" s="6"/>
      <c r="C8" s="6"/>
      <c r="D8" s="6"/>
      <c r="E8" s="59"/>
      <c r="F8" s="59"/>
      <c r="G8" s="59"/>
      <c r="H8" s="59"/>
      <c r="I8" s="59"/>
      <c r="J8" s="58"/>
      <c r="K8" s="58"/>
      <c r="L8" s="58"/>
      <c r="M8" s="58"/>
      <c r="N8" s="58"/>
      <c r="O8" s="58"/>
      <c r="P8" s="14"/>
      <c r="Q8" s="95"/>
    </row>
    <row r="9" spans="1:20">
      <c r="A9" s="6" t="s">
        <v>275</v>
      </c>
      <c r="B9" s="6"/>
      <c r="C9" s="6"/>
      <c r="D9" s="6"/>
      <c r="E9" s="59" t="s">
        <v>12</v>
      </c>
      <c r="F9" s="59"/>
      <c r="G9" s="59"/>
      <c r="H9" s="59"/>
      <c r="I9" s="59"/>
      <c r="J9" s="58"/>
      <c r="K9" s="195">
        <f>MG</f>
        <v>0</v>
      </c>
      <c r="L9" s="195">
        <f>MG</f>
        <v>0</v>
      </c>
      <c r="M9" s="195">
        <f>MG</f>
        <v>0</v>
      </c>
      <c r="N9" s="195">
        <f>MG</f>
        <v>0</v>
      </c>
      <c r="O9" s="195">
        <f>MG</f>
        <v>0</v>
      </c>
      <c r="P9" s="95" t="s">
        <v>275</v>
      </c>
      <c r="Q9" s="95"/>
    </row>
    <row r="10" spans="1:20">
      <c r="A10" s="6"/>
      <c r="B10" s="6"/>
      <c r="C10" s="6"/>
      <c r="D10" s="6"/>
      <c r="E10" s="59"/>
      <c r="F10" s="59"/>
      <c r="G10" s="59"/>
      <c r="H10" s="59"/>
      <c r="I10" s="59"/>
      <c r="J10" s="58"/>
      <c r="K10" s="58"/>
      <c r="L10" s="58"/>
      <c r="M10" s="58"/>
      <c r="N10" s="58"/>
      <c r="O10" s="58"/>
      <c r="P10" s="95"/>
      <c r="Q10" s="95"/>
    </row>
    <row r="11" spans="1:20" ht="15">
      <c r="A11" s="24" t="s">
        <v>103</v>
      </c>
      <c r="B11" s="98"/>
      <c r="C11" s="98"/>
      <c r="D11" s="98"/>
      <c r="E11" s="207"/>
      <c r="F11" s="58"/>
      <c r="G11" s="58"/>
      <c r="H11" s="58"/>
      <c r="I11" s="58"/>
      <c r="J11" s="186"/>
      <c r="K11" s="58"/>
      <c r="L11" s="58"/>
      <c r="M11" s="58"/>
      <c r="N11" s="58"/>
      <c r="O11" s="58"/>
      <c r="P11" s="95"/>
      <c r="Q11" s="95"/>
    </row>
    <row r="12" spans="1:20">
      <c r="A12" s="6" t="s">
        <v>104</v>
      </c>
      <c r="B12" s="6"/>
      <c r="C12" s="6"/>
      <c r="D12" s="6"/>
      <c r="E12" s="59" t="s">
        <v>12</v>
      </c>
      <c r="F12" s="59"/>
      <c r="G12" s="59"/>
      <c r="H12" s="59"/>
      <c r="I12" s="59"/>
      <c r="J12" s="96"/>
      <c r="K12" s="195">
        <f>PU</f>
        <v>0</v>
      </c>
      <c r="L12" s="195">
        <f>PU</f>
        <v>0</v>
      </c>
      <c r="M12" s="195">
        <f>PU</f>
        <v>0</v>
      </c>
      <c r="N12" s="195">
        <f>PU</f>
        <v>0</v>
      </c>
      <c r="O12" s="195">
        <f>PU</f>
        <v>0</v>
      </c>
      <c r="P12" s="95" t="s">
        <v>104</v>
      </c>
      <c r="Q12" s="95"/>
    </row>
    <row r="13" spans="1:20">
      <c r="A13" s="6"/>
      <c r="B13" s="6"/>
      <c r="C13" s="6"/>
      <c r="D13" s="6"/>
      <c r="E13" s="59"/>
      <c r="F13" s="59"/>
      <c r="G13" s="59"/>
      <c r="H13" s="59"/>
      <c r="I13" s="59"/>
      <c r="J13" s="96"/>
      <c r="K13" s="59"/>
      <c r="L13" s="59"/>
      <c r="M13" s="59"/>
      <c r="N13" s="59"/>
      <c r="O13" s="59"/>
      <c r="P13" s="95"/>
      <c r="Q13" s="95"/>
    </row>
    <row r="14" spans="1:20" ht="15">
      <c r="A14" s="24" t="s">
        <v>283</v>
      </c>
      <c r="B14" s="98"/>
      <c r="C14" s="98"/>
      <c r="D14" s="98"/>
      <c r="E14" s="207"/>
      <c r="F14" s="58"/>
      <c r="G14" s="58"/>
      <c r="H14" s="58"/>
      <c r="I14" s="58"/>
      <c r="J14" s="96"/>
      <c r="K14" s="58"/>
      <c r="L14" s="58"/>
      <c r="M14" s="58"/>
      <c r="N14" s="58"/>
      <c r="O14" s="58"/>
      <c r="P14" s="95"/>
      <c r="Q14" s="95"/>
    </row>
    <row r="15" spans="1:20" ht="14.25">
      <c r="A15" s="6" t="s">
        <v>568</v>
      </c>
      <c r="B15" s="6"/>
      <c r="C15" s="6"/>
      <c r="D15" s="6"/>
      <c r="E15" s="59" t="s">
        <v>8</v>
      </c>
      <c r="F15" s="59"/>
      <c r="G15" s="59"/>
      <c r="H15" s="59"/>
      <c r="I15" s="59"/>
      <c r="J15" s="96"/>
      <c r="K15" s="167">
        <v>1</v>
      </c>
      <c r="L15" s="206">
        <f>(1+L6)*K15</f>
        <v>1.0468999999999999</v>
      </c>
      <c r="M15" s="206">
        <f>(1+M6)*L15</f>
        <v>1.1011294199999999</v>
      </c>
      <c r="N15" s="206">
        <f>(1+N6)*M15</f>
        <v>1.1011294199999999</v>
      </c>
      <c r="O15" s="206">
        <f>(1+O6)*N15</f>
        <v>1.1011294199999999</v>
      </c>
      <c r="P15" s="95" t="s">
        <v>569</v>
      </c>
      <c r="Q15" s="95"/>
    </row>
    <row r="16" spans="1:20">
      <c r="A16" s="6" t="s">
        <v>102</v>
      </c>
      <c r="B16" s="5"/>
      <c r="C16" s="5"/>
      <c r="D16" s="5"/>
      <c r="E16" s="59" t="s">
        <v>12</v>
      </c>
      <c r="F16" s="61"/>
      <c r="G16" s="61"/>
      <c r="H16" s="61"/>
      <c r="I16" s="61"/>
      <c r="J16" s="96"/>
      <c r="K16" s="196">
        <f>PU*PIAD-MG</f>
        <v>0</v>
      </c>
      <c r="L16" s="196">
        <f>PU*PIAD-MG</f>
        <v>0</v>
      </c>
      <c r="M16" s="196">
        <f>PU*PIAD-MG</f>
        <v>0</v>
      </c>
      <c r="N16" s="196">
        <f>PU*PIAD-MG</f>
        <v>0</v>
      </c>
      <c r="O16" s="196">
        <f>PU*PIAD-MG</f>
        <v>0</v>
      </c>
      <c r="P16" s="95" t="s">
        <v>141</v>
      </c>
    </row>
    <row r="17" spans="1:16">
      <c r="A17" s="14"/>
      <c r="B17" s="14"/>
      <c r="C17" s="14"/>
      <c r="D17" s="14"/>
      <c r="E17" s="96"/>
      <c r="F17" s="96"/>
      <c r="G17" s="96"/>
      <c r="H17" s="96"/>
      <c r="I17" s="96"/>
      <c r="J17" s="96"/>
      <c r="K17" s="96"/>
      <c r="L17" s="96"/>
      <c r="M17" s="96"/>
      <c r="N17" s="96"/>
      <c r="O17" s="96"/>
      <c r="P17" s="14"/>
    </row>
    <row r="18" spans="1:16" hidden="1"/>
    <row r="19" spans="1:16" hidden="1"/>
    <row r="20" spans="1:16" hidden="1"/>
    <row r="21" spans="1:16" hidden="1"/>
    <row r="22" spans="1:16" hidden="1"/>
    <row r="23" spans="1:16" hidden="1"/>
    <row r="24" spans="1:16" hidden="1"/>
    <row r="25" spans="1:16" hidden="1"/>
    <row r="26" spans="1:16" hidden="1"/>
    <row r="27" spans="1:16" hidden="1"/>
    <row r="28" spans="1:16" hidden="1"/>
    <row r="29" spans="1:16" hidden="1"/>
    <row r="30" spans="1:16" hidden="1"/>
    <row r="31" spans="1:16" hidden="1"/>
    <row r="32" spans="1:16"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spans="2:2" hidden="1"/>
    <row r="66" spans="2:2" hidden="1"/>
    <row r="67" spans="2:2" hidden="1"/>
    <row r="68" spans="2:2" hidden="1"/>
    <row r="69" spans="2:2" hidden="1"/>
    <row r="70" spans="2:2" hidden="1"/>
    <row r="71" spans="2:2" hidden="1"/>
    <row r="72" spans="2:2" hidden="1"/>
    <row r="73" spans="2:2" hidden="1"/>
    <row r="74" spans="2:2" hidden="1"/>
    <row r="75" spans="2:2" hidden="1">
      <c r="B75"/>
    </row>
    <row r="76" spans="2:2" hidden="1"/>
    <row r="77" spans="2:2" hidden="1"/>
    <row r="78" spans="2:2" hidden="1"/>
    <row r="79" spans="2:2" hidden="1"/>
    <row r="80" spans="2:2" hidden="1"/>
    <row r="81" hidden="1"/>
  </sheetData>
  <sheetProtection password="E1CD" sheet="1" objects="1" scenarios="1" formatCells="0" formatColumns="0" formatRows="0" insertHyperlinks="0" autoFilter="0" pivotTables="0"/>
  <mergeCells count="1">
    <mergeCell ref="K3:M3"/>
  </mergeCells>
  <pageMargins left="0.70866141732283472" right="0.70866141732283472" top="0.55118110236220474" bottom="0.74803149606299213" header="0.11811023622047245" footer="0.11811023622047245"/>
  <pageSetup paperSize="9" orientation="landscape" r:id="rId1"/>
  <headerFooter>
    <oddHeader>&amp;C&amp;A</oddHeader>
    <oddFooter>&amp;L&amp;D &amp;T&amp;C&amp;Z&amp;F&amp;R&amp;A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Overview xmlns="2cd398cc-5242-4f22-a36e-b22b9499e21b" xsi:nil="true"/>
    <Keywords- xmlns="2cd398cc-5242-4f22-a36e-b22b9499e21b">electricity distribution revenue rigs</Keywords->
    <Ref_x0020_No_x0020_New xmlns="2cd398cc-5242-4f22-a36e-b22b9499e21b" xsi:nil="true"/>
    <Closing_x0020_Date xmlns="2cd398cc-5242-4f22-a36e-b22b9499e21b">1999-11-29T00:00:00+00:00</Closing_x0020_Date>
    <_x003a_ xmlns="2cd398cc-5242-4f22-a36e-b22b9499e21b">2012/04/27 - RIGs</_x003a_>
    <Work_x0020_Area xmlns="2cd398cc-5242-4f22-a36e-b22b9499e21b">Electricity Distribution</Work_x0020_Area>
    <Publication_x0020_Date_x003a_ xmlns="2cd398cc-5242-4f22-a36e-b22b9499e21b">2012-04-21T00:00:00+00:00</Publication_x0020_Date_x003a_>
    <_x003a__x003a_ xmlns="2cd398cc-5242-4f22-a36e-b22b9499e21b">- Subsidiary Document</_x003a__x003a_>
  </documentManagement>
</p:properties>
</file>

<file path=customXml/item4.xml><?xml version="1.0" encoding="utf-8"?>
<ct:contentTypeSchema xmlns:ct="http://schemas.microsoft.com/office/2006/metadata/contentType" xmlns:ma="http://schemas.microsoft.com/office/2006/metadata/properties/metaAttributes" ct:_="" ma:_="" ma:contentTypeName="Procedure" ma:contentTypeID="0x0101001B40C0AE9C60714BA1D1E78CBB77D3CB004621816FD121CB4AA1F108421A952DAB" ma:contentTypeVersion="32" ma:contentTypeDescription="This is used to produce internal procedure" ma:contentTypeScope="" ma:versionID="ebe14251cfa43b446230a1bc8688445a">
  <xsd:schema xmlns:xsd="http://www.w3.org/2001/XMLSchema" xmlns:p="http://schemas.microsoft.com/office/2006/metadata/properties" xmlns:ns2="http://schemas.microsoft.com/sharepoint/v3/fields" xmlns:ns3="eecedeb9-13b3-4e62-b003-046c92e1668a" xmlns:ns4="efb98dbe-6680-48eb-ac67-85b3a61e7855" xmlns:ns5="51f7f9d5-0b4a-499d-a826-54a5594ada80" targetNamespace="http://schemas.microsoft.com/office/2006/metadata/properties" ma:root="true" ma:fieldsID="eb038eba0f1cfc7f4746e2844de2b0f6" ns2:_="" ns3:_="" ns4:_="" ns5:_="">
    <xsd:import namespace="http://schemas.microsoft.com/sharepoint/v3/fields"/>
    <xsd:import namespace="eecedeb9-13b3-4e62-b003-046c92e1668a"/>
    <xsd:import namespace="efb98dbe-6680-48eb-ac67-85b3a61e7855"/>
    <xsd:import namespace="51f7f9d5-0b4a-499d-a826-54a5594ada80"/>
    <xsd:element name="properties">
      <xsd:complexType>
        <xsd:sequence>
          <xsd:element name="documentManagement">
            <xsd:complexType>
              <xsd:all>
                <xsd:element ref="ns3:Recipient" minOccurs="0"/>
                <xsd:element ref="ns2:_Status" minOccurs="0"/>
                <xsd:element ref="ns3:Applicable_x0020_Start_x0020_Date" minOccurs="0"/>
                <xsd:element ref="ns3:Applicable_x0020_Duration" minOccurs="0"/>
                <xsd:element ref="ns3:Classification"/>
                <xsd:element ref="ns3:Descriptor" minOccurs="0"/>
                <xsd:element ref="ns3:_dlc_Exempt" minOccurs="0"/>
                <xsd:element ref="ns4:DLCPolicyLabelValue" minOccurs="0"/>
                <xsd:element ref="ns4:DLCPolicyLabelClientValue" minOccurs="0"/>
                <xsd:element ref="ns4:DLCPolicyLabelLock" minOccurs="0"/>
                <xsd:element ref="ns5:Notes0"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Recipient" ma:index="3" nillable="true" ma:displayName="Recipient" ma:default="" ma:description="Internal or external person(s) or group (eg Exec, SMT or Authority).  For Legal Advice put recipient of advice." ma:internalName="Recipient" ma:readOnly="false">
      <xsd:simpleType>
        <xsd:restriction base="dms:Text">
          <xsd:maxLength value="255"/>
        </xsd:restriction>
      </xsd:simpleType>
    </xsd:element>
    <xsd:element name="Applicable_x0020_Start_x0020_Date" ma:index="5"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12"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Classification" ma:index="13"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4"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5"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6" nillable="true" ma:displayName="Label" ma:description="Stores the current value of the label." ma:internalName="DLCPolicyLabelValue" ma:readOnly="true">
      <xsd:simpleType>
        <xsd:restriction base="dms:Note"/>
      </xsd:simpleType>
    </xsd:element>
    <xsd:element name="DLCPolicyLabelClientValue" ma:index="17"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8"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dms="http://schemas.microsoft.com/office/2006/documentManagement/types" targetNamespace="51f7f9d5-0b4a-499d-a826-54a5594ada80" elementFormDefault="qualified">
    <xsd:import namespace="http://schemas.microsoft.com/office/2006/documentManagement/types"/>
    <xsd:element name="Notes0" ma:index="19" nillable="true" ma:displayName="Notes" ma:internalName="Notes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ma:index="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5.xml><?xml version="1.0" encoding="utf-8"?>
<ct:contentTypeSchema xmlns:ct="http://schemas.microsoft.com/office/2006/metadata/contentType" xmlns:ma="http://schemas.microsoft.com/office/2006/metadata/properties/metaAttributes" ct:_="" ma:_="" ma:contentTypeName="Other" ma:contentTypeID="0x0101001B29A5457858BB40B9775B98A0F7A8170008568BB86168FA459DE97FE121B2551D" ma:contentTypeVersion="22" ma:contentTypeDescription="Any item containing internal Ofgem or external information" ma:contentTypeScope="" ma:versionID="9c046e71aba5f806693b1e1083a30b14">
  <xsd:schema xmlns:xsd="http://www.w3.org/2001/XMLSchema" xmlns:p="http://schemas.microsoft.com/office/2006/metadata/properties" xmlns:ns2="2cd398cc-5242-4f22-a36e-b22b9499e21b" targetNamespace="http://schemas.microsoft.com/office/2006/metadata/properties" ma:root="true" ma:fieldsID="98c1c71aa7fc4ace8668b4d901cd150e"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Keywords-"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Keywords-" ma:index="15" nillable="true" ma:displayName="Keywords-" ma:default="" ma:internalName="Keywords_x002d_">
      <xsd:simpleType>
        <xsd:restriction base="dms:Note"/>
      </xsd:simpleType>
    </xsd:element>
    <xsd:element name="Ref_x0020_No_x0020_New" ma:index="16"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B925C60-452A-4FA6-A5A8-F6909E40021F}"/>
</file>

<file path=customXml/itemProps2.xml><?xml version="1.0" encoding="utf-8"?>
<ds:datastoreItem xmlns:ds="http://schemas.openxmlformats.org/officeDocument/2006/customXml" ds:itemID="{F8697B6F-2C7D-4692-81B4-4C970823BC17}"/>
</file>

<file path=customXml/itemProps3.xml><?xml version="1.0" encoding="utf-8"?>
<ds:datastoreItem xmlns:ds="http://schemas.openxmlformats.org/officeDocument/2006/customXml" ds:itemID="{1E0D50A1-3A8A-477B-90FE-758CFD8E459D}"/>
</file>

<file path=customXml/itemProps4.xml><?xml version="1.0" encoding="utf-8"?>
<ds:datastoreItem xmlns:ds="http://schemas.openxmlformats.org/officeDocument/2006/customXml" ds:itemID="{F731987F-4651-4678-AC8F-3D56C974C5E2}"/>
</file>

<file path=customXml/itemProps5.xml><?xml version="1.0" encoding="utf-8"?>
<ds:datastoreItem xmlns:ds="http://schemas.openxmlformats.org/officeDocument/2006/customXml" ds:itemID="{AF72DD01-D438-4AFD-AFC7-5709DE5546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194</vt:i4>
      </vt:variant>
    </vt:vector>
  </HeadingPairs>
  <TitlesOfParts>
    <vt:vector size="213" baseType="lpstr">
      <vt:lpstr>R1 Cover</vt:lpstr>
      <vt:lpstr>R2 Schematic</vt:lpstr>
      <vt:lpstr>R3 Version log</vt:lpstr>
      <vt:lpstr>R4 Licence Condition Values</vt:lpstr>
      <vt:lpstr>R5 Input page</vt:lpstr>
      <vt:lpstr>R6 Losses DG Input</vt:lpstr>
      <vt:lpstr>R7 Metering Inputs</vt:lpstr>
      <vt:lpstr>R8 Reconciliation Inputs</vt:lpstr>
      <vt:lpstr>R9 Base Demand Revenue</vt:lpstr>
      <vt:lpstr>R10 Pass Throughs</vt:lpstr>
      <vt:lpstr>R11 Losses DG Adj</vt:lpstr>
      <vt:lpstr>R12 Incentives</vt:lpstr>
      <vt:lpstr>R13 LCN</vt:lpstr>
      <vt:lpstr>R14 Distributed Generation</vt:lpstr>
      <vt:lpstr>R15 Correction Factor</vt:lpstr>
      <vt:lpstr>R16 Combined Allowed Revenue</vt:lpstr>
      <vt:lpstr>R17 Metering</vt:lpstr>
      <vt:lpstr>R18 Output Summary</vt:lpstr>
      <vt:lpstr>R19 Forecast Return</vt:lpstr>
      <vt:lpstr>Act_1</vt:lpstr>
      <vt:lpstr>Act_2</vt:lpstr>
      <vt:lpstr>Act_3</vt:lpstr>
      <vt:lpstr>Act_4</vt:lpstr>
      <vt:lpstr>Act_5</vt:lpstr>
      <vt:lpstr>Act_6</vt:lpstr>
      <vt:lpstr>Act_7</vt:lpstr>
      <vt:lpstr>Act_8</vt:lpstr>
      <vt:lpstr>AEV</vt:lpstr>
      <vt:lpstr>AF</vt:lpstr>
      <vt:lpstr>AL</vt:lpstr>
      <vt:lpstr>ALC</vt:lpstr>
      <vt:lpstr>ALL</vt:lpstr>
      <vt:lpstr>ALP</vt:lpstr>
      <vt:lpstr>ARt</vt:lpstr>
      <vt:lpstr>ARt_1</vt:lpstr>
      <vt:lpstr>ARt_1_2010_11</vt:lpstr>
      <vt:lpstr>AUM</vt:lpstr>
      <vt:lpstr>BR</vt:lpstr>
      <vt:lpstr>CGSRA</vt:lpstr>
      <vt:lpstr>CGSSP</vt:lpstr>
      <vt:lpstr>Chg_KPPM</vt:lpstr>
      <vt:lpstr>Chg_MRSPCM</vt:lpstr>
      <vt:lpstr>Chg_MRSPPM</vt:lpstr>
      <vt:lpstr>Chg_NHHCTM</vt:lpstr>
      <vt:lpstr>Chg_PPMRWCM</vt:lpstr>
      <vt:lpstr>Chg_PPSRWCM</vt:lpstr>
      <vt:lpstr>Chg_SPPM</vt:lpstr>
      <vt:lpstr>Chg_SRCM</vt:lpstr>
      <vt:lpstr>Chg_TPPM</vt:lpstr>
      <vt:lpstr>COL</vt:lpstr>
      <vt:lpstr>COMPNAME</vt:lpstr>
      <vt:lpstr>CTRA</vt:lpstr>
      <vt:lpstr>De_minimis</vt:lpstr>
      <vt:lpstr>DGA</vt:lpstr>
      <vt:lpstr>DS</vt:lpstr>
      <vt:lpstr>ELA_MRSPCM</vt:lpstr>
      <vt:lpstr>ELA_MRSPPM</vt:lpstr>
      <vt:lpstr>ELA_NNHCTM</vt:lpstr>
      <vt:lpstr>ELA_PPMRWCM</vt:lpstr>
      <vt:lpstr>ELA_PPSRWCM</vt:lpstr>
      <vt:lpstr>EP</vt:lpstr>
      <vt:lpstr>ES_1</vt:lpstr>
      <vt:lpstr>ES_2</vt:lpstr>
      <vt:lpstr>ES_3</vt:lpstr>
      <vt:lpstr>ES_4</vt:lpstr>
      <vt:lpstr>ES_5</vt:lpstr>
      <vt:lpstr>ES_6</vt:lpstr>
      <vt:lpstr>ES_7</vt:lpstr>
      <vt:lpstr>ES_Total</vt:lpstr>
      <vt:lpstr>FV_SRCM</vt:lpstr>
      <vt:lpstr>gc</vt:lpstr>
      <vt:lpstr>gcz</vt:lpstr>
      <vt:lpstr>GI</vt:lpstr>
      <vt:lpstr>gir</vt:lpstr>
      <vt:lpstr>giz</vt:lpstr>
      <vt:lpstr>GL</vt:lpstr>
      <vt:lpstr>GLA</vt:lpstr>
      <vt:lpstr>GO</vt:lpstr>
      <vt:lpstr>gor</vt:lpstr>
      <vt:lpstr>GP</vt:lpstr>
      <vt:lpstr>gps</vt:lpstr>
      <vt:lpstr>gt</vt:lpstr>
      <vt:lpstr>HB</vt:lpstr>
      <vt:lpstr>IED</vt:lpstr>
      <vt:lpstr>IEDA</vt:lpstr>
      <vt:lpstr>IFI</vt:lpstr>
      <vt:lpstr>IFIE</vt:lpstr>
      <vt:lpstr>IG</vt:lpstr>
      <vt:lpstr>IL</vt:lpstr>
      <vt:lpstr>Int_rate</vt:lpstr>
      <vt:lpstr>IP</vt:lpstr>
      <vt:lpstr>IQ</vt:lpstr>
      <vt:lpstr>IS</vt:lpstr>
      <vt:lpstr>IT</vt:lpstr>
      <vt:lpstr>K</vt:lpstr>
      <vt:lpstr>KPPM</vt:lpstr>
      <vt:lpstr>KPPMAV</vt:lpstr>
      <vt:lpstr>L</vt:lpstr>
      <vt:lpstr>LA</vt:lpstr>
      <vt:lpstr>LCN</vt:lpstr>
      <vt:lpstr>LCN_Allowance</vt:lpstr>
      <vt:lpstr>LCN1_exp</vt:lpstr>
      <vt:lpstr>LCN2_collect</vt:lpstr>
      <vt:lpstr>LCN2_Disallow</vt:lpstr>
      <vt:lpstr>LCN2_Discret</vt:lpstr>
      <vt:lpstr>LCN2_Funding</vt:lpstr>
      <vt:lpstr>LCN2_Halt</vt:lpstr>
      <vt:lpstr>LCN2_Ry_Cus</vt:lpstr>
      <vt:lpstr>LCN2_Ry_DNO</vt:lpstr>
      <vt:lpstr>LCN3_unrec</vt:lpstr>
      <vt:lpstr>LF</vt:lpstr>
      <vt:lpstr>LK</vt:lpstr>
      <vt:lpstr>LKW</vt:lpstr>
      <vt:lpstr>LP</vt:lpstr>
      <vt:lpstr>LPSA</vt:lpstr>
      <vt:lpstr>LPSC</vt:lpstr>
      <vt:lpstr>LPSF</vt:lpstr>
      <vt:lpstr>LR</vt:lpstr>
      <vt:lpstr>LS</vt:lpstr>
      <vt:lpstr>LSW</vt:lpstr>
      <vt:lpstr>LT</vt:lpstr>
      <vt:lpstr>LTok</vt:lpstr>
      <vt:lpstr>LTW</vt:lpstr>
      <vt:lpstr>MAP</vt:lpstr>
      <vt:lpstr>MEAP_MRSPCM</vt:lpstr>
      <vt:lpstr>MEAP_MRSPPM</vt:lpstr>
      <vt:lpstr>MEAP_NNHCTM</vt:lpstr>
      <vt:lpstr>MEAP_PPMRWCM</vt:lpstr>
      <vt:lpstr>MEAP_PPSRWCM</vt:lpstr>
      <vt:lpstr>MeterES</vt:lpstr>
      <vt:lpstr>MG</vt:lpstr>
      <vt:lpstr>MPA</vt:lpstr>
      <vt:lpstr>MPC</vt:lpstr>
      <vt:lpstr>MPT</vt:lpstr>
      <vt:lpstr>MRSPCM</vt:lpstr>
      <vt:lpstr>MRSPPM</vt:lpstr>
      <vt:lpstr>NHHCTM</vt:lpstr>
      <vt:lpstr>NTC</vt:lpstr>
      <vt:lpstr>Out_Area_other</vt:lpstr>
      <vt:lpstr>Out_Area_UoS</vt:lpstr>
      <vt:lpstr>P</vt:lpstr>
      <vt:lpstr>PCOLt_1</vt:lpstr>
      <vt:lpstr>PF</vt:lpstr>
      <vt:lpstr>PIAB_PIAH</vt:lpstr>
      <vt:lpstr>PIAD</vt:lpstr>
      <vt:lpstr>PIAG</vt:lpstr>
      <vt:lpstr>PIAL</vt:lpstr>
      <vt:lpstr>PIALt_1</vt:lpstr>
      <vt:lpstr>PIALt_2</vt:lpstr>
      <vt:lpstr>PIAO</vt:lpstr>
      <vt:lpstr>PIAT</vt:lpstr>
      <vt:lpstr>PIT</vt:lpstr>
      <vt:lpstr>PPL</vt:lpstr>
      <vt:lpstr>PPMRWCM</vt:lpstr>
      <vt:lpstr>PPSRWCM</vt:lpstr>
      <vt:lpstr>PR</vt:lpstr>
      <vt:lpstr>'R5 Input page'!Print_Area</vt:lpstr>
      <vt:lpstr>'R10 Pass Throughs'!Print_Titles</vt:lpstr>
      <vt:lpstr>'R12 Incentives'!Print_Titles</vt:lpstr>
      <vt:lpstr>'R14 Distributed Generation'!Print_Titles</vt:lpstr>
      <vt:lpstr>'R17 Metering'!Print_Titles</vt:lpstr>
      <vt:lpstr>'R18 Output Summary'!Print_Titles</vt:lpstr>
      <vt:lpstr>'R19 Forecast Return'!Print_Titles</vt:lpstr>
      <vt:lpstr>'R4 Licence Condition Values'!Print_Titles</vt:lpstr>
      <vt:lpstr>'R5 Input page'!Print_Titles</vt:lpstr>
      <vt:lpstr>PT</vt:lpstr>
      <vt:lpstr>ptrg</vt:lpstr>
      <vt:lpstr>PTRI</vt:lpstr>
      <vt:lpstr>PU</vt:lpstr>
      <vt:lpstr>RA</vt:lpstr>
      <vt:lpstr>rate</vt:lpstr>
      <vt:lpstr>RB</vt:lpstr>
      <vt:lpstr>RD</vt:lpstr>
      <vt:lpstr>RDt_1</vt:lpstr>
      <vt:lpstr>RDt_1_2010_11</vt:lpstr>
      <vt:lpstr>Rev_Additional_Type</vt:lpstr>
      <vt:lpstr>Rev_KPPM</vt:lpstr>
      <vt:lpstr>Rev_MRSPCM</vt:lpstr>
      <vt:lpstr>Rev_MRSPPM</vt:lpstr>
      <vt:lpstr>Rev_NHHCTM</vt:lpstr>
      <vt:lpstr>Rev_OtherMeters</vt:lpstr>
      <vt:lpstr>Rev_PPMRWCM</vt:lpstr>
      <vt:lpstr>Rev_PPSRWCM</vt:lpstr>
      <vt:lpstr>Rev_SPPM</vt:lpstr>
      <vt:lpstr>Rev_SRCM</vt:lpstr>
      <vt:lpstr>Rev_TPPM</vt:lpstr>
      <vt:lpstr>RP</vt:lpstr>
      <vt:lpstr>RPI</vt:lpstr>
      <vt:lpstr>RPI_DPCR3</vt:lpstr>
      <vt:lpstr>RPI_DPCR4</vt:lpstr>
      <vt:lpstr>RPZ</vt:lpstr>
      <vt:lpstr>RPZM</vt:lpstr>
      <vt:lpstr>RV</vt:lpstr>
      <vt:lpstr>SEV</vt:lpstr>
      <vt:lpstr>SH</vt:lpstr>
      <vt:lpstr>SHA</vt:lpstr>
      <vt:lpstr>SHB</vt:lpstr>
      <vt:lpstr>SPPM</vt:lpstr>
      <vt:lpstr>SPPMAV</vt:lpstr>
      <vt:lpstr>SRCM</vt:lpstr>
      <vt:lpstr>TA</vt:lpstr>
      <vt:lpstr>TB</vt:lpstr>
      <vt:lpstr>TI</vt:lpstr>
      <vt:lpstr>TIR</vt:lpstr>
      <vt:lpstr>TP</vt:lpstr>
      <vt:lpstr>TPC</vt:lpstr>
      <vt:lpstr>TPPM</vt:lpstr>
      <vt:lpstr>TTPMAV</vt:lpstr>
      <vt:lpstr>TV</vt:lpstr>
      <vt:lpstr>UD</vt:lpstr>
      <vt:lpstr>UIL</vt:lpstr>
      <vt:lpstr>UNC</vt:lpstr>
      <vt:lpstr>UT</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Revenue Reporting Pack</dc:title>
  <dc:subject>Revenue_Reporting_Pack</dc:subject>
  <dc:creator>Ofgem</dc:creator>
  <cp:keywords>electricity distribution revenue rigs</cp:keywords>
  <cp:lastModifiedBy>Hogan</cp:lastModifiedBy>
  <cp:lastPrinted>2012-02-28T16:37:37Z</cp:lastPrinted>
  <dcterms:created xsi:type="dcterms:W3CDTF">2009-10-20T13:26:50Z</dcterms:created>
  <dcterms:modified xsi:type="dcterms:W3CDTF">2012-04-27T13:27:00Z</dcterms:modified>
  <cp:contentType>Other</cp:contentType>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0x0101001B29A5457858BB40B9775B98A0F7A8170008568BB86168FA459DE97FE121B2551D</vt:lpwstr>
  </property>
  <property fmtid="{D5CDD505-2E9C-101B-9397-08002B2CF9AE}" pid="3" name="Organisation">
    <vt:lpwstr>Choose an Organisation</vt:lpwstr>
  </property>
  <property fmtid="{D5CDD505-2E9C-101B-9397-08002B2CF9AE}" pid="4" name="ContentType">
    <vt:lpwstr>Other</vt:lpwstr>
  </property>
  <property fmtid="{D5CDD505-2E9C-101B-9397-08002B2CF9AE}" pid="5" name="Classification">
    <vt:lpwstr>Unclassified</vt:lpwstr>
  </property>
  <property fmtid="{D5CDD505-2E9C-101B-9397-08002B2CF9AE}" pid="6" name="_Status">
    <vt:lpwstr>Published</vt:lpwstr>
  </property>
  <property fmtid="{D5CDD505-2E9C-101B-9397-08002B2CF9AE}" pid="7" name="Applicable Start Date">
    <vt:lpwstr>2012-03-30T23:00:00+00:00</vt:lpwstr>
  </property>
  <property fmtid="{D5CDD505-2E9C-101B-9397-08002B2CF9AE}" pid="8" name="Recipient">
    <vt:lpwstr>DNOs</vt:lpwstr>
  </property>
  <property fmtid="{D5CDD505-2E9C-101B-9397-08002B2CF9AE}" pid="9" name="Applicable Duration">
    <vt:lpwstr>Enduring</vt:lpwstr>
  </property>
  <property fmtid="{D5CDD505-2E9C-101B-9397-08002B2CF9AE}" pid="11" name="DLCPolicyLabelValue">
    <vt:lpwstr>Version : {Version}</vt:lpwstr>
  </property>
  <property fmtid="{D5CDD505-2E9C-101B-9397-08002B2CF9AE}" pid="12" name="DLCPolicyLabelClientValue">
    <vt:lpwstr>Version : {_Version}</vt:lpwstr>
  </property>
  <property fmtid="{D5CDD505-2E9C-101B-9397-08002B2CF9AE}" pid="14" name="Work Area">
    <vt:lpwstr>Electricity Distribution</vt:lpwstr>
  </property>
  <property fmtid="{D5CDD505-2E9C-101B-9397-08002B2CF9AE}" pid="15" name="::">
    <vt:lpwstr>- Subsidiary Document</vt:lpwstr>
  </property>
  <property fmtid="{D5CDD505-2E9C-101B-9397-08002B2CF9AE}" pid="16" name="Keywords-">
    <vt:lpwstr>electricity distribution revenue rigs</vt:lpwstr>
  </property>
  <property fmtid="{D5CDD505-2E9C-101B-9397-08002B2CF9AE}" pid="17" name="Closing Date">
    <vt:lpwstr>1999-11-29T23:00:00+00:00</vt:lpwstr>
  </property>
  <property fmtid="{D5CDD505-2E9C-101B-9397-08002B2CF9AE}" pid="18" name=":">
    <vt:lpwstr>2011/06/03 - RIGS</vt:lpwstr>
  </property>
  <property fmtid="{D5CDD505-2E9C-101B-9397-08002B2CF9AE}" pid="19" name="Publication Date:">
    <vt:lpwstr>2011-05-13T23:00:00+00:00</vt:lpwstr>
  </property>
</Properties>
</file>