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95" windowHeight="7365" activeTab="0"/>
  </bookViews>
  <sheets>
    <sheet name="Instructions" sheetId="1" r:id="rId1"/>
    <sheet name="Master" sheetId="2" r:id="rId2"/>
    <sheet name="Example A6.3" sheetId="3" r:id="rId3"/>
    <sheet name="Example A6.4" sheetId="4" r:id="rId4"/>
    <sheet name="Example A6.5" sheetId="5" r:id="rId5"/>
    <sheet name="Example A6.6" sheetId="6" r:id="rId6"/>
    <sheet name="Example A6.7" sheetId="7" r:id="rId7"/>
    <sheet name="Sheet8" sheetId="8" r:id="rId8"/>
  </sheets>
  <definedNames>
    <definedName name="_xlnm.Print_Area" localSheetId="2">'Example A6.3'!$B$3:$AB$42</definedName>
    <definedName name="_xlnm.Print_Area" localSheetId="3">'Example A6.4'!$B$3:$AB$42</definedName>
    <definedName name="_xlnm.Print_Area" localSheetId="4">'Example A6.5'!$B$3:$AB$42</definedName>
    <definedName name="_xlnm.Print_Area" localSheetId="5">'Example A6.6'!$B$3:$AB$42</definedName>
    <definedName name="_xlnm.Print_Area" localSheetId="6">'Example A6.7'!$B$3:$AB$42</definedName>
    <definedName name="_xlnm.Print_Area" localSheetId="0">'Instructions'!$A$1:$B$30</definedName>
    <definedName name="_xlnm.Print_Area" localSheetId="1">'Master'!$B$3:$AB$42</definedName>
  </definedNames>
  <calcPr fullCalcOnLoad="1"/>
</workbook>
</file>

<file path=xl/sharedStrings.xml><?xml version="1.0" encoding="utf-8"?>
<sst xmlns="http://schemas.openxmlformats.org/spreadsheetml/2006/main" count="289" uniqueCount="68">
  <si>
    <t>Total</t>
  </si>
  <si>
    <t>RIIO period 2 (2021-29)</t>
  </si>
  <si>
    <t>Triennal valuation dates:</t>
  </si>
  <si>
    <t xml:space="preserve">Note: </t>
  </si>
  <si>
    <t>TOs: deficits (on a 15 year notional funding period) should be fully funded at 31-Mar-27</t>
  </si>
  <si>
    <t>started 1 April 2012</t>
  </si>
  <si>
    <t>started 1 April 2013</t>
  </si>
  <si>
    <t>and deficit is actually paid off in 10 years</t>
  </si>
  <si>
    <t>GDNs: deficits (on a 15 year notional funding period) should be fully funded at 31-Mar-28</t>
  </si>
  <si>
    <t>Opening established defict to be funded</t>
  </si>
  <si>
    <t>Total regulatory funding</t>
  </si>
  <si>
    <t>Notional Deficit allowance</t>
  </si>
  <si>
    <t>Future regulatory funding over</t>
  </si>
  <si>
    <t>RIIO period 1 (2013-21)</t>
  </si>
  <si>
    <t>remaining actual NWO years</t>
  </si>
  <si>
    <t>remaining actual notional years</t>
  </si>
  <si>
    <t>NGET, NGG(T), NGG RDNs, DNOs</t>
  </si>
  <si>
    <t>Inefficiency borne by shareholders</t>
  </si>
  <si>
    <t>Yrs</t>
  </si>
  <si>
    <t>PCR start (1 Apr) &amp; end date (31 Mar)</t>
  </si>
  <si>
    <t>Movements in year ended 31 March</t>
  </si>
  <si>
    <t>2014</t>
  </si>
  <si>
    <t xml:space="preserve">Reset dates 1 April </t>
  </si>
  <si>
    <t>Actual repair payments over (+)</t>
  </si>
  <si>
    <t>Inefficient deficit not funded (+)</t>
  </si>
  <si>
    <t>Inefficiency not funded (-)</t>
  </si>
  <si>
    <t>Actual deficit at end of year</t>
  </si>
  <si>
    <t>Revised opening deficit to be funded</t>
  </si>
  <si>
    <t>Year opening efficient costs to be funded</t>
  </si>
  <si>
    <t>Change in deficit at end of year(+)</t>
  </si>
  <si>
    <t>Reverse inefficiency when deficit revised</t>
  </si>
  <si>
    <t>Balance of underfunding at previous reset</t>
  </si>
  <si>
    <t xml:space="preserve">Deficit recovery plan other than straight line </t>
  </si>
  <si>
    <t>Straight line over number of years</t>
  </si>
  <si>
    <t>Funding over remaining notional years</t>
  </si>
  <si>
    <t>Opening Deficit</t>
  </si>
  <si>
    <t>remaining actual NWO years - straight line</t>
  </si>
  <si>
    <t>Cumulative underfunding at year end</t>
  </si>
  <si>
    <t>Enter selected scenario</t>
  </si>
  <si>
    <t>Years ending 31  March</t>
  </si>
  <si>
    <t>Enter reset adjustment to closing year end position</t>
  </si>
  <si>
    <t>Inefficient deficit not funded (+) enter at each reset</t>
  </si>
  <si>
    <t>MASTER</t>
  </si>
  <si>
    <t>INSTRUCTIONS</t>
  </si>
  <si>
    <t>Enter opening defict at 1 April 2013 in cell D13</t>
  </si>
  <si>
    <t>Select basis of funding:</t>
  </si>
  <si>
    <t>If straight line enter number of years in D14</t>
  </si>
  <si>
    <t>If Deficit recovery plan other than straight line enter annual payments in row 15</t>
  </si>
  <si>
    <t>Enter selected scenario in cell C16.  This brings in the appropriate scenario from row 14 or 15</t>
  </si>
  <si>
    <t>Where funding by licensee needs to be revised regardless of scenario, update funding in row 15 and reset cell C16 to "2"</t>
  </si>
  <si>
    <t>MODEL ASSUMPTIONS</t>
  </si>
  <si>
    <t>Only deals with RIIO periods 1 and 2, although can also be assumed to cover TPCR4 Rollover year as year one</t>
  </si>
  <si>
    <t>Regulatory allowance:</t>
  </si>
  <si>
    <t>Enter inefficient deficit not funded (+) enter at each reset, do not enter inefficiencies in other years.  The default is that at a reset the defict is efficient unless additional inefficency entered.</t>
  </si>
  <si>
    <t>Ignores any true-up adjustments from previous price control period</t>
  </si>
  <si>
    <t>Where a significant [efficient] increase in the deficit occurs through increase in longevity (or market movements outside of control and be deemed efficient) near end of 15 years then we reserve option to fund this over a new regulatory funding period to protect consumers (as set out in methodology)</t>
  </si>
  <si>
    <t xml:space="preserve">Allowances reset every three years and efficient unfunded payments funded over residual years of initial 15 year notional funding period equally </t>
  </si>
  <si>
    <t>Enter reset adjustment to closing year end position in row 17.  Default mode is to reset with no change in deficit every three years, unless amount - positive for reduction in defict, negative for increase</t>
  </si>
  <si>
    <t>Ignores truing up to be NPV neutral (for simplicity)</t>
  </si>
  <si>
    <t>Opening deficit will be funded over 15 year notional basis on straight line. 
Therefore there can be no existing regulatory funding which is other than opening deficit spread equally over 15 years</t>
  </si>
  <si>
    <t>CAVEATS</t>
  </si>
  <si>
    <t>Only covers the Established Deficit</t>
  </si>
  <si>
    <t>Any surplus whener arising is not dealt with, as in accordance with the methodology, it will be reviewed on a case-by-case basis at the time. 
However, if a surplus in the established deficit was used to offset/reduce contributions in the incremental deficit, this may be taken as a prima facie case that consumers should also benefit from.</t>
  </si>
  <si>
    <t>The default mode is that at a reset the deficit is efficient unless additional inefficiency entered</t>
  </si>
  <si>
    <t>This model is only for illustrative purposes to show how we may treat the funding and triennial reset and true up of pension deficit costs in RIIO price controls.</t>
  </si>
  <si>
    <t>It is not intended to cover all eventualties, other than the examples illustrated and caution should be exercised when using it on other scenarios.  Guidance may be sought from Ofgem, contact william.mckenzie@ofgem.gov.uk</t>
  </si>
  <si>
    <t>CAUTION</t>
  </si>
  <si>
    <t>ILLUSTRATIVE PENSION DEFICIT FUNDING SCENARIO MODEL 
FOR RIIO PRICE CONTROLS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</si>
</sst>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 numFmtId="166" formatCode="#,##0.0;[Red]\(#,##0.0\)"/>
    <numFmt numFmtId="167" formatCode="0.0"/>
  </numFmts>
  <fonts count="36">
    <font>
      <sz val="10"/>
      <color theme="1"/>
      <name val="Verdana"/>
      <family val="2"/>
    </font>
    <font>
      <sz val="10"/>
      <color indexed="8"/>
      <name val="Verdana"/>
      <family val="2"/>
    </font>
    <font>
      <b/>
      <sz val="10"/>
      <color indexed="8"/>
      <name val="Verdana"/>
      <family val="2"/>
    </font>
    <font>
      <b/>
      <sz val="12"/>
      <color indexed="8"/>
      <name val="Verdana"/>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0"/>
      <color indexed="17"/>
      <name val="Verdana"/>
      <family val="2"/>
    </font>
    <font>
      <sz val="10"/>
      <color indexed="20"/>
      <name val="Verdana"/>
      <family val="2"/>
    </font>
    <font>
      <sz val="10"/>
      <color indexed="60"/>
      <name val="Verdana"/>
      <family val="2"/>
    </font>
    <font>
      <sz val="10"/>
      <color indexed="62"/>
      <name val="Verdana"/>
      <family val="2"/>
    </font>
    <font>
      <b/>
      <sz val="10"/>
      <color indexed="63"/>
      <name val="Verdana"/>
      <family val="2"/>
    </font>
    <font>
      <b/>
      <sz val="10"/>
      <color indexed="52"/>
      <name val="Verdana"/>
      <family val="2"/>
    </font>
    <font>
      <sz val="10"/>
      <color indexed="52"/>
      <name val="Verdana"/>
      <family val="2"/>
    </font>
    <font>
      <b/>
      <sz val="10"/>
      <color indexed="9"/>
      <name val="Verdana"/>
      <family val="2"/>
    </font>
    <font>
      <sz val="10"/>
      <color indexed="10"/>
      <name val="Verdana"/>
      <family val="2"/>
    </font>
    <font>
      <i/>
      <sz val="10"/>
      <color indexed="23"/>
      <name val="Verdana"/>
      <family val="2"/>
    </font>
    <font>
      <sz val="10"/>
      <color indexed="9"/>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b/>
      <sz val="12"/>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
      <left style="thin"/>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5">
    <xf numFmtId="0" fontId="0" fillId="0" borderId="0" xfId="0" applyAlignment="1">
      <alignment/>
    </xf>
    <xf numFmtId="164" fontId="0" fillId="0" borderId="0" xfId="0" applyNumberFormat="1" applyAlignment="1">
      <alignment/>
    </xf>
    <xf numFmtId="164" fontId="0" fillId="0" borderId="0" xfId="0" applyNumberFormat="1" applyAlignment="1">
      <alignment horizontal="center"/>
    </xf>
    <xf numFmtId="0" fontId="0" fillId="0" borderId="0" xfId="0" applyAlignment="1">
      <alignment horizontal="right"/>
    </xf>
    <xf numFmtId="164" fontId="0" fillId="0" borderId="0" xfId="0" applyNumberFormat="1" applyBorder="1" applyAlignment="1">
      <alignment/>
    </xf>
    <xf numFmtId="0" fontId="0" fillId="0" borderId="10" xfId="0" applyBorder="1" applyAlignment="1">
      <alignment/>
    </xf>
    <xf numFmtId="164" fontId="0" fillId="0" borderId="11" xfId="0" applyNumberFormat="1" applyBorder="1" applyAlignment="1">
      <alignment/>
    </xf>
    <xf numFmtId="164" fontId="0" fillId="0" borderId="12" xfId="0" applyNumberFormat="1" applyBorder="1" applyAlignment="1">
      <alignment/>
    </xf>
    <xf numFmtId="0" fontId="0" fillId="0" borderId="13" xfId="0" applyBorder="1" applyAlignment="1">
      <alignment/>
    </xf>
    <xf numFmtId="0" fontId="0" fillId="0" borderId="0" xfId="0" applyBorder="1" applyAlignment="1">
      <alignment/>
    </xf>
    <xf numFmtId="0" fontId="33" fillId="0" borderId="0" xfId="0" applyFont="1" applyBorder="1" applyAlignment="1">
      <alignment/>
    </xf>
    <xf numFmtId="164" fontId="0" fillId="0" borderId="14"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64" fontId="0" fillId="0" borderId="16" xfId="0" applyNumberFormat="1" applyBorder="1" applyAlignment="1">
      <alignment/>
    </xf>
    <xf numFmtId="164" fontId="0" fillId="0" borderId="17" xfId="0" applyNumberFormat="1" applyBorder="1" applyAlignment="1">
      <alignment/>
    </xf>
    <xf numFmtId="15" fontId="0" fillId="0" borderId="0" xfId="0" applyNumberFormat="1" applyBorder="1" applyAlignment="1">
      <alignment horizontal="center" vertical="distributed"/>
    </xf>
    <xf numFmtId="0" fontId="0" fillId="0" borderId="0" xfId="0" applyFill="1" applyBorder="1" applyAlignment="1">
      <alignment/>
    </xf>
    <xf numFmtId="15" fontId="0" fillId="0" borderId="16" xfId="0" applyNumberFormat="1" applyBorder="1" applyAlignment="1">
      <alignment horizontal="center" vertical="distributed"/>
    </xf>
    <xf numFmtId="0" fontId="33" fillId="0" borderId="0" xfId="0" applyFont="1" applyFill="1" applyBorder="1" applyAlignment="1">
      <alignment/>
    </xf>
    <xf numFmtId="0" fontId="0" fillId="0" borderId="18" xfId="0" applyBorder="1" applyAlignment="1">
      <alignment horizontal="centerContinuous" vertical="distributed"/>
    </xf>
    <xf numFmtId="0" fontId="0" fillId="0" borderId="19" xfId="0" applyBorder="1" applyAlignment="1">
      <alignment horizontal="centerContinuous" vertical="distributed"/>
    </xf>
    <xf numFmtId="0" fontId="0" fillId="0" borderId="20" xfId="0" applyBorder="1" applyAlignment="1">
      <alignment horizontal="centerContinuous"/>
    </xf>
    <xf numFmtId="0" fontId="0" fillId="0" borderId="19" xfId="0" applyBorder="1" applyAlignment="1">
      <alignment horizontal="centerContinuous"/>
    </xf>
    <xf numFmtId="0" fontId="0" fillId="0" borderId="11" xfId="0" applyBorder="1" applyAlignment="1">
      <alignment/>
    </xf>
    <xf numFmtId="164" fontId="0" fillId="0" borderId="21" xfId="0" applyNumberFormat="1" applyBorder="1" applyAlignment="1">
      <alignment horizontal="center"/>
    </xf>
    <xf numFmtId="164" fontId="0" fillId="0" borderId="0" xfId="0" applyNumberFormat="1" applyBorder="1" applyAlignment="1">
      <alignment horizontal="center"/>
    </xf>
    <xf numFmtId="164" fontId="0" fillId="0" borderId="22" xfId="0" applyNumberFormat="1" applyBorder="1" applyAlignment="1">
      <alignment horizontal="center"/>
    </xf>
    <xf numFmtId="0" fontId="0" fillId="0" borderId="13" xfId="0" applyBorder="1" applyAlignment="1">
      <alignment wrapText="1"/>
    </xf>
    <xf numFmtId="0" fontId="0" fillId="0" borderId="0" xfId="0" applyBorder="1" applyAlignment="1">
      <alignment wrapText="1"/>
    </xf>
    <xf numFmtId="164" fontId="0" fillId="0" borderId="13" xfId="0" applyNumberFormat="1" applyBorder="1" applyAlignment="1">
      <alignment horizontal="center"/>
    </xf>
    <xf numFmtId="164" fontId="0" fillId="0" borderId="11" xfId="0" applyNumberFormat="1" applyBorder="1" applyAlignment="1">
      <alignment/>
    </xf>
    <xf numFmtId="164" fontId="0" fillId="0" borderId="12" xfId="0" applyNumberFormat="1" applyBorder="1" applyAlignment="1">
      <alignment/>
    </xf>
    <xf numFmtId="165" fontId="0" fillId="0" borderId="0" xfId="0" applyNumberFormat="1" applyBorder="1" applyAlignment="1">
      <alignment horizontal="center" vertical="distributed"/>
    </xf>
    <xf numFmtId="165" fontId="0" fillId="0" borderId="0" xfId="0" applyNumberFormat="1" applyBorder="1" applyAlignment="1">
      <alignment horizontal="center"/>
    </xf>
    <xf numFmtId="165" fontId="0" fillId="0" borderId="0" xfId="0" applyNumberFormat="1" applyBorder="1" applyAlignment="1">
      <alignment/>
    </xf>
    <xf numFmtId="165" fontId="0" fillId="0" borderId="13" xfId="0" applyNumberFormat="1" applyBorder="1" applyAlignment="1">
      <alignment/>
    </xf>
    <xf numFmtId="164" fontId="0" fillId="0" borderId="10" xfId="0" applyNumberFormat="1" applyBorder="1" applyAlignment="1">
      <alignment/>
    </xf>
    <xf numFmtId="164" fontId="0" fillId="0" borderId="13" xfId="0" applyNumberFormat="1" applyBorder="1" applyAlignment="1">
      <alignment/>
    </xf>
    <xf numFmtId="164" fontId="0" fillId="0" borderId="14" xfId="0" applyNumberFormat="1" applyBorder="1" applyAlignment="1">
      <alignment horizontal="center"/>
    </xf>
    <xf numFmtId="1" fontId="0" fillId="0" borderId="0" xfId="0" applyNumberFormat="1" applyBorder="1" applyAlignment="1">
      <alignment horizontal="center"/>
    </xf>
    <xf numFmtId="1" fontId="0" fillId="0" borderId="13" xfId="0" applyNumberFormat="1" applyBorder="1" applyAlignment="1">
      <alignment horizontal="center" vertical="distributed"/>
    </xf>
    <xf numFmtId="0" fontId="0" fillId="33" borderId="0" xfId="0" applyFill="1" applyBorder="1" applyAlignment="1">
      <alignment/>
    </xf>
    <xf numFmtId="15" fontId="0" fillId="33" borderId="22" xfId="0" applyNumberFormat="1" applyFill="1" applyBorder="1" applyAlignment="1">
      <alignment horizontal="center"/>
    </xf>
    <xf numFmtId="1" fontId="0" fillId="33" borderId="19" xfId="0" applyNumberFormat="1" applyFill="1" applyBorder="1" applyAlignment="1">
      <alignment horizontal="center"/>
    </xf>
    <xf numFmtId="1" fontId="0" fillId="33" borderId="18" xfId="0" applyNumberFormat="1" applyFill="1" applyBorder="1" applyAlignment="1">
      <alignment horizontal="center"/>
    </xf>
    <xf numFmtId="1" fontId="0" fillId="33" borderId="20" xfId="0" applyNumberFormat="1" applyFill="1" applyBorder="1" applyAlignment="1">
      <alignment horizontal="center"/>
    </xf>
    <xf numFmtId="166" fontId="0" fillId="0" borderId="0" xfId="0" applyNumberFormat="1" applyBorder="1" applyAlignment="1">
      <alignment horizontal="center"/>
    </xf>
    <xf numFmtId="166" fontId="0" fillId="0" borderId="13" xfId="0" applyNumberFormat="1" applyBorder="1" applyAlignment="1">
      <alignment horizontal="center"/>
    </xf>
    <xf numFmtId="166" fontId="0" fillId="0" borderId="21" xfId="0" applyNumberFormat="1" applyBorder="1" applyAlignment="1">
      <alignment horizontal="center"/>
    </xf>
    <xf numFmtId="166" fontId="0" fillId="0" borderId="14" xfId="0" applyNumberFormat="1" applyBorder="1" applyAlignment="1">
      <alignment horizontal="center"/>
    </xf>
    <xf numFmtId="166" fontId="0" fillId="0" borderId="22" xfId="0" applyNumberFormat="1" applyBorder="1" applyAlignment="1">
      <alignment horizontal="center"/>
    </xf>
    <xf numFmtId="0" fontId="0" fillId="0" borderId="20" xfId="0" applyBorder="1" applyAlignment="1">
      <alignment horizontal="centerContinuous" vertical="distributed"/>
    </xf>
    <xf numFmtId="1" fontId="0" fillId="0" borderId="14" xfId="0" applyNumberFormat="1" applyBorder="1" applyAlignment="1">
      <alignment horizontal="center" vertical="distributed"/>
    </xf>
    <xf numFmtId="165" fontId="0" fillId="0" borderId="14" xfId="0" applyNumberFormat="1" applyBorder="1" applyAlignment="1">
      <alignment horizontal="center"/>
    </xf>
    <xf numFmtId="1" fontId="0" fillId="0" borderId="13" xfId="0" applyNumberFormat="1" applyBorder="1" applyAlignment="1">
      <alignment horizontal="center"/>
    </xf>
    <xf numFmtId="2" fontId="0" fillId="33" borderId="18" xfId="0" applyNumberFormat="1" applyFill="1" applyBorder="1" applyAlignment="1" quotePrefix="1">
      <alignment horizontal="center"/>
    </xf>
    <xf numFmtId="164" fontId="0" fillId="0" borderId="11" xfId="0" applyNumberFormat="1" applyBorder="1" applyAlignment="1">
      <alignment horizontal="center"/>
    </xf>
    <xf numFmtId="167" fontId="0" fillId="0" borderId="0" xfId="0" applyNumberFormat="1" applyAlignment="1">
      <alignment/>
    </xf>
    <xf numFmtId="166" fontId="0" fillId="0" borderId="15" xfId="0" applyNumberFormat="1" applyBorder="1" applyAlignment="1">
      <alignment horizontal="center"/>
    </xf>
    <xf numFmtId="166" fontId="0" fillId="0" borderId="16" xfId="0" applyNumberFormat="1" applyBorder="1" applyAlignment="1">
      <alignment horizontal="center"/>
    </xf>
    <xf numFmtId="166" fontId="0" fillId="0" borderId="17" xfId="0" applyNumberFormat="1" applyBorder="1" applyAlignment="1">
      <alignment horizontal="center"/>
    </xf>
    <xf numFmtId="166" fontId="0" fillId="34" borderId="13" xfId="0" applyNumberFormat="1" applyFill="1" applyBorder="1" applyAlignment="1">
      <alignment horizontal="center"/>
    </xf>
    <xf numFmtId="166" fontId="0" fillId="34" borderId="0" xfId="0" applyNumberFormat="1" applyFill="1" applyBorder="1" applyAlignment="1">
      <alignment horizontal="center"/>
    </xf>
    <xf numFmtId="166" fontId="0" fillId="34" borderId="14" xfId="0" applyNumberFormat="1" applyFill="1" applyBorder="1" applyAlignment="1">
      <alignment horizontal="center"/>
    </xf>
    <xf numFmtId="166" fontId="0" fillId="34" borderId="10" xfId="0" applyNumberFormat="1" applyFill="1" applyBorder="1" applyAlignment="1">
      <alignment horizontal="center"/>
    </xf>
    <xf numFmtId="166" fontId="0" fillId="34" borderId="11" xfId="0" applyNumberFormat="1" applyFill="1" applyBorder="1" applyAlignment="1">
      <alignment horizontal="center"/>
    </xf>
    <xf numFmtId="166" fontId="0" fillId="34" borderId="12" xfId="0" applyNumberFormat="1" applyFill="1" applyBorder="1" applyAlignment="1">
      <alignment horizontal="center"/>
    </xf>
    <xf numFmtId="166" fontId="0" fillId="0" borderId="20" xfId="0" applyNumberFormat="1" applyBorder="1" applyAlignment="1">
      <alignment horizontal="center"/>
    </xf>
    <xf numFmtId="164" fontId="0" fillId="35" borderId="23" xfId="0" applyNumberFormat="1" applyFill="1" applyBorder="1" applyAlignment="1">
      <alignment horizontal="center"/>
    </xf>
    <xf numFmtId="164" fontId="0" fillId="0" borderId="15" xfId="0" applyNumberFormat="1" applyBorder="1" applyAlignment="1">
      <alignment/>
    </xf>
    <xf numFmtId="164" fontId="33" fillId="0" borderId="16" xfId="0" applyNumberFormat="1" applyFont="1" applyBorder="1" applyAlignment="1">
      <alignment/>
    </xf>
    <xf numFmtId="0" fontId="0" fillId="0" borderId="17" xfId="0" applyBorder="1" applyAlignment="1">
      <alignment/>
    </xf>
    <xf numFmtId="0" fontId="0" fillId="0" borderId="0" xfId="0" applyFont="1" applyFill="1" applyBorder="1" applyAlignment="1">
      <alignment/>
    </xf>
    <xf numFmtId="164" fontId="0" fillId="0" borderId="0" xfId="0" applyNumberFormat="1" applyFill="1" applyBorder="1" applyAlignment="1">
      <alignment/>
    </xf>
    <xf numFmtId="164" fontId="0" fillId="0" borderId="0" xfId="0" applyNumberFormat="1" applyFont="1" applyBorder="1" applyAlignment="1">
      <alignment/>
    </xf>
    <xf numFmtId="164" fontId="0" fillId="0" borderId="0" xfId="0" applyNumberFormat="1" applyBorder="1" applyAlignment="1">
      <alignment/>
    </xf>
    <xf numFmtId="164" fontId="0" fillId="0" borderId="14" xfId="0" applyNumberFormat="1" applyBorder="1" applyAlignment="1">
      <alignment/>
    </xf>
    <xf numFmtId="166" fontId="0" fillId="0" borderId="13" xfId="0" applyNumberFormat="1" applyFill="1" applyBorder="1" applyAlignment="1">
      <alignment horizontal="center"/>
    </xf>
    <xf numFmtId="0" fontId="0" fillId="0" borderId="13" xfId="0" applyFill="1" applyBorder="1" applyAlignment="1">
      <alignment/>
    </xf>
    <xf numFmtId="164" fontId="0" fillId="0" borderId="0" xfId="0" applyNumberFormat="1" applyFill="1" applyBorder="1" applyAlignment="1">
      <alignment horizontal="center"/>
    </xf>
    <xf numFmtId="166" fontId="0" fillId="0" borderId="24" xfId="0" applyNumberFormat="1" applyFill="1" applyBorder="1" applyAlignment="1">
      <alignment horizontal="center"/>
    </xf>
    <xf numFmtId="164" fontId="0" fillId="0" borderId="0" xfId="0" applyNumberFormat="1" applyFill="1" applyAlignment="1">
      <alignment/>
    </xf>
    <xf numFmtId="0" fontId="0" fillId="0" borderId="0" xfId="0" applyFill="1" applyAlignment="1">
      <alignment/>
    </xf>
    <xf numFmtId="166" fontId="0" fillId="16" borderId="13" xfId="0" applyNumberFormat="1" applyFill="1" applyBorder="1" applyAlignment="1">
      <alignment horizontal="center"/>
    </xf>
    <xf numFmtId="166" fontId="0" fillId="16" borderId="0" xfId="0" applyNumberFormat="1" applyFill="1" applyBorder="1" applyAlignment="1">
      <alignment horizontal="center"/>
    </xf>
    <xf numFmtId="166" fontId="0" fillId="16" borderId="14" xfId="0" applyNumberFormat="1" applyFill="1" applyBorder="1" applyAlignment="1">
      <alignment horizontal="center"/>
    </xf>
    <xf numFmtId="0" fontId="0" fillId="16" borderId="0" xfId="0" applyFill="1" applyBorder="1" applyAlignment="1">
      <alignment/>
    </xf>
    <xf numFmtId="166" fontId="0" fillId="16" borderId="18" xfId="0" applyNumberFormat="1" applyFill="1" applyBorder="1" applyAlignment="1">
      <alignment horizontal="center"/>
    </xf>
    <xf numFmtId="166" fontId="0" fillId="16" borderId="19" xfId="0" applyNumberFormat="1" applyFill="1" applyBorder="1" applyAlignment="1">
      <alignment horizontal="center"/>
    </xf>
    <xf numFmtId="166" fontId="0" fillId="16" borderId="20" xfId="0" applyNumberFormat="1" applyFill="1" applyBorder="1" applyAlignment="1">
      <alignment horizontal="center"/>
    </xf>
    <xf numFmtId="164" fontId="0" fillId="0" borderId="22" xfId="0" applyNumberFormat="1" applyFill="1" applyBorder="1" applyAlignment="1">
      <alignment horizontal="center"/>
    </xf>
    <xf numFmtId="164" fontId="0" fillId="0" borderId="22" xfId="0" applyNumberFormat="1" applyFont="1" applyBorder="1" applyAlignment="1">
      <alignment horizontal="center"/>
    </xf>
    <xf numFmtId="0" fontId="0" fillId="0" borderId="22" xfId="0" applyFont="1" applyBorder="1" applyAlignment="1">
      <alignment horizontal="center"/>
    </xf>
    <xf numFmtId="164" fontId="0" fillId="0" borderId="0" xfId="0" applyNumberFormat="1" applyFont="1" applyFill="1" applyBorder="1" applyAlignment="1">
      <alignment/>
    </xf>
    <xf numFmtId="166" fontId="0" fillId="33" borderId="16" xfId="0" applyNumberFormat="1" applyFill="1" applyBorder="1" applyAlignment="1">
      <alignment horizontal="center"/>
    </xf>
    <xf numFmtId="166" fontId="0" fillId="33" borderId="17" xfId="0" applyNumberFormat="1" applyFill="1" applyBorder="1" applyAlignment="1">
      <alignment horizontal="center"/>
    </xf>
    <xf numFmtId="164" fontId="0" fillId="35" borderId="15" xfId="0" applyNumberFormat="1" applyFill="1" applyBorder="1" applyAlignment="1">
      <alignment horizontal="center"/>
    </xf>
    <xf numFmtId="2" fontId="0" fillId="33" borderId="22" xfId="0" applyNumberFormat="1" applyFill="1" applyBorder="1" applyAlignment="1" quotePrefix="1">
      <alignment horizontal="center"/>
    </xf>
    <xf numFmtId="1" fontId="0" fillId="33" borderId="22" xfId="0" applyNumberFormat="1" applyFill="1" applyBorder="1" applyAlignment="1">
      <alignment horizontal="center"/>
    </xf>
    <xf numFmtId="0" fontId="0" fillId="0" borderId="22" xfId="0" applyBorder="1" applyAlignment="1">
      <alignment horizontal="center"/>
    </xf>
    <xf numFmtId="164" fontId="0" fillId="35" borderId="22" xfId="0" applyNumberFormat="1" applyFill="1" applyBorder="1" applyAlignment="1">
      <alignment horizontal="center"/>
    </xf>
    <xf numFmtId="166" fontId="0" fillId="35" borderId="22" xfId="0" applyNumberFormat="1" applyFill="1" applyBorder="1" applyAlignment="1">
      <alignment horizontal="center"/>
    </xf>
    <xf numFmtId="164" fontId="0" fillId="0" borderId="18" xfId="0" applyNumberFormat="1" applyBorder="1" applyAlignment="1">
      <alignment/>
    </xf>
    <xf numFmtId="164" fontId="0" fillId="0" borderId="19" xfId="0" applyNumberFormat="1" applyBorder="1" applyAlignment="1">
      <alignment/>
    </xf>
    <xf numFmtId="164" fontId="0" fillId="0" borderId="20" xfId="0" applyNumberFormat="1" applyBorder="1" applyAlignment="1">
      <alignment/>
    </xf>
    <xf numFmtId="164" fontId="0" fillId="33" borderId="21" xfId="0" applyNumberFormat="1" applyFill="1" applyBorder="1" applyAlignment="1">
      <alignment horizontal="center"/>
    </xf>
    <xf numFmtId="166" fontId="0" fillId="33" borderId="10" xfId="0" applyNumberFormat="1" applyFill="1" applyBorder="1" applyAlignment="1">
      <alignment horizontal="center"/>
    </xf>
    <xf numFmtId="166" fontId="0" fillId="33" borderId="11" xfId="0" applyNumberFormat="1" applyFill="1" applyBorder="1" applyAlignment="1">
      <alignment horizontal="center"/>
    </xf>
    <xf numFmtId="166" fontId="0" fillId="33" borderId="12" xfId="0" applyNumberFormat="1" applyFill="1" applyBorder="1" applyAlignment="1">
      <alignment horizontal="center"/>
    </xf>
    <xf numFmtId="166" fontId="0" fillId="33" borderId="13" xfId="0" applyNumberFormat="1" applyFill="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1" fontId="0" fillId="0" borderId="14" xfId="0" applyNumberFormat="1" applyBorder="1" applyAlignment="1">
      <alignment horizontal="center"/>
    </xf>
    <xf numFmtId="166" fontId="0" fillId="33" borderId="15" xfId="0" applyNumberFormat="1" applyFill="1" applyBorder="1" applyAlignment="1">
      <alignment horizontal="center"/>
    </xf>
    <xf numFmtId="0" fontId="0" fillId="33" borderId="13" xfId="0" applyFill="1" applyBorder="1" applyAlignment="1">
      <alignment wrapText="1"/>
    </xf>
    <xf numFmtId="0" fontId="0" fillId="33" borderId="0" xfId="0" applyFill="1" applyBorder="1" applyAlignment="1">
      <alignment wrapText="1"/>
    </xf>
    <xf numFmtId="166" fontId="0" fillId="33" borderId="14" xfId="0" applyNumberFormat="1" applyFill="1" applyBorder="1" applyAlignment="1">
      <alignment horizontal="center"/>
    </xf>
    <xf numFmtId="164" fontId="0" fillId="33" borderId="0" xfId="0" applyNumberFormat="1" applyFill="1" applyAlignment="1">
      <alignment/>
    </xf>
    <xf numFmtId="0" fontId="0" fillId="33" borderId="0" xfId="0" applyFill="1" applyAlignment="1">
      <alignment/>
    </xf>
    <xf numFmtId="166" fontId="0" fillId="7" borderId="22" xfId="0" applyNumberFormat="1" applyFill="1" applyBorder="1" applyAlignment="1">
      <alignment horizontal="center"/>
    </xf>
    <xf numFmtId="0" fontId="33" fillId="0" borderId="0" xfId="0" applyFont="1" applyAlignment="1">
      <alignment/>
    </xf>
    <xf numFmtId="0" fontId="0" fillId="0" borderId="0" xfId="0" applyAlignment="1">
      <alignment wrapText="1"/>
    </xf>
    <xf numFmtId="0" fontId="0" fillId="0" borderId="0" xfId="0" applyAlignment="1">
      <alignment horizontal="left" wrapText="1"/>
    </xf>
    <xf numFmtId="164" fontId="0" fillId="0" borderId="0" xfId="0" applyNumberFormat="1" applyFill="1" applyBorder="1" applyAlignment="1">
      <alignment wrapText="1"/>
    </xf>
    <xf numFmtId="0" fontId="33" fillId="0" borderId="0" xfId="0" applyFont="1" applyAlignment="1">
      <alignment wrapText="1"/>
    </xf>
    <xf numFmtId="0" fontId="0" fillId="0" borderId="0" xfId="0" applyAlignment="1">
      <alignment horizontal="left" wrapText="1" indent="1"/>
    </xf>
    <xf numFmtId="0" fontId="35" fillId="0" borderId="0" xfId="0" applyFont="1" applyAlignment="1">
      <alignment/>
    </xf>
    <xf numFmtId="0" fontId="0" fillId="0" borderId="0" xfId="0" applyAlignment="1">
      <alignment vertical="top"/>
    </xf>
    <xf numFmtId="0" fontId="33" fillId="0" borderId="0" xfId="0" applyFont="1" applyAlignment="1">
      <alignment horizontal="center" vertical="top"/>
    </xf>
    <xf numFmtId="0" fontId="35" fillId="0" borderId="0" xfId="0" applyFont="1" applyAlignment="1">
      <alignment horizontal="left" wrapText="1"/>
    </xf>
    <xf numFmtId="15" fontId="0" fillId="0" borderId="24" xfId="0" applyNumberFormat="1" applyBorder="1" applyAlignment="1">
      <alignment horizontal="center" vertical="distributed" wrapText="1"/>
    </xf>
    <xf numFmtId="15" fontId="0" fillId="0" borderId="21" xfId="0" applyNumberFormat="1" applyBorder="1" applyAlignment="1">
      <alignment horizontal="center" vertical="distributed"/>
    </xf>
    <xf numFmtId="15" fontId="0" fillId="0" borderId="23" xfId="0" applyNumberFormat="1" applyBorder="1" applyAlignment="1">
      <alignment horizontal="center" vertical="distributed"/>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31"/>
  <sheetViews>
    <sheetView tabSelected="1" zoomScalePageLayoutView="0" workbookViewId="0" topLeftCell="A1">
      <selection activeCell="G14" sqref="G14"/>
    </sheetView>
  </sheetViews>
  <sheetFormatPr defaultColWidth="9.00390625" defaultRowHeight="12.75"/>
  <cols>
    <col min="1" max="1" width="3.25390625" style="0" customWidth="1"/>
    <col min="2" max="2" width="80.00390625" style="0" customWidth="1"/>
  </cols>
  <sheetData>
    <row r="1" spans="1:2" ht="30.75" customHeight="1">
      <c r="A1" s="131" t="s">
        <v>67</v>
      </c>
      <c r="B1" s="131"/>
    </row>
    <row r="2" ht="15">
      <c r="A2" s="128"/>
    </row>
    <row r="3" spans="1:2" ht="15">
      <c r="A3" s="128"/>
      <c r="B3" s="122" t="s">
        <v>66</v>
      </c>
    </row>
    <row r="4" spans="1:2" ht="25.5">
      <c r="A4" s="128"/>
      <c r="B4" s="125" t="s">
        <v>64</v>
      </c>
    </row>
    <row r="5" spans="1:2" ht="38.25">
      <c r="A5" s="128"/>
      <c r="B5" s="125" t="s">
        <v>65</v>
      </c>
    </row>
    <row r="6" ht="15">
      <c r="A6" s="128"/>
    </row>
    <row r="7" ht="12.75">
      <c r="B7" s="122" t="s">
        <v>43</v>
      </c>
    </row>
    <row r="8" spans="1:2" ht="12.75">
      <c r="A8" s="130">
        <v>1</v>
      </c>
      <c r="B8" s="123" t="s">
        <v>44</v>
      </c>
    </row>
    <row r="9" spans="1:2" ht="12.75">
      <c r="A9" s="130">
        <f>+A8+1</f>
        <v>2</v>
      </c>
      <c r="B9" s="123" t="s">
        <v>45</v>
      </c>
    </row>
    <row r="10" spans="1:2" ht="12.75">
      <c r="A10" s="130">
        <f aca="true" t="shared" si="0" ref="A10:A15">+A9+1</f>
        <v>3</v>
      </c>
      <c r="B10" s="127" t="s">
        <v>46</v>
      </c>
    </row>
    <row r="11" spans="1:2" ht="12.75">
      <c r="A11" s="130">
        <f t="shared" si="0"/>
        <v>4</v>
      </c>
      <c r="B11" s="127" t="s">
        <v>47</v>
      </c>
    </row>
    <row r="12" spans="1:2" ht="12.75" customHeight="1">
      <c r="A12" s="130">
        <f t="shared" si="0"/>
        <v>5</v>
      </c>
      <c r="B12" s="127" t="s">
        <v>48</v>
      </c>
    </row>
    <row r="13" spans="1:2" ht="38.25">
      <c r="A13" s="130">
        <f t="shared" si="0"/>
        <v>6</v>
      </c>
      <c r="B13" s="125" t="s">
        <v>57</v>
      </c>
    </row>
    <row r="14" spans="1:2" ht="39.75" customHeight="1">
      <c r="A14" s="130">
        <f t="shared" si="0"/>
        <v>7</v>
      </c>
      <c r="B14" s="123" t="s">
        <v>53</v>
      </c>
    </row>
    <row r="15" spans="1:2" ht="25.5">
      <c r="A15" s="130">
        <f t="shared" si="0"/>
        <v>8</v>
      </c>
      <c r="B15" s="123" t="s">
        <v>49</v>
      </c>
    </row>
    <row r="16" spans="1:2" ht="12.75">
      <c r="A16" s="130"/>
      <c r="B16" s="123"/>
    </row>
    <row r="17" spans="1:2" ht="12.75">
      <c r="A17" s="130"/>
      <c r="B17" s="126" t="s">
        <v>50</v>
      </c>
    </row>
    <row r="18" spans="1:2" ht="25.5">
      <c r="A18" s="130">
        <v>1</v>
      </c>
      <c r="B18" s="123" t="s">
        <v>51</v>
      </c>
    </row>
    <row r="19" spans="1:2" ht="12.75">
      <c r="A19" s="130">
        <f>+A18+1</f>
        <v>2</v>
      </c>
      <c r="B19" s="123" t="s">
        <v>61</v>
      </c>
    </row>
    <row r="20" spans="1:2" ht="12.75">
      <c r="A20" s="130">
        <f aca="true" t="shared" si="1" ref="A20:A25">+A19+1</f>
        <v>3</v>
      </c>
      <c r="B20" s="123" t="s">
        <v>52</v>
      </c>
    </row>
    <row r="21" spans="1:2" ht="38.25">
      <c r="A21" s="130"/>
      <c r="B21" s="127" t="s">
        <v>59</v>
      </c>
    </row>
    <row r="22" spans="1:2" ht="25.5">
      <c r="A22" s="130"/>
      <c r="B22" s="127" t="s">
        <v>56</v>
      </c>
    </row>
    <row r="23" spans="1:2" ht="12.75">
      <c r="A23" s="130">
        <f>+A20+1</f>
        <v>4</v>
      </c>
      <c r="B23" t="s">
        <v>63</v>
      </c>
    </row>
    <row r="24" spans="1:2" ht="12.75">
      <c r="A24" s="130">
        <f t="shared" si="1"/>
        <v>5</v>
      </c>
      <c r="B24" t="s">
        <v>58</v>
      </c>
    </row>
    <row r="25" spans="1:2" ht="12.75">
      <c r="A25" s="130">
        <f t="shared" si="1"/>
        <v>6</v>
      </c>
      <c r="B25" t="s">
        <v>54</v>
      </c>
    </row>
    <row r="26" ht="12.75">
      <c r="A26" s="130"/>
    </row>
    <row r="27" spans="1:2" ht="12.75">
      <c r="A27" s="130"/>
      <c r="B27" s="122" t="s">
        <v>60</v>
      </c>
    </row>
    <row r="28" spans="1:2" ht="51">
      <c r="A28" s="130">
        <v>1</v>
      </c>
      <c r="B28" s="124" t="s">
        <v>55</v>
      </c>
    </row>
    <row r="29" spans="1:2" ht="63.75">
      <c r="A29" s="130">
        <f>+A28+1</f>
        <v>2</v>
      </c>
      <c r="B29" s="123" t="s">
        <v>62</v>
      </c>
    </row>
    <row r="30" ht="12.75">
      <c r="A30" s="129"/>
    </row>
    <row r="31" ht="12.75">
      <c r="A31" s="129"/>
    </row>
  </sheetData>
  <sheetProtection/>
  <mergeCells count="1">
    <mergeCell ref="A1:B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R17" activeCellId="4" sqref="F17 I17 L17 O17 R17"/>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450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30</v>
      </c>
      <c r="F14" s="101">
        <f>IF(F5&gt;0,(+$D$13-SUM($E$17:E17))/$D$14,0)</f>
        <v>30</v>
      </c>
      <c r="G14" s="101">
        <f>IF(G5&gt;0,(+$D$13-SUM($E$17:F17))/$D$14,0)</f>
        <v>29.999993333333336</v>
      </c>
      <c r="H14" s="101">
        <f>IF(H5&gt;0,(+$D$13-SUM($E$17:G17))/$D$14,0)</f>
        <v>29.999993333333336</v>
      </c>
      <c r="I14" s="101">
        <f>IF(I5&gt;0,(+$D$13-SUM($E$17:H17))/$D$14,0)</f>
        <v>29.999993333333336</v>
      </c>
      <c r="J14" s="101">
        <f>IF(J5&gt;0,(+$D$13-SUM($E$17:I17))/$D$14,0)</f>
        <v>29.999986666666665</v>
      </c>
      <c r="K14" s="101">
        <f>IF(K5&gt;0,(+$D$13-SUM($E$17:J17))/$D$14,0)</f>
        <v>29.999986666666665</v>
      </c>
      <c r="L14" s="101">
        <f>IF(L5&gt;0,(+$D$13-SUM($E$17:K17))/$D$14,0)</f>
        <v>29.999986666666665</v>
      </c>
      <c r="M14" s="101">
        <f>IF(M5&gt;0,(+$D$13-SUM($E$17:L17))/$D$14,0)</f>
        <v>29.99998</v>
      </c>
      <c r="N14" s="101">
        <f>IF(N5&gt;0,(+$D$13-SUM($E$17:M17))/$D$14,0)</f>
        <v>29.99998</v>
      </c>
      <c r="O14" s="101">
        <f>IF(O5&gt;0,(+$D$13-SUM($E$17:N17))/$D$14,0)</f>
        <v>29.99998</v>
      </c>
      <c r="P14" s="101">
        <f>IF(P5&gt;0,(+$D$13-SUM($E$17:O17))/$D$14,0)</f>
        <v>29.999973333333333</v>
      </c>
      <c r="Q14" s="101">
        <f>IF(Q5&gt;0,(+$D$13-SUM($E$17:P17))/$D$14,0)</f>
        <v>29.999973333333333</v>
      </c>
      <c r="R14" s="101">
        <f>IF(R5&gt;0,(+$D$13-SUM($E$17:Q17))/$D$14,0)</f>
        <v>29.999973333333333</v>
      </c>
      <c r="S14" s="101">
        <f>IF(S5&gt;0,(+$D$13-SUM($E$17:R17))/$D$14,0)</f>
        <v>29.99996666666667</v>
      </c>
      <c r="T14" s="101">
        <f>IF(T5&gt;0,(+$D$13-SUM($E$17:S17))/$D$14,0)</f>
        <v>0</v>
      </c>
      <c r="U14" s="52">
        <f>-SUM(E14:T14)</f>
        <v>-449.99976666666674</v>
      </c>
      <c r="W14" s="1"/>
      <c r="X14" s="1"/>
      <c r="Y14" s="1"/>
      <c r="Z14" s="1"/>
    </row>
    <row r="15" spans="1:26" ht="12.75">
      <c r="A15" s="39"/>
      <c r="B15" s="9" t="s">
        <v>32</v>
      </c>
      <c r="C15" s="94">
        <v>2</v>
      </c>
      <c r="E15" s="102">
        <v>40</v>
      </c>
      <c r="F15" s="102">
        <v>40</v>
      </c>
      <c r="G15" s="102">
        <f>-F29/($T$13-G13)</f>
        <v>29.99999230769231</v>
      </c>
      <c r="H15" s="102">
        <f>+G15</f>
        <v>29.99999230769231</v>
      </c>
      <c r="I15" s="102">
        <f>+H15</f>
        <v>29.99999230769231</v>
      </c>
      <c r="J15" s="102">
        <f>-I29/($T$13-J13)</f>
        <v>29.999982</v>
      </c>
      <c r="K15" s="102">
        <f>+J15</f>
        <v>29.999982</v>
      </c>
      <c r="L15" s="102">
        <f>+K15</f>
        <v>29.999982</v>
      </c>
      <c r="M15" s="102">
        <f>-L29/($T$13-M13)</f>
        <v>29.999965714285715</v>
      </c>
      <c r="N15" s="102">
        <f>+M15</f>
        <v>29.999965714285715</v>
      </c>
      <c r="O15" s="102">
        <f>+N15</f>
        <v>29.999965714285715</v>
      </c>
      <c r="P15" s="102">
        <f>-O29/($T$13-P13)</f>
        <v>29.999930000000006</v>
      </c>
      <c r="Q15" s="102">
        <f>+P15</f>
        <v>29.999930000000006</v>
      </c>
      <c r="R15" s="102">
        <f>+Q15</f>
        <v>29.999930000000006</v>
      </c>
      <c r="S15" s="102">
        <f>-R29/($T$13-S13)</f>
        <v>29.999700000000033</v>
      </c>
      <c r="T15" s="102"/>
      <c r="U15" s="52">
        <f>-SUM(E15:T15)</f>
        <v>-469.99931006593414</v>
      </c>
      <c r="W15" s="1"/>
      <c r="X15" s="1"/>
      <c r="Y15" s="1"/>
      <c r="Z15" s="1"/>
    </row>
    <row r="16" spans="1:23" ht="12.75">
      <c r="A16" s="8"/>
      <c r="B16" s="95" t="s">
        <v>38</v>
      </c>
      <c r="C16" s="70">
        <v>1</v>
      </c>
      <c r="E16" s="92">
        <f>VLOOKUP($C$16,$C$14:$T$15,E1+2)</f>
        <v>30</v>
      </c>
      <c r="F16" s="92">
        <f aca="true" t="shared" si="4" ref="F16:T16">VLOOKUP($C$16,$C$14:$T$15,F1+2)</f>
        <v>30</v>
      </c>
      <c r="G16" s="92">
        <f t="shared" si="4"/>
        <v>29.999993333333336</v>
      </c>
      <c r="H16" s="92">
        <f t="shared" si="4"/>
        <v>29.999993333333336</v>
      </c>
      <c r="I16" s="92">
        <f t="shared" si="4"/>
        <v>29.999993333333336</v>
      </c>
      <c r="J16" s="92">
        <f t="shared" si="4"/>
        <v>29.999986666666665</v>
      </c>
      <c r="K16" s="92">
        <f t="shared" si="4"/>
        <v>29.999986666666665</v>
      </c>
      <c r="L16" s="92">
        <f t="shared" si="4"/>
        <v>29.999986666666665</v>
      </c>
      <c r="M16" s="92">
        <f t="shared" si="4"/>
        <v>29.99998</v>
      </c>
      <c r="N16" s="92">
        <f t="shared" si="4"/>
        <v>29.99998</v>
      </c>
      <c r="O16" s="92">
        <f t="shared" si="4"/>
        <v>29.99998</v>
      </c>
      <c r="P16" s="92">
        <f t="shared" si="4"/>
        <v>29.999973333333333</v>
      </c>
      <c r="Q16" s="92">
        <f t="shared" si="4"/>
        <v>29.999973333333333</v>
      </c>
      <c r="R16" s="92">
        <f t="shared" si="4"/>
        <v>29.999973333333333</v>
      </c>
      <c r="S16" s="92">
        <f t="shared" si="4"/>
        <v>29.99996666666667</v>
      </c>
      <c r="T16" s="92">
        <f t="shared" si="4"/>
        <v>0</v>
      </c>
      <c r="U16" s="69">
        <f>-SUM(E16:T16)</f>
        <v>-449.99976666666674</v>
      </c>
      <c r="V16" s="1"/>
      <c r="W16" t="s">
        <v>7</v>
      </c>
    </row>
    <row r="17" spans="1:22" s="84" customFormat="1" ht="12.75">
      <c r="A17" s="80"/>
      <c r="B17" s="75" t="s">
        <v>40</v>
      </c>
      <c r="C17" s="74"/>
      <c r="D17" s="81"/>
      <c r="E17" s="52"/>
      <c r="F17" s="121">
        <v>0.0001</v>
      </c>
      <c r="G17" s="103"/>
      <c r="H17" s="103"/>
      <c r="I17" s="121">
        <v>0.0001</v>
      </c>
      <c r="J17" s="103"/>
      <c r="K17" s="103"/>
      <c r="L17" s="121">
        <v>0.0001</v>
      </c>
      <c r="M17" s="103"/>
      <c r="N17" s="103"/>
      <c r="O17" s="121">
        <v>0.0001</v>
      </c>
      <c r="P17" s="103"/>
      <c r="Q17" s="103"/>
      <c r="R17" s="121">
        <v>0.0001</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-450</v>
      </c>
      <c r="F25" s="48">
        <f>IF(E29&lt;=0,+E29,0)</f>
        <v>-420</v>
      </c>
      <c r="G25" s="48">
        <f aca="true" t="shared" si="6" ref="G25:T25">IF(F29&lt;=0,+F29,0)</f>
        <v>-389.9999</v>
      </c>
      <c r="H25" s="48">
        <f t="shared" si="6"/>
        <v>-359.9999066666667</v>
      </c>
      <c r="I25" s="48">
        <f t="shared" si="6"/>
        <v>-329.9999133333333</v>
      </c>
      <c r="J25" s="48">
        <f t="shared" si="6"/>
        <v>-299.99982</v>
      </c>
      <c r="K25" s="48">
        <f t="shared" si="6"/>
        <v>-269.99983333333336</v>
      </c>
      <c r="L25" s="51">
        <f t="shared" si="6"/>
        <v>-239.99984666666668</v>
      </c>
      <c r="M25" s="49">
        <f t="shared" si="6"/>
        <v>-209.99976</v>
      </c>
      <c r="N25" s="48">
        <f t="shared" si="6"/>
        <v>-179.99978000000002</v>
      </c>
      <c r="O25" s="48">
        <f t="shared" si="6"/>
        <v>-149.99980000000002</v>
      </c>
      <c r="P25" s="48">
        <f t="shared" si="6"/>
        <v>-119.99972000000002</v>
      </c>
      <c r="Q25" s="48">
        <f t="shared" si="6"/>
        <v>-89.9997466666667</v>
      </c>
      <c r="R25" s="48">
        <f t="shared" si="6"/>
        <v>-59.999773333333366</v>
      </c>
      <c r="S25" s="48">
        <f t="shared" si="6"/>
        <v>-29.999700000000033</v>
      </c>
      <c r="T25" s="51">
        <f t="shared" si="6"/>
        <v>0</v>
      </c>
      <c r="U25" s="51"/>
      <c r="V25" s="1"/>
    </row>
    <row r="26" spans="1:22" ht="12.75">
      <c r="A26" s="29"/>
      <c r="B26" s="30" t="s">
        <v>23</v>
      </c>
      <c r="C26" s="30"/>
      <c r="D26" s="26">
        <f>IF(D14=0,0,D14)</f>
        <v>15</v>
      </c>
      <c r="E26" s="60">
        <f aca="true" t="shared" si="7" ref="E26:L26">IF(-E16&gt;=E25,E16,(IF(E$4&gt;0,-E25,0)))</f>
        <v>30</v>
      </c>
      <c r="F26" s="61">
        <f t="shared" si="7"/>
        <v>30</v>
      </c>
      <c r="G26" s="61">
        <f t="shared" si="7"/>
        <v>29.999993333333336</v>
      </c>
      <c r="H26" s="61">
        <f t="shared" si="7"/>
        <v>29.999993333333336</v>
      </c>
      <c r="I26" s="61">
        <f t="shared" si="7"/>
        <v>29.999993333333336</v>
      </c>
      <c r="J26" s="61">
        <f t="shared" si="7"/>
        <v>29.999986666666665</v>
      </c>
      <c r="K26" s="61">
        <f t="shared" si="7"/>
        <v>29.999986666666665</v>
      </c>
      <c r="L26" s="62">
        <f t="shared" si="7"/>
        <v>29.999986666666665</v>
      </c>
      <c r="M26" s="60">
        <f>IF(-M16&gt;=M25,M16,(IF(M$4&gt;0,-M25,0)))</f>
        <v>29.99998</v>
      </c>
      <c r="N26" s="61">
        <f aca="true" t="shared" si="8" ref="N26:T26">IF(-N16&gt;=N25,N16,(IF(N$4&gt;0,-N25,0)))</f>
        <v>29.99998</v>
      </c>
      <c r="O26" s="61">
        <f t="shared" si="8"/>
        <v>29.99998</v>
      </c>
      <c r="P26" s="61">
        <f t="shared" si="8"/>
        <v>29.999973333333333</v>
      </c>
      <c r="Q26" s="61">
        <f t="shared" si="8"/>
        <v>29.999973333333333</v>
      </c>
      <c r="R26" s="61">
        <f t="shared" si="8"/>
        <v>29.999973333333333</v>
      </c>
      <c r="S26" s="61">
        <f t="shared" si="8"/>
        <v>29.999700000000033</v>
      </c>
      <c r="T26" s="62">
        <f t="shared" si="8"/>
        <v>0</v>
      </c>
      <c r="U26" s="51">
        <f>-SUM(E26:T26)</f>
        <v>-449.99950000000007</v>
      </c>
      <c r="V26" s="1"/>
    </row>
    <row r="27" spans="1:22" ht="12.75">
      <c r="A27" s="8"/>
      <c r="B27" s="18" t="s">
        <v>27</v>
      </c>
      <c r="C27" s="18"/>
      <c r="D27" s="26"/>
      <c r="E27" s="63">
        <f>+E25+E26</f>
        <v>-420</v>
      </c>
      <c r="F27" s="64">
        <f aca="true" t="shared" si="9" ref="F27:T27">+F25+F26</f>
        <v>-390</v>
      </c>
      <c r="G27" s="64">
        <f t="shared" si="9"/>
        <v>-359.9999066666667</v>
      </c>
      <c r="H27" s="64">
        <f t="shared" si="9"/>
        <v>-329.9999133333333</v>
      </c>
      <c r="I27" s="64">
        <f t="shared" si="9"/>
        <v>-299.99992</v>
      </c>
      <c r="J27" s="64">
        <f t="shared" si="9"/>
        <v>-269.99983333333336</v>
      </c>
      <c r="K27" s="64">
        <f t="shared" si="9"/>
        <v>-239.99984666666668</v>
      </c>
      <c r="L27" s="65">
        <f t="shared" si="9"/>
        <v>-209.99986</v>
      </c>
      <c r="M27" s="63">
        <f t="shared" si="9"/>
        <v>-179.99978000000002</v>
      </c>
      <c r="N27" s="64">
        <f t="shared" si="9"/>
        <v>-149.99980000000002</v>
      </c>
      <c r="O27" s="64">
        <f t="shared" si="9"/>
        <v>-119.99982000000003</v>
      </c>
      <c r="P27" s="64">
        <f t="shared" si="9"/>
        <v>-89.9997466666667</v>
      </c>
      <c r="Q27" s="64">
        <f t="shared" si="9"/>
        <v>-59.999773333333366</v>
      </c>
      <c r="R27" s="64">
        <f t="shared" si="9"/>
        <v>-29.999800000000032</v>
      </c>
      <c r="S27" s="64">
        <f t="shared" si="9"/>
        <v>0</v>
      </c>
      <c r="T27" s="65">
        <f t="shared" si="9"/>
        <v>0</v>
      </c>
      <c r="U27" s="51"/>
      <c r="V27" s="1"/>
    </row>
    <row r="28" spans="1:22" ht="12.75">
      <c r="A28" s="8"/>
      <c r="B28" s="18" t="s">
        <v>29</v>
      </c>
      <c r="C28" s="18"/>
      <c r="D28" s="26"/>
      <c r="E28" s="111">
        <f>+E17</f>
        <v>0</v>
      </c>
      <c r="F28" s="96">
        <f aca="true" t="shared" si="10" ref="F28:T28">+F17</f>
        <v>0.0001</v>
      </c>
      <c r="G28" s="96">
        <f t="shared" si="10"/>
        <v>0</v>
      </c>
      <c r="H28" s="96">
        <f t="shared" si="10"/>
        <v>0</v>
      </c>
      <c r="I28" s="96">
        <f t="shared" si="10"/>
        <v>0.0001</v>
      </c>
      <c r="J28" s="96">
        <f t="shared" si="10"/>
        <v>0</v>
      </c>
      <c r="K28" s="96">
        <f t="shared" si="10"/>
        <v>0</v>
      </c>
      <c r="L28" s="97">
        <f t="shared" si="10"/>
        <v>0.0001</v>
      </c>
      <c r="M28" s="115">
        <f t="shared" si="10"/>
        <v>0</v>
      </c>
      <c r="N28" s="96">
        <f t="shared" si="10"/>
        <v>0</v>
      </c>
      <c r="O28" s="96">
        <f t="shared" si="10"/>
        <v>0.0001</v>
      </c>
      <c r="P28" s="96">
        <f t="shared" si="10"/>
        <v>0</v>
      </c>
      <c r="Q28" s="96">
        <f t="shared" si="10"/>
        <v>0</v>
      </c>
      <c r="R28" s="96">
        <f t="shared" si="10"/>
        <v>0.0001</v>
      </c>
      <c r="S28" s="96">
        <f t="shared" si="10"/>
        <v>0</v>
      </c>
      <c r="T28" s="97">
        <f t="shared" si="10"/>
        <v>0</v>
      </c>
      <c r="U28" s="51">
        <f>SUM(E25,E28:T28)</f>
        <v>-449.9995000000001</v>
      </c>
      <c r="V28" s="1"/>
    </row>
    <row r="29" spans="1:22" ht="12.75">
      <c r="A29" s="29"/>
      <c r="B29" s="30" t="s">
        <v>26</v>
      </c>
      <c r="C29" s="30"/>
      <c r="D29" s="26"/>
      <c r="E29" s="66">
        <f>+E28+E27</f>
        <v>-420</v>
      </c>
      <c r="F29" s="67">
        <f aca="true" t="shared" si="11" ref="F29:T29">+F28+F27</f>
        <v>-389.9999</v>
      </c>
      <c r="G29" s="67">
        <f t="shared" si="11"/>
        <v>-359.9999066666667</v>
      </c>
      <c r="H29" s="67">
        <f t="shared" si="11"/>
        <v>-329.9999133333333</v>
      </c>
      <c r="I29" s="67">
        <f t="shared" si="11"/>
        <v>-299.99982</v>
      </c>
      <c r="J29" s="67">
        <f t="shared" si="11"/>
        <v>-269.99983333333336</v>
      </c>
      <c r="K29" s="67">
        <f t="shared" si="11"/>
        <v>-239.99984666666668</v>
      </c>
      <c r="L29" s="68">
        <f t="shared" si="11"/>
        <v>-209.99976</v>
      </c>
      <c r="M29" s="66">
        <f t="shared" si="11"/>
        <v>-179.99978000000002</v>
      </c>
      <c r="N29" s="67">
        <f t="shared" si="11"/>
        <v>-149.99980000000002</v>
      </c>
      <c r="O29" s="67">
        <f t="shared" si="11"/>
        <v>-119.99972000000002</v>
      </c>
      <c r="P29" s="67">
        <f t="shared" si="11"/>
        <v>-89.9997466666667</v>
      </c>
      <c r="Q29" s="67">
        <f t="shared" si="11"/>
        <v>-59.999773333333366</v>
      </c>
      <c r="R29" s="67">
        <f t="shared" si="11"/>
        <v>-29.999700000000033</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-450</v>
      </c>
      <c r="F33" s="67">
        <f>SUM(F25,$D$31:F31,$D$32:E32)</f>
        <v>-420</v>
      </c>
      <c r="G33" s="67">
        <f>SUM(G25,$D$31:G31,$D$32:F32)</f>
        <v>-389.9999</v>
      </c>
      <c r="H33" s="67">
        <f>SUM(H25,$D$31:H31,$D$32:G32)</f>
        <v>-359.9999066666667</v>
      </c>
      <c r="I33" s="67">
        <f>SUM(I25,$D$31:I31,$D$32:H32)</f>
        <v>-329.9999133333333</v>
      </c>
      <c r="J33" s="67">
        <f>SUM(J25,$D$31:J31,$D$32:I32)</f>
        <v>-299.99982</v>
      </c>
      <c r="K33" s="67">
        <f>SUM(K25,$D$31:K31,$D$32:J32)</f>
        <v>-269.99983333333336</v>
      </c>
      <c r="L33" s="68">
        <f>SUM(L25,$D$31:L31,$D$32:K32)</f>
        <v>-239.99984666666668</v>
      </c>
      <c r="M33" s="66">
        <f>SUM(M25,$D$31:M31,$D$32:L32)</f>
        <v>-209.99976</v>
      </c>
      <c r="N33" s="67">
        <f>SUM(N25,$D$31:N31,$D$32:M32)</f>
        <v>-179.99978000000002</v>
      </c>
      <c r="O33" s="67">
        <f>SUM(O25,$D$31:O31,$D$32:N32)</f>
        <v>-149.99980000000002</v>
      </c>
      <c r="P33" s="67">
        <f>SUM(P25,$D$31:P31,$D$32:O32)</f>
        <v>-119.99972000000002</v>
      </c>
      <c r="Q33" s="67">
        <f>SUM(Q25,$D$31:Q31,$D$32:P32)</f>
        <v>-89.9997466666667</v>
      </c>
      <c r="R33" s="67">
        <f>SUM(R25,$D$31:R31,$D$32:Q32)</f>
        <v>-59.999773333333366</v>
      </c>
      <c r="S33" s="67">
        <f>SUM(S25,$D$31:S31,$D$32:R32)</f>
        <v>-29.999700000000033</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30</v>
      </c>
      <c r="E35" s="86">
        <f>IF(E3=0,0,IF(D28=0,+D35,IF(E25&gt;0,0,-E25/E3)))</f>
        <v>30</v>
      </c>
      <c r="F35" s="86">
        <f aca="true" t="shared" si="13" ref="F35:T35">IF(F3=0,0,IF(E28=0,+E35,IF(F25&gt;0,0,-F25/F3)))</f>
        <v>30</v>
      </c>
      <c r="G35" s="86">
        <f t="shared" si="13"/>
        <v>29.99999230769231</v>
      </c>
      <c r="H35" s="86">
        <f t="shared" si="13"/>
        <v>29.99999230769231</v>
      </c>
      <c r="I35" s="86">
        <f t="shared" si="13"/>
        <v>29.99999230769231</v>
      </c>
      <c r="J35" s="86">
        <f t="shared" si="13"/>
        <v>29.999982</v>
      </c>
      <c r="K35" s="86">
        <f t="shared" si="13"/>
        <v>29.999982</v>
      </c>
      <c r="L35" s="87">
        <f t="shared" si="13"/>
        <v>29.999982</v>
      </c>
      <c r="M35" s="86">
        <f t="shared" si="13"/>
        <v>29.999965714285715</v>
      </c>
      <c r="N35" s="86">
        <f t="shared" si="13"/>
        <v>29.999965714285715</v>
      </c>
      <c r="O35" s="86">
        <f t="shared" si="13"/>
        <v>29.999965714285715</v>
      </c>
      <c r="P35" s="86">
        <f t="shared" si="13"/>
        <v>29.999930000000006</v>
      </c>
      <c r="Q35" s="86">
        <f t="shared" si="13"/>
        <v>29.999930000000006</v>
      </c>
      <c r="R35" s="86">
        <f t="shared" si="13"/>
        <v>29.999930000000006</v>
      </c>
      <c r="S35" s="86">
        <f t="shared" si="13"/>
        <v>29.999700000000033</v>
      </c>
      <c r="T35" s="87">
        <f t="shared" si="13"/>
        <v>0</v>
      </c>
      <c r="U35" s="51">
        <f>SUM(E35:L35,M35:T35)</f>
        <v>449.99931006593414</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1.025641026330959E-06</v>
      </c>
      <c r="H37" s="48">
        <f>SUM($E$26:H26)-SUM($E$35:H35)-SUM($E$39:H39)</f>
        <v>2.051282052661918E-06</v>
      </c>
      <c r="I37" s="48">
        <f>SUM($E$26:I26)-SUM($E$35:I35)-SUM($E$39:I39)</f>
        <v>3.0769230647820223E-06</v>
      </c>
      <c r="J37" s="48">
        <f>SUM($E$26:J26)-SUM($E$35:J35)-SUM($E$39:J39)</f>
        <v>7.435897441609996E-06</v>
      </c>
      <c r="K37" s="48">
        <f>SUM($E$26:K26)-SUM($E$35:K35)-SUM($E$39:K39)</f>
        <v>1.1794871818437969E-05</v>
      </c>
      <c r="L37" s="51">
        <f>SUM($E$26:L26)-SUM($E$35:L35)-SUM($E$39:L39)</f>
        <v>1.6153846195265943E-05</v>
      </c>
      <c r="M37" s="49">
        <f>SUM($E$26:M26)-SUM($E$35:M35)-SUM($E$39:M39)</f>
        <v>2.8131868167845043E-05</v>
      </c>
      <c r="N37" s="48">
        <f>SUM($E$26:N26)-SUM($E$35:N35)-SUM($E$39:N39)</f>
        <v>4.0109890112002434E-05</v>
      </c>
      <c r="O37" s="48">
        <f>SUM($E$26:O26)-SUM($E$35:O35)-SUM($E$39:O39)</f>
        <v>5.208791205615983E-05</v>
      </c>
      <c r="P37" s="48">
        <f>SUM($E$26:P26)-SUM($E$35:P35)-SUM($E$39:P39)</f>
        <v>8.23992673797339E-05</v>
      </c>
      <c r="Q37" s="48">
        <f>SUM($E$26:Q26)-SUM($E$35:Q35)-SUM($E$39:Q39)</f>
        <v>0.00011271062270330797</v>
      </c>
      <c r="R37" s="48">
        <f>SUM($E$26:R26)-SUM($E$35:R35)-SUM($E$39:R39)</f>
        <v>0.00014302197802688204</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3.0769230647820223E-06</v>
      </c>
      <c r="J38" s="48">
        <f t="shared" si="15"/>
        <v>0</v>
      </c>
      <c r="K38" s="48">
        <f t="shared" si="15"/>
        <v>0</v>
      </c>
      <c r="L38" s="51">
        <f t="shared" si="15"/>
        <v>1.6153846195265943E-05</v>
      </c>
      <c r="M38" s="49">
        <f t="shared" si="15"/>
        <v>0</v>
      </c>
      <c r="N38" s="48">
        <f t="shared" si="15"/>
        <v>0</v>
      </c>
      <c r="O38" s="48">
        <f t="shared" si="15"/>
        <v>5.208791205615983E-05</v>
      </c>
      <c r="P38" s="48">
        <f t="shared" si="15"/>
        <v>0</v>
      </c>
      <c r="Q38" s="48">
        <f t="shared" si="15"/>
        <v>0</v>
      </c>
      <c r="R38" s="48">
        <f t="shared" si="15"/>
        <v>0.00014302197802688204</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3.076923064782022E-07</v>
      </c>
      <c r="K39" s="86">
        <f t="shared" si="16"/>
        <v>3.076923064782022E-07</v>
      </c>
      <c r="L39" s="87">
        <f t="shared" si="16"/>
        <v>3.076923064782022E-07</v>
      </c>
      <c r="M39" s="85">
        <f t="shared" si="16"/>
        <v>2.3076923136094206E-06</v>
      </c>
      <c r="N39" s="86">
        <f t="shared" si="16"/>
        <v>2.3076923136094206E-06</v>
      </c>
      <c r="O39" s="86">
        <f t="shared" si="16"/>
        <v>2.3076923136094206E-06</v>
      </c>
      <c r="P39" s="86">
        <f t="shared" si="16"/>
        <v>1.3021978014039957E-05</v>
      </c>
      <c r="Q39" s="86">
        <f t="shared" si="16"/>
        <v>1.3021978014039957E-05</v>
      </c>
      <c r="R39" s="86">
        <f t="shared" si="16"/>
        <v>1.3021978014039957E-05</v>
      </c>
      <c r="S39" s="86">
        <f t="shared" si="16"/>
        <v>0.00014302197802688204</v>
      </c>
      <c r="T39" s="87">
        <f t="shared" si="16"/>
        <v>0</v>
      </c>
      <c r="U39" s="51">
        <f>SUM(E39:L39,M39:T39)</f>
        <v>0.00018993406592926476</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30</v>
      </c>
      <c r="F41" s="90">
        <f aca="true" t="shared" si="17" ref="F41:T41">+F35+F36+F39</f>
        <v>30</v>
      </c>
      <c r="G41" s="90">
        <f t="shared" si="17"/>
        <v>29.99999230769231</v>
      </c>
      <c r="H41" s="90">
        <f t="shared" si="17"/>
        <v>29.99999230769231</v>
      </c>
      <c r="I41" s="90">
        <f t="shared" si="17"/>
        <v>29.99999230769231</v>
      </c>
      <c r="J41" s="90">
        <f t="shared" si="17"/>
        <v>29.999982307692306</v>
      </c>
      <c r="K41" s="90">
        <f t="shared" si="17"/>
        <v>29.999982307692306</v>
      </c>
      <c r="L41" s="91">
        <f t="shared" si="17"/>
        <v>29.999982307692306</v>
      </c>
      <c r="M41" s="89">
        <f t="shared" si="17"/>
        <v>29.999968021978027</v>
      </c>
      <c r="N41" s="90">
        <f t="shared" si="17"/>
        <v>29.999968021978027</v>
      </c>
      <c r="O41" s="90">
        <f t="shared" si="17"/>
        <v>29.999968021978027</v>
      </c>
      <c r="P41" s="90">
        <f t="shared" si="17"/>
        <v>29.99994302197802</v>
      </c>
      <c r="Q41" s="90">
        <f t="shared" si="17"/>
        <v>29.99994302197802</v>
      </c>
      <c r="R41" s="90">
        <f t="shared" si="17"/>
        <v>29.99994302197802</v>
      </c>
      <c r="S41" s="90">
        <f t="shared" si="17"/>
        <v>29.99984302197806</v>
      </c>
      <c r="T41" s="91">
        <f t="shared" si="17"/>
        <v>0</v>
      </c>
      <c r="U41" s="91">
        <f>SUM(U35:U40)</f>
        <v>449.99950000000007</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F31" sqref="F31"/>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450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30</v>
      </c>
      <c r="F14" s="101">
        <f>IF(F5&gt;0,(+$D$13-SUM($E$17:E17))/$D$14,0)</f>
        <v>30</v>
      </c>
      <c r="G14" s="101">
        <f>IF(G5&gt;0,(+$D$13-SUM($E$17:F17))/$D$14,0)</f>
        <v>30</v>
      </c>
      <c r="H14" s="101">
        <f>IF(H5&gt;0,(+$D$13-SUM($E$17:G17))/$D$14,0)</f>
        <v>30</v>
      </c>
      <c r="I14" s="101">
        <f>IF(I5&gt;0,(+$D$13-SUM($E$17:H17))/$D$14,0)</f>
        <v>30</v>
      </c>
      <c r="J14" s="101">
        <f>IF(J5&gt;0,(+$D$13-SUM($E$17:I17))/$D$14,0)</f>
        <v>30</v>
      </c>
      <c r="K14" s="101">
        <f>IF(K5&gt;0,(+$D$13-SUM($E$17:J17))/$D$14,0)</f>
        <v>30</v>
      </c>
      <c r="L14" s="101">
        <f>IF(L5&gt;0,(+$D$13-SUM($E$17:K17))/$D$14,0)</f>
        <v>30</v>
      </c>
      <c r="M14" s="101">
        <f>IF(M5&gt;0,(+$D$13-SUM($E$17:L17))/$D$14,0)</f>
        <v>30</v>
      </c>
      <c r="N14" s="101">
        <f>IF(N5&gt;0,(+$D$13-SUM($E$17:M17))/$D$14,0)</f>
        <v>30</v>
      </c>
      <c r="O14" s="101">
        <f>IF(O5&gt;0,(+$D$13-SUM($E$17:N17))/$D$14,0)</f>
        <v>30</v>
      </c>
      <c r="P14" s="101">
        <f>IF(P5&gt;0,(+$D$13-SUM($E$17:O17))/$D$14,0)</f>
        <v>30</v>
      </c>
      <c r="Q14" s="101">
        <f>IF(Q5&gt;0,(+$D$13-SUM($E$17:P17))/$D$14,0)</f>
        <v>30</v>
      </c>
      <c r="R14" s="101">
        <f>IF(R5&gt;0,(+$D$13-SUM($E$17:Q17))/$D$14,0)</f>
        <v>30</v>
      </c>
      <c r="S14" s="101">
        <f>IF(S5&gt;0,(+$D$13-SUM($E$17:R17))/$D$14,0)</f>
        <v>29.999999999993335</v>
      </c>
      <c r="T14" s="101">
        <f>IF(T5&gt;0,(+$D$13-SUM($E$17:S17))/$D$14,0)</f>
        <v>0</v>
      </c>
      <c r="U14" s="52">
        <f>-SUM(E14:T14)</f>
        <v>-449.99999999999335</v>
      </c>
      <c r="W14" s="1"/>
      <c r="X14" s="1"/>
      <c r="Y14" s="1"/>
      <c r="Z14" s="1"/>
    </row>
    <row r="15" spans="1:26" ht="12.75">
      <c r="A15" s="39"/>
      <c r="B15" s="9" t="s">
        <v>32</v>
      </c>
      <c r="C15" s="94">
        <v>2</v>
      </c>
      <c r="E15" s="102">
        <v>40</v>
      </c>
      <c r="F15" s="102">
        <v>40</v>
      </c>
      <c r="G15" s="102">
        <f>-F29/($T$13-G13)</f>
        <v>30</v>
      </c>
      <c r="H15" s="102">
        <f>+G15</f>
        <v>30</v>
      </c>
      <c r="I15" s="102">
        <f>+H15</f>
        <v>30</v>
      </c>
      <c r="J15" s="102">
        <f>-I29/($T$13-J13)</f>
        <v>30</v>
      </c>
      <c r="K15" s="102">
        <f>+J15</f>
        <v>30</v>
      </c>
      <c r="L15" s="102">
        <f>+K15</f>
        <v>30</v>
      </c>
      <c r="M15" s="102">
        <f>-L29/($T$13-M13)</f>
        <v>30</v>
      </c>
      <c r="N15" s="102">
        <f>+M15</f>
        <v>30</v>
      </c>
      <c r="O15" s="102">
        <f>+N15</f>
        <v>30</v>
      </c>
      <c r="P15" s="102">
        <f>-O29/($T$13-P13)</f>
        <v>30</v>
      </c>
      <c r="Q15" s="102">
        <f>+P15</f>
        <v>30</v>
      </c>
      <c r="R15" s="102">
        <f>+Q15</f>
        <v>30</v>
      </c>
      <c r="S15" s="102">
        <f>-R29/($T$13-S13)</f>
        <v>29.9999999999</v>
      </c>
      <c r="T15" s="102"/>
      <c r="U15" s="52">
        <f>-SUM(E15:T15)</f>
        <v>-469.9999999999</v>
      </c>
      <c r="W15" s="1"/>
      <c r="X15" s="1"/>
      <c r="Y15" s="1"/>
      <c r="Z15" s="1"/>
    </row>
    <row r="16" spans="1:23" ht="12.75">
      <c r="A16" s="8"/>
      <c r="B16" s="95" t="s">
        <v>38</v>
      </c>
      <c r="C16" s="70">
        <v>1</v>
      </c>
      <c r="E16" s="92">
        <f>VLOOKUP($C$16,$C$14:$T$15,E1+2)</f>
        <v>30</v>
      </c>
      <c r="F16" s="92">
        <f aca="true" t="shared" si="4" ref="F16:T16">VLOOKUP($C$16,$C$14:$T$15,F1+2)</f>
        <v>30</v>
      </c>
      <c r="G16" s="92">
        <f t="shared" si="4"/>
        <v>30</v>
      </c>
      <c r="H16" s="92">
        <f t="shared" si="4"/>
        <v>30</v>
      </c>
      <c r="I16" s="92">
        <f t="shared" si="4"/>
        <v>30</v>
      </c>
      <c r="J16" s="92">
        <f t="shared" si="4"/>
        <v>30</v>
      </c>
      <c r="K16" s="92">
        <f t="shared" si="4"/>
        <v>30</v>
      </c>
      <c r="L16" s="92">
        <f t="shared" si="4"/>
        <v>30</v>
      </c>
      <c r="M16" s="92">
        <f t="shared" si="4"/>
        <v>30</v>
      </c>
      <c r="N16" s="92">
        <f t="shared" si="4"/>
        <v>30</v>
      </c>
      <c r="O16" s="92">
        <f t="shared" si="4"/>
        <v>30</v>
      </c>
      <c r="P16" s="92">
        <f t="shared" si="4"/>
        <v>30</v>
      </c>
      <c r="Q16" s="92">
        <f t="shared" si="4"/>
        <v>30</v>
      </c>
      <c r="R16" s="92">
        <f t="shared" si="4"/>
        <v>30</v>
      </c>
      <c r="S16" s="92">
        <f t="shared" si="4"/>
        <v>29.999999999993335</v>
      </c>
      <c r="T16" s="92">
        <f t="shared" si="4"/>
        <v>0</v>
      </c>
      <c r="U16" s="69">
        <f>-SUM(E16:T16)</f>
        <v>-449.99999999999335</v>
      </c>
      <c r="V16" s="1"/>
      <c r="W16" t="s">
        <v>7</v>
      </c>
    </row>
    <row r="17" spans="1:22" s="84" customFormat="1" ht="12.75">
      <c r="A17" s="80"/>
      <c r="B17" s="75" t="s">
        <v>40</v>
      </c>
      <c r="C17" s="74"/>
      <c r="D17" s="81"/>
      <c r="E17" s="52"/>
      <c r="F17" s="121">
        <v>0</v>
      </c>
      <c r="G17" s="103"/>
      <c r="H17" s="103"/>
      <c r="I17" s="121">
        <v>0</v>
      </c>
      <c r="J17" s="103"/>
      <c r="K17" s="103"/>
      <c r="L17" s="121">
        <v>0</v>
      </c>
      <c r="M17" s="103"/>
      <c r="N17" s="103"/>
      <c r="O17" s="121">
        <v>0</v>
      </c>
      <c r="P17" s="103"/>
      <c r="Q17" s="103"/>
      <c r="R17" s="121">
        <v>1E-10</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-450</v>
      </c>
      <c r="F25" s="48">
        <f>IF(E29&lt;=0,+E29,0)</f>
        <v>-420</v>
      </c>
      <c r="G25" s="48">
        <f aca="true" t="shared" si="6" ref="G25:T25">IF(F29&lt;=0,+F29,0)</f>
        <v>-390</v>
      </c>
      <c r="H25" s="48">
        <f t="shared" si="6"/>
        <v>-360</v>
      </c>
      <c r="I25" s="48">
        <f t="shared" si="6"/>
        <v>-330</v>
      </c>
      <c r="J25" s="48">
        <f t="shared" si="6"/>
        <v>-300</v>
      </c>
      <c r="K25" s="48">
        <f t="shared" si="6"/>
        <v>-270</v>
      </c>
      <c r="L25" s="51">
        <f t="shared" si="6"/>
        <v>-240</v>
      </c>
      <c r="M25" s="49">
        <f t="shared" si="6"/>
        <v>-210</v>
      </c>
      <c r="N25" s="48">
        <f t="shared" si="6"/>
        <v>-180</v>
      </c>
      <c r="O25" s="48">
        <f t="shared" si="6"/>
        <v>-150</v>
      </c>
      <c r="P25" s="48">
        <f t="shared" si="6"/>
        <v>-120</v>
      </c>
      <c r="Q25" s="48">
        <f t="shared" si="6"/>
        <v>-90</v>
      </c>
      <c r="R25" s="48">
        <f t="shared" si="6"/>
        <v>-60</v>
      </c>
      <c r="S25" s="48">
        <f t="shared" si="6"/>
        <v>-29.9999999999</v>
      </c>
      <c r="T25" s="51">
        <f t="shared" si="6"/>
        <v>0</v>
      </c>
      <c r="U25" s="51"/>
      <c r="V25" s="1"/>
    </row>
    <row r="26" spans="1:22" ht="12.75">
      <c r="A26" s="29"/>
      <c r="B26" s="30" t="s">
        <v>23</v>
      </c>
      <c r="C26" s="30"/>
      <c r="D26" s="26">
        <f>IF(D14=0,0,D14)</f>
        <v>15</v>
      </c>
      <c r="E26" s="60">
        <f aca="true" t="shared" si="7" ref="E26:L26">IF(-E16&gt;=E25,E16,(IF(E$4&gt;0,-E25,0)))</f>
        <v>30</v>
      </c>
      <c r="F26" s="61">
        <f t="shared" si="7"/>
        <v>30</v>
      </c>
      <c r="G26" s="61">
        <f t="shared" si="7"/>
        <v>30</v>
      </c>
      <c r="H26" s="61">
        <f t="shared" si="7"/>
        <v>30</v>
      </c>
      <c r="I26" s="61">
        <f t="shared" si="7"/>
        <v>30</v>
      </c>
      <c r="J26" s="61">
        <f t="shared" si="7"/>
        <v>30</v>
      </c>
      <c r="K26" s="61">
        <f t="shared" si="7"/>
        <v>30</v>
      </c>
      <c r="L26" s="62">
        <f t="shared" si="7"/>
        <v>30</v>
      </c>
      <c r="M26" s="60">
        <f>IF(-M16&gt;=M25,M16,(IF(M$4&gt;0,-M25,0)))</f>
        <v>30</v>
      </c>
      <c r="N26" s="61">
        <f aca="true" t="shared" si="8" ref="N26:T26">IF(-N16&gt;=N25,N16,(IF(N$4&gt;0,-N25,0)))</f>
        <v>30</v>
      </c>
      <c r="O26" s="61">
        <f t="shared" si="8"/>
        <v>30</v>
      </c>
      <c r="P26" s="61">
        <f t="shared" si="8"/>
        <v>30</v>
      </c>
      <c r="Q26" s="61">
        <f t="shared" si="8"/>
        <v>30</v>
      </c>
      <c r="R26" s="61">
        <f t="shared" si="8"/>
        <v>30</v>
      </c>
      <c r="S26" s="61">
        <f t="shared" si="8"/>
        <v>29.9999999999</v>
      </c>
      <c r="T26" s="62">
        <f t="shared" si="8"/>
        <v>0</v>
      </c>
      <c r="U26" s="51">
        <f>-SUM(E26:T26)</f>
        <v>-449.9999999999</v>
      </c>
      <c r="V26" s="1"/>
    </row>
    <row r="27" spans="1:22" ht="12.75">
      <c r="A27" s="8"/>
      <c r="B27" s="18" t="s">
        <v>27</v>
      </c>
      <c r="C27" s="18"/>
      <c r="D27" s="26"/>
      <c r="E27" s="63">
        <f>+E25+E26</f>
        <v>-420</v>
      </c>
      <c r="F27" s="64">
        <f aca="true" t="shared" si="9" ref="F27:T27">+F25+F26</f>
        <v>-390</v>
      </c>
      <c r="G27" s="64">
        <f t="shared" si="9"/>
        <v>-360</v>
      </c>
      <c r="H27" s="64">
        <f t="shared" si="9"/>
        <v>-330</v>
      </c>
      <c r="I27" s="64">
        <f t="shared" si="9"/>
        <v>-300</v>
      </c>
      <c r="J27" s="64">
        <f t="shared" si="9"/>
        <v>-270</v>
      </c>
      <c r="K27" s="64">
        <f t="shared" si="9"/>
        <v>-240</v>
      </c>
      <c r="L27" s="65">
        <f t="shared" si="9"/>
        <v>-210</v>
      </c>
      <c r="M27" s="63">
        <f t="shared" si="9"/>
        <v>-180</v>
      </c>
      <c r="N27" s="64">
        <f t="shared" si="9"/>
        <v>-150</v>
      </c>
      <c r="O27" s="64">
        <f t="shared" si="9"/>
        <v>-120</v>
      </c>
      <c r="P27" s="64">
        <f t="shared" si="9"/>
        <v>-90</v>
      </c>
      <c r="Q27" s="64">
        <f t="shared" si="9"/>
        <v>-60</v>
      </c>
      <c r="R27" s="64">
        <f t="shared" si="9"/>
        <v>-30</v>
      </c>
      <c r="S27" s="64">
        <f t="shared" si="9"/>
        <v>0</v>
      </c>
      <c r="T27" s="65">
        <f t="shared" si="9"/>
        <v>0</v>
      </c>
      <c r="U27" s="51"/>
      <c r="V27" s="1"/>
    </row>
    <row r="28" spans="1:22" ht="12.75">
      <c r="A28" s="8"/>
      <c r="B28" s="18" t="s">
        <v>29</v>
      </c>
      <c r="C28" s="18"/>
      <c r="D28" s="26"/>
      <c r="E28" s="111">
        <f>+E17</f>
        <v>0</v>
      </c>
      <c r="F28" s="96">
        <f aca="true" t="shared" si="10" ref="F28:T28">+F17</f>
        <v>0</v>
      </c>
      <c r="G28" s="96">
        <f t="shared" si="10"/>
        <v>0</v>
      </c>
      <c r="H28" s="96">
        <f t="shared" si="10"/>
        <v>0</v>
      </c>
      <c r="I28" s="96">
        <f t="shared" si="10"/>
        <v>0</v>
      </c>
      <c r="J28" s="96">
        <f t="shared" si="10"/>
        <v>0</v>
      </c>
      <c r="K28" s="96">
        <f t="shared" si="10"/>
        <v>0</v>
      </c>
      <c r="L28" s="97">
        <f t="shared" si="10"/>
        <v>0</v>
      </c>
      <c r="M28" s="115">
        <f t="shared" si="10"/>
        <v>0</v>
      </c>
      <c r="N28" s="96">
        <f t="shared" si="10"/>
        <v>0</v>
      </c>
      <c r="O28" s="96">
        <f t="shared" si="10"/>
        <v>0</v>
      </c>
      <c r="P28" s="96">
        <f t="shared" si="10"/>
        <v>0</v>
      </c>
      <c r="Q28" s="96">
        <f t="shared" si="10"/>
        <v>0</v>
      </c>
      <c r="R28" s="96">
        <f t="shared" si="10"/>
        <v>1E-10</v>
      </c>
      <c r="S28" s="96">
        <f t="shared" si="10"/>
        <v>0</v>
      </c>
      <c r="T28" s="97">
        <f t="shared" si="10"/>
        <v>0</v>
      </c>
      <c r="U28" s="51">
        <f>SUM(E25,E28:T28)</f>
        <v>-449.9999999999</v>
      </c>
      <c r="V28" s="1"/>
    </row>
    <row r="29" spans="1:22" ht="12.75">
      <c r="A29" s="29"/>
      <c r="B29" s="30" t="s">
        <v>26</v>
      </c>
      <c r="C29" s="30"/>
      <c r="D29" s="26"/>
      <c r="E29" s="66">
        <f>+E28+E27</f>
        <v>-420</v>
      </c>
      <c r="F29" s="67">
        <f aca="true" t="shared" si="11" ref="F29:T29">+F28+F27</f>
        <v>-390</v>
      </c>
      <c r="G29" s="67">
        <f t="shared" si="11"/>
        <v>-360</v>
      </c>
      <c r="H29" s="67">
        <f t="shared" si="11"/>
        <v>-330</v>
      </c>
      <c r="I29" s="67">
        <f t="shared" si="11"/>
        <v>-300</v>
      </c>
      <c r="J29" s="67">
        <f t="shared" si="11"/>
        <v>-270</v>
      </c>
      <c r="K29" s="67">
        <f t="shared" si="11"/>
        <v>-240</v>
      </c>
      <c r="L29" s="68">
        <f t="shared" si="11"/>
        <v>-210</v>
      </c>
      <c r="M29" s="66">
        <f t="shared" si="11"/>
        <v>-180</v>
      </c>
      <c r="N29" s="67">
        <f t="shared" si="11"/>
        <v>-150</v>
      </c>
      <c r="O29" s="67">
        <f t="shared" si="11"/>
        <v>-120</v>
      </c>
      <c r="P29" s="67">
        <f t="shared" si="11"/>
        <v>-90</v>
      </c>
      <c r="Q29" s="67">
        <f t="shared" si="11"/>
        <v>-60</v>
      </c>
      <c r="R29" s="67">
        <f t="shared" si="11"/>
        <v>-29.9999999999</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-450</v>
      </c>
      <c r="F33" s="67">
        <f>SUM(F25,$D$31:F31,$D$32:E32)</f>
        <v>-420</v>
      </c>
      <c r="G33" s="67">
        <f>SUM(G25,$D$31:G31,$D$32:F32)</f>
        <v>-390</v>
      </c>
      <c r="H33" s="67">
        <f>SUM(H25,$D$31:H31,$D$32:G32)</f>
        <v>-360</v>
      </c>
      <c r="I33" s="67">
        <f>SUM(I25,$D$31:I31,$D$32:H32)</f>
        <v>-330</v>
      </c>
      <c r="J33" s="67">
        <f>SUM(J25,$D$31:J31,$D$32:I32)</f>
        <v>-300</v>
      </c>
      <c r="K33" s="67">
        <f>SUM(K25,$D$31:K31,$D$32:J32)</f>
        <v>-270</v>
      </c>
      <c r="L33" s="68">
        <f>SUM(L25,$D$31:L31,$D$32:K32)</f>
        <v>-240</v>
      </c>
      <c r="M33" s="66">
        <f>SUM(M25,$D$31:M31,$D$32:L32)</f>
        <v>-210</v>
      </c>
      <c r="N33" s="67">
        <f>SUM(N25,$D$31:N31,$D$32:M32)</f>
        <v>-180</v>
      </c>
      <c r="O33" s="67">
        <f>SUM(O25,$D$31:O31,$D$32:N32)</f>
        <v>-150</v>
      </c>
      <c r="P33" s="67">
        <f>SUM(P25,$D$31:P31,$D$32:O32)</f>
        <v>-120</v>
      </c>
      <c r="Q33" s="67">
        <f>SUM(Q25,$D$31:Q31,$D$32:P32)</f>
        <v>-90</v>
      </c>
      <c r="R33" s="67">
        <f>SUM(R25,$D$31:R31,$D$32:Q32)</f>
        <v>-60</v>
      </c>
      <c r="S33" s="67">
        <f>SUM(S25,$D$31:S31,$D$32:R32)</f>
        <v>-29.9999999999</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30</v>
      </c>
      <c r="E35" s="86">
        <f>IF(E3=0,0,IF(D28=0,+D35,IF(E25&gt;0,0,-E25/E3)))</f>
        <v>30</v>
      </c>
      <c r="F35" s="86">
        <f aca="true" t="shared" si="13" ref="F35:T35">IF(F3=0,0,IF(E28=0,+E35,IF(F25&gt;0,0,-F25/F3)))</f>
        <v>30</v>
      </c>
      <c r="G35" s="86">
        <f t="shared" si="13"/>
        <v>30</v>
      </c>
      <c r="H35" s="86">
        <f t="shared" si="13"/>
        <v>30</v>
      </c>
      <c r="I35" s="86">
        <f t="shared" si="13"/>
        <v>30</v>
      </c>
      <c r="J35" s="86">
        <f t="shared" si="13"/>
        <v>30</v>
      </c>
      <c r="K35" s="86">
        <f t="shared" si="13"/>
        <v>30</v>
      </c>
      <c r="L35" s="87">
        <f t="shared" si="13"/>
        <v>30</v>
      </c>
      <c r="M35" s="86">
        <f t="shared" si="13"/>
        <v>30</v>
      </c>
      <c r="N35" s="86">
        <f t="shared" si="13"/>
        <v>30</v>
      </c>
      <c r="O35" s="86">
        <f t="shared" si="13"/>
        <v>30</v>
      </c>
      <c r="P35" s="86">
        <f t="shared" si="13"/>
        <v>30</v>
      </c>
      <c r="Q35" s="86">
        <f t="shared" si="13"/>
        <v>30</v>
      </c>
      <c r="R35" s="86">
        <f t="shared" si="13"/>
        <v>30</v>
      </c>
      <c r="S35" s="86">
        <f t="shared" si="13"/>
        <v>29.9999999999</v>
      </c>
      <c r="T35" s="87">
        <f t="shared" si="13"/>
        <v>0</v>
      </c>
      <c r="U35" s="51">
        <f>SUM(E35:L35,M35:T35)</f>
        <v>449.9999999999</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30</v>
      </c>
      <c r="F41" s="90">
        <f aca="true" t="shared" si="17" ref="F41:T41">+F35+F36+F39</f>
        <v>30</v>
      </c>
      <c r="G41" s="90">
        <f t="shared" si="17"/>
        <v>30</v>
      </c>
      <c r="H41" s="90">
        <f t="shared" si="17"/>
        <v>30</v>
      </c>
      <c r="I41" s="90">
        <f t="shared" si="17"/>
        <v>30</v>
      </c>
      <c r="J41" s="90">
        <f t="shared" si="17"/>
        <v>30</v>
      </c>
      <c r="K41" s="90">
        <f t="shared" si="17"/>
        <v>30</v>
      </c>
      <c r="L41" s="91">
        <f t="shared" si="17"/>
        <v>30</v>
      </c>
      <c r="M41" s="89">
        <f t="shared" si="17"/>
        <v>30</v>
      </c>
      <c r="N41" s="90">
        <f t="shared" si="17"/>
        <v>30</v>
      </c>
      <c r="O41" s="90">
        <f t="shared" si="17"/>
        <v>30</v>
      </c>
      <c r="P41" s="90">
        <f t="shared" si="17"/>
        <v>30</v>
      </c>
      <c r="Q41" s="90">
        <f t="shared" si="17"/>
        <v>30</v>
      </c>
      <c r="R41" s="90">
        <f t="shared" si="17"/>
        <v>30</v>
      </c>
      <c r="S41" s="90">
        <f t="shared" si="17"/>
        <v>29.9999999999</v>
      </c>
      <c r="T41" s="91">
        <f t="shared" si="17"/>
        <v>0</v>
      </c>
      <c r="U41" s="91">
        <f>SUM(U35:U40)</f>
        <v>449.9999999999</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E32" sqref="E32:T3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0</v>
      </c>
      <c r="Q2" s="27">
        <f t="shared" si="1"/>
        <v>0</v>
      </c>
      <c r="R2" s="27">
        <f t="shared" si="1"/>
        <v>0</v>
      </c>
      <c r="S2" s="27">
        <f t="shared" si="1"/>
        <v>0</v>
      </c>
      <c r="T2" s="27">
        <f t="shared" si="1"/>
        <v>0</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10</v>
      </c>
      <c r="F5" s="2">
        <f>MAX(+E5-1,0)</f>
        <v>9</v>
      </c>
      <c r="G5" s="2">
        <f t="shared" si="2"/>
        <v>8</v>
      </c>
      <c r="H5" s="2">
        <f t="shared" si="2"/>
        <v>7</v>
      </c>
      <c r="I5" s="2">
        <f t="shared" si="2"/>
        <v>6</v>
      </c>
      <c r="J5" s="2">
        <f t="shared" si="2"/>
        <v>5</v>
      </c>
      <c r="K5" s="2">
        <f t="shared" si="2"/>
        <v>4</v>
      </c>
      <c r="L5" s="2">
        <f t="shared" si="2"/>
        <v>3</v>
      </c>
      <c r="M5" s="2">
        <f t="shared" si="2"/>
        <v>2</v>
      </c>
      <c r="N5" s="2">
        <f t="shared" si="2"/>
        <v>1</v>
      </c>
      <c r="O5" s="2">
        <f t="shared" si="2"/>
        <v>0</v>
      </c>
      <c r="P5" s="2">
        <f t="shared" si="2"/>
        <v>0</v>
      </c>
      <c r="Q5" s="2">
        <f t="shared" si="2"/>
        <v>0</v>
      </c>
      <c r="R5" s="2">
        <f t="shared" si="2"/>
        <v>0</v>
      </c>
      <c r="S5" s="2">
        <f t="shared" si="2"/>
        <v>0</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10</v>
      </c>
      <c r="E14" s="101">
        <f>IF(E5&gt;0,(+$D$13-SUM(D$17:$E17))/$D$14,0)</f>
        <v>60</v>
      </c>
      <c r="F14" s="101">
        <f>IF(F5&gt;0,(+$D$13-SUM($E$17:E17))/$D$14,0)</f>
        <v>60</v>
      </c>
      <c r="G14" s="101">
        <f>IF(G5&gt;0,(+$D$13-SUM($E$17:F17))/$D$14,0)</f>
        <v>60</v>
      </c>
      <c r="H14" s="101">
        <f>IF(H5&gt;0,(+$D$13-SUM($E$17:G17))/$D$14,0)</f>
        <v>60</v>
      </c>
      <c r="I14" s="101">
        <f>IF(I5&gt;0,(+$D$13-SUM($E$17:H17))/$D$14,0)</f>
        <v>60</v>
      </c>
      <c r="J14" s="101">
        <f>IF(J5&gt;0,(+$D$13-SUM($E$17:I17))/$D$14,0)</f>
        <v>60</v>
      </c>
      <c r="K14" s="101">
        <f>IF(K5&gt;0,(+$D$13-SUM($E$17:J17))/$D$14,0)</f>
        <v>60</v>
      </c>
      <c r="L14" s="101">
        <f>IF(L5&gt;0,(+$D$13-SUM($E$17:K17))/$D$14,0)</f>
        <v>60</v>
      </c>
      <c r="M14" s="101">
        <f>IF(M5&gt;0,(+$D$13-SUM($E$17:L17))/$D$14,0)</f>
        <v>60</v>
      </c>
      <c r="N14" s="101">
        <f>IF(N5&gt;0,(+$D$13-SUM($E$17:M17))/$D$14,0)</f>
        <v>60</v>
      </c>
      <c r="O14" s="101">
        <f>IF(O5&gt;0,(+$D$13-SUM($E$17:N17))/$D$14,0)</f>
        <v>0</v>
      </c>
      <c r="P14" s="101">
        <f>IF(P5&gt;0,(+$D$13-SUM($E$17:O17))/$D$14,0)</f>
        <v>0</v>
      </c>
      <c r="Q14" s="101">
        <f>IF(Q5&gt;0,(+$D$13-SUM($E$17:P17))/$D$14,0)</f>
        <v>0</v>
      </c>
      <c r="R14" s="101">
        <f>IF(R5&gt;0,(+$D$13-SUM($E$17:Q17))/$D$14,0)</f>
        <v>0</v>
      </c>
      <c r="S14" s="101">
        <f>IF(S5&gt;0,(+$D$13-SUM($E$17:R17))/$D$14,0)</f>
        <v>0</v>
      </c>
      <c r="T14" s="101">
        <f>IF(T5&gt;0,(+$D$13-SUM($E$17:S17))/$D$14,0)</f>
        <v>0</v>
      </c>
      <c r="U14" s="52">
        <f>-SUM(E14:T14)</f>
        <v>-600</v>
      </c>
      <c r="W14" s="1"/>
      <c r="X14" s="1"/>
      <c r="Y14" s="1"/>
      <c r="Z14" s="1"/>
    </row>
    <row r="15" spans="1:26" ht="12.75">
      <c r="A15" s="39"/>
      <c r="B15" s="9" t="s">
        <v>32</v>
      </c>
      <c r="C15" s="94">
        <v>2</v>
      </c>
      <c r="E15" s="102">
        <v>40</v>
      </c>
      <c r="F15" s="102">
        <v>40</v>
      </c>
      <c r="G15" s="102">
        <f>-F29/($T$13-G13)</f>
        <v>36.92307692307692</v>
      </c>
      <c r="H15" s="102">
        <f>+G15</f>
        <v>36.92307692307692</v>
      </c>
      <c r="I15" s="102">
        <f>+H15</f>
        <v>36.92307692307692</v>
      </c>
      <c r="J15" s="102">
        <f>-I29/($T$13-J13)</f>
        <v>30</v>
      </c>
      <c r="K15" s="102">
        <f>+J15</f>
        <v>30</v>
      </c>
      <c r="L15" s="102">
        <f>+K15</f>
        <v>30</v>
      </c>
      <c r="M15" s="102">
        <f>-L29/($T$13-M13)</f>
        <v>17.142857142857142</v>
      </c>
      <c r="N15" s="102">
        <f>+M15</f>
        <v>17.142857142857142</v>
      </c>
      <c r="O15" s="102">
        <f>+N15</f>
        <v>17.142857142857142</v>
      </c>
      <c r="P15" s="102">
        <f>-O29/($T$13-P13)</f>
        <v>0</v>
      </c>
      <c r="Q15" s="102">
        <f>+P15</f>
        <v>0</v>
      </c>
      <c r="R15" s="102">
        <f>+Q15</f>
        <v>0</v>
      </c>
      <c r="S15" s="102">
        <f>-R29/($T$13-S13)</f>
        <v>0</v>
      </c>
      <c r="T15" s="102"/>
      <c r="U15" s="52">
        <f>-SUM(E15:T15)</f>
        <v>-332.1978021978023</v>
      </c>
      <c r="W15" s="1"/>
      <c r="X15" s="1"/>
      <c r="Y15" s="1"/>
      <c r="Z15" s="1"/>
    </row>
    <row r="16" spans="1:23" ht="12.75">
      <c r="A16" s="8"/>
      <c r="B16" s="95" t="s">
        <v>38</v>
      </c>
      <c r="C16" s="70">
        <v>1</v>
      </c>
      <c r="E16" s="92">
        <f>VLOOKUP($C$16,$C$14:$T$15,E1+2)</f>
        <v>60</v>
      </c>
      <c r="F16" s="92">
        <f aca="true" t="shared" si="4" ref="F16:T16">VLOOKUP($C$16,$C$14:$T$15,F1+2)</f>
        <v>60</v>
      </c>
      <c r="G16" s="92">
        <f t="shared" si="4"/>
        <v>60</v>
      </c>
      <c r="H16" s="92">
        <f t="shared" si="4"/>
        <v>60</v>
      </c>
      <c r="I16" s="92">
        <f t="shared" si="4"/>
        <v>60</v>
      </c>
      <c r="J16" s="92">
        <f t="shared" si="4"/>
        <v>60</v>
      </c>
      <c r="K16" s="92">
        <f t="shared" si="4"/>
        <v>60</v>
      </c>
      <c r="L16" s="92">
        <f t="shared" si="4"/>
        <v>60</v>
      </c>
      <c r="M16" s="92">
        <f t="shared" si="4"/>
        <v>60</v>
      </c>
      <c r="N16" s="92">
        <f t="shared" si="4"/>
        <v>60</v>
      </c>
      <c r="O16" s="92">
        <f t="shared" si="4"/>
        <v>0</v>
      </c>
      <c r="P16" s="92">
        <f t="shared" si="4"/>
        <v>0</v>
      </c>
      <c r="Q16" s="92">
        <f t="shared" si="4"/>
        <v>0</v>
      </c>
      <c r="R16" s="92">
        <f t="shared" si="4"/>
        <v>0</v>
      </c>
      <c r="S16" s="92">
        <f t="shared" si="4"/>
        <v>0</v>
      </c>
      <c r="T16" s="92">
        <f t="shared" si="4"/>
        <v>0</v>
      </c>
      <c r="U16" s="69">
        <f>-SUM(E16:T16)</f>
        <v>-600</v>
      </c>
      <c r="V16" s="1"/>
      <c r="W16" t="s">
        <v>7</v>
      </c>
    </row>
    <row r="17" spans="1:22" s="84" customFormat="1" ht="12.75">
      <c r="A17" s="80"/>
      <c r="B17" s="75" t="s">
        <v>40</v>
      </c>
      <c r="C17" s="74"/>
      <c r="D17" s="81"/>
      <c r="E17" s="52"/>
      <c r="F17" s="121">
        <v>0</v>
      </c>
      <c r="G17" s="103"/>
      <c r="H17" s="103"/>
      <c r="I17" s="121">
        <v>0</v>
      </c>
      <c r="J17" s="103"/>
      <c r="K17" s="103"/>
      <c r="L17" s="121">
        <v>0</v>
      </c>
      <c r="M17" s="103"/>
      <c r="N17" s="103"/>
      <c r="O17" s="121">
        <v>0</v>
      </c>
      <c r="P17" s="103"/>
      <c r="Q17" s="103"/>
      <c r="R17" s="121">
        <v>0</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-540</v>
      </c>
      <c r="G25" s="48">
        <f aca="true" t="shared" si="6" ref="G25:T25">IF(F29&lt;=0,+F29,0)</f>
        <v>-480</v>
      </c>
      <c r="H25" s="48">
        <f t="shared" si="6"/>
        <v>-420</v>
      </c>
      <c r="I25" s="48">
        <f t="shared" si="6"/>
        <v>-360</v>
      </c>
      <c r="J25" s="48">
        <f t="shared" si="6"/>
        <v>-300</v>
      </c>
      <c r="K25" s="48">
        <f t="shared" si="6"/>
        <v>-240</v>
      </c>
      <c r="L25" s="51">
        <f t="shared" si="6"/>
        <v>-180</v>
      </c>
      <c r="M25" s="49">
        <f t="shared" si="6"/>
        <v>-120</v>
      </c>
      <c r="N25" s="48">
        <f t="shared" si="6"/>
        <v>-60</v>
      </c>
      <c r="O25" s="48">
        <f t="shared" si="6"/>
        <v>0</v>
      </c>
      <c r="P25" s="48">
        <f t="shared" si="6"/>
        <v>0</v>
      </c>
      <c r="Q25" s="48">
        <f t="shared" si="6"/>
        <v>0</v>
      </c>
      <c r="R25" s="48">
        <f t="shared" si="6"/>
        <v>0</v>
      </c>
      <c r="S25" s="48">
        <f t="shared" si="6"/>
        <v>0</v>
      </c>
      <c r="T25" s="51">
        <f t="shared" si="6"/>
        <v>0</v>
      </c>
      <c r="U25" s="51"/>
      <c r="V25" s="1"/>
    </row>
    <row r="26" spans="1:22" ht="12.75">
      <c r="A26" s="29"/>
      <c r="B26" s="30" t="s">
        <v>23</v>
      </c>
      <c r="C26" s="30"/>
      <c r="D26" s="26">
        <f>IF(D14=0,0,D14)</f>
        <v>10</v>
      </c>
      <c r="E26" s="60">
        <f aca="true" t="shared" si="7" ref="E26:L26">IF(-E16&gt;=E25,E16,(IF(E$4&gt;0,-E25,0)))</f>
        <v>60</v>
      </c>
      <c r="F26" s="61">
        <f t="shared" si="7"/>
        <v>60</v>
      </c>
      <c r="G26" s="61">
        <f t="shared" si="7"/>
        <v>60</v>
      </c>
      <c r="H26" s="61">
        <f t="shared" si="7"/>
        <v>60</v>
      </c>
      <c r="I26" s="61">
        <f t="shared" si="7"/>
        <v>60</v>
      </c>
      <c r="J26" s="61">
        <f t="shared" si="7"/>
        <v>60</v>
      </c>
      <c r="K26" s="61">
        <f t="shared" si="7"/>
        <v>60</v>
      </c>
      <c r="L26" s="62">
        <f t="shared" si="7"/>
        <v>60</v>
      </c>
      <c r="M26" s="60">
        <f>IF(-M16&gt;=M25,M16,(IF(M$4&gt;0,-M25,0)))</f>
        <v>60</v>
      </c>
      <c r="N26" s="61">
        <f aca="true" t="shared" si="8" ref="N26:T26">IF(-N16&gt;=N25,N16,(IF(N$4&gt;0,-N25,0)))</f>
        <v>60</v>
      </c>
      <c r="O26" s="61">
        <f t="shared" si="8"/>
        <v>0</v>
      </c>
      <c r="P26" s="61">
        <f t="shared" si="8"/>
        <v>0</v>
      </c>
      <c r="Q26" s="61">
        <f t="shared" si="8"/>
        <v>0</v>
      </c>
      <c r="R26" s="61">
        <f t="shared" si="8"/>
        <v>0</v>
      </c>
      <c r="S26" s="61">
        <f t="shared" si="8"/>
        <v>0</v>
      </c>
      <c r="T26" s="62">
        <f t="shared" si="8"/>
        <v>0</v>
      </c>
      <c r="U26" s="51">
        <f>-SUM(E26:T26)</f>
        <v>-600</v>
      </c>
      <c r="V26" s="1"/>
    </row>
    <row r="27" spans="1:22" ht="12.75">
      <c r="A27" s="8"/>
      <c r="B27" s="18" t="s">
        <v>27</v>
      </c>
      <c r="C27" s="18"/>
      <c r="D27" s="26"/>
      <c r="E27" s="63">
        <f>+E25+E26</f>
        <v>-540</v>
      </c>
      <c r="F27" s="64">
        <f aca="true" t="shared" si="9" ref="F27:T27">+F25+F26</f>
        <v>-480</v>
      </c>
      <c r="G27" s="64">
        <f t="shared" si="9"/>
        <v>-420</v>
      </c>
      <c r="H27" s="64">
        <f t="shared" si="9"/>
        <v>-360</v>
      </c>
      <c r="I27" s="64">
        <f t="shared" si="9"/>
        <v>-300</v>
      </c>
      <c r="J27" s="64">
        <f t="shared" si="9"/>
        <v>-240</v>
      </c>
      <c r="K27" s="64">
        <f t="shared" si="9"/>
        <v>-180</v>
      </c>
      <c r="L27" s="65">
        <f t="shared" si="9"/>
        <v>-120</v>
      </c>
      <c r="M27" s="63">
        <f t="shared" si="9"/>
        <v>-60</v>
      </c>
      <c r="N27" s="64">
        <f t="shared" si="9"/>
        <v>0</v>
      </c>
      <c r="O27" s="64">
        <f t="shared" si="9"/>
        <v>0</v>
      </c>
      <c r="P27" s="64">
        <f t="shared" si="9"/>
        <v>0</v>
      </c>
      <c r="Q27" s="64">
        <f t="shared" si="9"/>
        <v>0</v>
      </c>
      <c r="R27" s="64">
        <f t="shared" si="9"/>
        <v>0</v>
      </c>
      <c r="S27" s="64">
        <f t="shared" si="9"/>
        <v>0</v>
      </c>
      <c r="T27" s="65">
        <f t="shared" si="9"/>
        <v>0</v>
      </c>
      <c r="U27" s="51"/>
      <c r="V27" s="1"/>
    </row>
    <row r="28" spans="1:22" ht="12.75">
      <c r="A28" s="8"/>
      <c r="B28" s="18" t="s">
        <v>29</v>
      </c>
      <c r="C28" s="18"/>
      <c r="D28" s="26"/>
      <c r="E28" s="111">
        <f>+E17</f>
        <v>0</v>
      </c>
      <c r="F28" s="96">
        <f aca="true" t="shared" si="10" ref="F28:T28">+F17</f>
        <v>0</v>
      </c>
      <c r="G28" s="96">
        <f t="shared" si="10"/>
        <v>0</v>
      </c>
      <c r="H28" s="96">
        <f t="shared" si="10"/>
        <v>0</v>
      </c>
      <c r="I28" s="96">
        <f t="shared" si="10"/>
        <v>0</v>
      </c>
      <c r="J28" s="96">
        <f t="shared" si="10"/>
        <v>0</v>
      </c>
      <c r="K28" s="96">
        <f t="shared" si="10"/>
        <v>0</v>
      </c>
      <c r="L28" s="97">
        <f t="shared" si="10"/>
        <v>0</v>
      </c>
      <c r="M28" s="115">
        <f t="shared" si="10"/>
        <v>0</v>
      </c>
      <c r="N28" s="96">
        <f t="shared" si="10"/>
        <v>0</v>
      </c>
      <c r="O28" s="96">
        <f t="shared" si="10"/>
        <v>0</v>
      </c>
      <c r="P28" s="96">
        <f t="shared" si="10"/>
        <v>0</v>
      </c>
      <c r="Q28" s="96">
        <f t="shared" si="10"/>
        <v>0</v>
      </c>
      <c r="R28" s="96">
        <f t="shared" si="10"/>
        <v>0</v>
      </c>
      <c r="S28" s="96">
        <f t="shared" si="10"/>
        <v>0</v>
      </c>
      <c r="T28" s="97">
        <f t="shared" si="10"/>
        <v>0</v>
      </c>
      <c r="U28" s="51">
        <f>SUM(E25,E28:T28)</f>
        <v>-600</v>
      </c>
      <c r="V28" s="1"/>
    </row>
    <row r="29" spans="1:22" ht="12.75">
      <c r="A29" s="29"/>
      <c r="B29" s="30" t="s">
        <v>26</v>
      </c>
      <c r="C29" s="30"/>
      <c r="D29" s="26"/>
      <c r="E29" s="66">
        <f>+E28+E27</f>
        <v>-540</v>
      </c>
      <c r="F29" s="67">
        <f aca="true" t="shared" si="11" ref="F29:T29">+F28+F27</f>
        <v>-480</v>
      </c>
      <c r="G29" s="67">
        <f t="shared" si="11"/>
        <v>-420</v>
      </c>
      <c r="H29" s="67">
        <f t="shared" si="11"/>
        <v>-360</v>
      </c>
      <c r="I29" s="67">
        <f t="shared" si="11"/>
        <v>-300</v>
      </c>
      <c r="J29" s="67">
        <f t="shared" si="11"/>
        <v>-240</v>
      </c>
      <c r="K29" s="67">
        <f t="shared" si="11"/>
        <v>-180</v>
      </c>
      <c r="L29" s="68">
        <f t="shared" si="11"/>
        <v>-120</v>
      </c>
      <c r="M29" s="66">
        <f t="shared" si="11"/>
        <v>-60</v>
      </c>
      <c r="N29" s="67">
        <f t="shared" si="11"/>
        <v>0</v>
      </c>
      <c r="O29" s="67">
        <f t="shared" si="11"/>
        <v>0</v>
      </c>
      <c r="P29" s="67">
        <f t="shared" si="11"/>
        <v>0</v>
      </c>
      <c r="Q29" s="67">
        <f t="shared" si="11"/>
        <v>0</v>
      </c>
      <c r="R29" s="67">
        <f t="shared" si="11"/>
        <v>0</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-540</v>
      </c>
      <c r="G33" s="67">
        <f>SUM(G25,$D$31:G31,$D$32:F32)</f>
        <v>-480</v>
      </c>
      <c r="H33" s="67">
        <f>SUM(H25,$D$31:H31,$D$32:G32)</f>
        <v>-420</v>
      </c>
      <c r="I33" s="67">
        <f>SUM(I25,$D$31:I31,$D$32:H32)</f>
        <v>-360</v>
      </c>
      <c r="J33" s="67">
        <f>SUM(J25,$D$31:J31,$D$32:I32)</f>
        <v>-300</v>
      </c>
      <c r="K33" s="67">
        <f>SUM(K25,$D$31:K31,$D$32:J32)</f>
        <v>-240</v>
      </c>
      <c r="L33" s="68">
        <f>SUM(L25,$D$31:L31,$D$32:K32)</f>
        <v>-180</v>
      </c>
      <c r="M33" s="66">
        <f>SUM(M25,$D$31:M31,$D$32:L32)</f>
        <v>-120</v>
      </c>
      <c r="N33" s="67">
        <f>SUM(N25,$D$31:N31,$D$32:M32)</f>
        <v>-60</v>
      </c>
      <c r="O33" s="67">
        <f>SUM(O25,$D$31:O31,$D$32:N32)</f>
        <v>0</v>
      </c>
      <c r="P33" s="67">
        <f>SUM(P25,$D$31:P31,$D$32:O32)</f>
        <v>0</v>
      </c>
      <c r="Q33" s="67">
        <f>SUM(Q25,$D$31:Q31,$D$32:P32)</f>
        <v>0</v>
      </c>
      <c r="R33" s="67">
        <f>SUM(R25,$D$31:R31,$D$32:Q32)</f>
        <v>0</v>
      </c>
      <c r="S33" s="67">
        <f>SUM(S25,$D$31:S31,$D$32:R32)</f>
        <v>0</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40</v>
      </c>
      <c r="H35" s="86">
        <f t="shared" si="13"/>
        <v>40</v>
      </c>
      <c r="I35" s="86">
        <f t="shared" si="13"/>
        <v>40</v>
      </c>
      <c r="J35" s="86">
        <f t="shared" si="13"/>
        <v>40</v>
      </c>
      <c r="K35" s="86">
        <f t="shared" si="13"/>
        <v>40</v>
      </c>
      <c r="L35" s="87">
        <f t="shared" si="13"/>
        <v>40</v>
      </c>
      <c r="M35" s="86">
        <f t="shared" si="13"/>
        <v>40</v>
      </c>
      <c r="N35" s="86">
        <f t="shared" si="13"/>
        <v>40</v>
      </c>
      <c r="O35" s="86">
        <f t="shared" si="13"/>
        <v>40</v>
      </c>
      <c r="P35" s="86">
        <f t="shared" si="13"/>
        <v>40</v>
      </c>
      <c r="Q35" s="86">
        <f t="shared" si="13"/>
        <v>40</v>
      </c>
      <c r="R35" s="86">
        <f t="shared" si="13"/>
        <v>40</v>
      </c>
      <c r="S35" s="86">
        <f t="shared" si="13"/>
        <v>40</v>
      </c>
      <c r="T35" s="87">
        <f t="shared" si="13"/>
        <v>0</v>
      </c>
      <c r="U35" s="51">
        <f>SUM(E35:L35,M35:T35)</f>
        <v>600</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20</v>
      </c>
      <c r="F37" s="48">
        <f>SUM($E$26:F26)-SUM($E$35:F35)-SUM($E$39:F39)</f>
        <v>40</v>
      </c>
      <c r="G37" s="48">
        <f>SUM($E$26:G26)-SUM($E$35:G35)-SUM($E$39:G39)</f>
        <v>60</v>
      </c>
      <c r="H37" s="48">
        <f>SUM($E$26:H26)-SUM($E$35:H35)-SUM($E$39:H39)</f>
        <v>80</v>
      </c>
      <c r="I37" s="48">
        <f>SUM($E$26:I26)-SUM($E$35:I35)-SUM($E$39:I39)</f>
        <v>100</v>
      </c>
      <c r="J37" s="48">
        <f>SUM($E$26:J26)-SUM($E$35:J35)-SUM($E$39:J39)</f>
        <v>120</v>
      </c>
      <c r="K37" s="48">
        <f>SUM($E$26:K26)-SUM($E$35:K35)-SUM($E$39:K39)</f>
        <v>140</v>
      </c>
      <c r="L37" s="51">
        <f>SUM($E$26:L26)-SUM($E$35:L35)-SUM($E$39:L39)</f>
        <v>160</v>
      </c>
      <c r="M37" s="49">
        <f>SUM($E$26:M26)-SUM($E$35:M35)-SUM($E$39:M39)</f>
        <v>180</v>
      </c>
      <c r="N37" s="48">
        <f>SUM($E$26:N26)-SUM($E$35:N35)-SUM($E$39:N39)</f>
        <v>200</v>
      </c>
      <c r="O37" s="48">
        <f>SUM($E$26:O26)-SUM($E$35:O35)-SUM($E$39:O39)</f>
        <v>160</v>
      </c>
      <c r="P37" s="48">
        <f>SUM($E$26:P26)-SUM($E$35:P35)-SUM($E$39:P39)</f>
        <v>120</v>
      </c>
      <c r="Q37" s="48">
        <f>SUM($E$26:Q26)-SUM($E$35:Q35)-SUM($E$39:Q39)</f>
        <v>80</v>
      </c>
      <c r="R37" s="48">
        <f>SUM($E$26:R26)-SUM($E$35:R35)-SUM($E$39:R39)</f>
        <v>40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40</v>
      </c>
      <c r="H41" s="90">
        <f t="shared" si="17"/>
        <v>40</v>
      </c>
      <c r="I41" s="90">
        <f t="shared" si="17"/>
        <v>40</v>
      </c>
      <c r="J41" s="90">
        <f t="shared" si="17"/>
        <v>40</v>
      </c>
      <c r="K41" s="90">
        <f t="shared" si="17"/>
        <v>40</v>
      </c>
      <c r="L41" s="91">
        <f t="shared" si="17"/>
        <v>40</v>
      </c>
      <c r="M41" s="89">
        <f t="shared" si="17"/>
        <v>40</v>
      </c>
      <c r="N41" s="90">
        <f t="shared" si="17"/>
        <v>40</v>
      </c>
      <c r="O41" s="90">
        <f t="shared" si="17"/>
        <v>40</v>
      </c>
      <c r="P41" s="90">
        <f t="shared" si="17"/>
        <v>40</v>
      </c>
      <c r="Q41" s="90">
        <f t="shared" si="17"/>
        <v>40</v>
      </c>
      <c r="R41" s="90">
        <f t="shared" si="17"/>
        <v>40</v>
      </c>
      <c r="S41" s="90">
        <f t="shared" si="17"/>
        <v>40</v>
      </c>
      <c r="T41" s="91">
        <f t="shared" si="17"/>
        <v>0</v>
      </c>
      <c r="U41" s="91">
        <f>SUM(U35:U40)</f>
        <v>600</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E32" sqref="E32:T3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12</v>
      </c>
      <c r="Q2" s="27">
        <f t="shared" si="1"/>
        <v>13</v>
      </c>
      <c r="R2" s="27">
        <f t="shared" si="1"/>
        <v>14</v>
      </c>
      <c r="S2" s="27">
        <f t="shared" si="1"/>
        <v>15</v>
      </c>
      <c r="T2" s="27">
        <f t="shared" si="1"/>
        <v>0</v>
      </c>
      <c r="U2" s="78">
        <f>MAX(E2:T2)</f>
        <v>15</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40</v>
      </c>
      <c r="F14" s="101">
        <f>IF(F5&gt;0,(+$D$13-SUM($E$17:E17))/$D$14,0)</f>
        <v>40</v>
      </c>
      <c r="G14" s="101">
        <f>IF(G5&gt;0,(+$D$13-SUM($E$17:F17))/$D$14,0)</f>
        <v>36.666666666666664</v>
      </c>
      <c r="H14" s="101">
        <f>IF(H5&gt;0,(+$D$13-SUM($E$17:G17))/$D$14,0)</f>
        <v>36.666666666666664</v>
      </c>
      <c r="I14" s="101">
        <f>IF(I5&gt;0,(+$D$13-SUM($E$17:H17))/$D$14,0)</f>
        <v>36.666666666666664</v>
      </c>
      <c r="J14" s="101">
        <f>IF(J5&gt;0,(+$D$13-SUM($E$17:I17))/$D$14,0)</f>
        <v>38.666666666666664</v>
      </c>
      <c r="K14" s="101">
        <f>IF(K5&gt;0,(+$D$13-SUM($E$17:J17))/$D$14,0)</f>
        <v>38.666666666666664</v>
      </c>
      <c r="L14" s="101">
        <f>IF(L5&gt;0,(+$D$13-SUM($E$17:K17))/$D$14,0)</f>
        <v>38.666666666666664</v>
      </c>
      <c r="M14" s="101">
        <f>IF(M5&gt;0,(+$D$13-SUM($E$17:L17))/$D$14,0)</f>
        <v>37.333333333333336</v>
      </c>
      <c r="N14" s="101">
        <f>IF(N5&gt;0,(+$D$13-SUM($E$17:M17))/$D$14,0)</f>
        <v>37.333333333333336</v>
      </c>
      <c r="O14" s="101">
        <f>IF(O5&gt;0,(+$D$13-SUM($E$17:N17))/$D$14,0)</f>
        <v>37.333333333333336</v>
      </c>
      <c r="P14" s="101">
        <f>IF(P5&gt;0,(+$D$13-SUM($E$17:O17))/$D$14,0)</f>
        <v>36.666666666666664</v>
      </c>
      <c r="Q14" s="101">
        <f>IF(Q5&gt;0,(+$D$13-SUM($E$17:P17))/$D$14,0)</f>
        <v>36.666666666666664</v>
      </c>
      <c r="R14" s="101">
        <f>IF(R5&gt;0,(+$D$13-SUM($E$17:Q17))/$D$14,0)</f>
        <v>36.666666666666664</v>
      </c>
      <c r="S14" s="101">
        <f>IF(S5&gt;0,(+$D$13-SUM($E$17:R17))/$D$14,0)</f>
        <v>36.86666666666667</v>
      </c>
      <c r="T14" s="101">
        <f>IF(T5&gt;0,(+$D$13-SUM($E$17:S17))/$D$14,0)</f>
        <v>0</v>
      </c>
      <c r="U14" s="52">
        <f>-SUM(E14:T14)</f>
        <v>-564.8666666666667</v>
      </c>
      <c r="W14" s="1"/>
      <c r="X14" s="1"/>
      <c r="Y14" s="1"/>
      <c r="Z14" s="1"/>
    </row>
    <row r="15" spans="1:26" ht="12.75">
      <c r="A15" s="39"/>
      <c r="B15" s="9" t="s">
        <v>32</v>
      </c>
      <c r="C15" s="94">
        <v>2</v>
      </c>
      <c r="E15" s="102">
        <v>40</v>
      </c>
      <c r="F15" s="102">
        <v>40</v>
      </c>
      <c r="G15" s="102">
        <f>-F29/($T$13-G13)</f>
        <v>36.15384615384615</v>
      </c>
      <c r="H15" s="102">
        <f>+G15</f>
        <v>36.15384615384615</v>
      </c>
      <c r="I15" s="102">
        <f>+H15</f>
        <v>36.15384615384615</v>
      </c>
      <c r="J15" s="102">
        <f>-I29/($T$13-J13)</f>
        <v>39.15384615384616</v>
      </c>
      <c r="K15" s="102">
        <f>+J15</f>
        <v>39.15384615384616</v>
      </c>
      <c r="L15" s="102">
        <f>+K15</f>
        <v>39.15384615384616</v>
      </c>
      <c r="M15" s="102">
        <f>-L29/($T$13-M13)</f>
        <v>36.2967032967033</v>
      </c>
      <c r="N15" s="102">
        <f>+M15</f>
        <v>36.2967032967033</v>
      </c>
      <c r="O15" s="102">
        <f>+N15</f>
        <v>36.2967032967033</v>
      </c>
      <c r="P15" s="102">
        <f>-O29/($T$13-P13)</f>
        <v>33.7967032967033</v>
      </c>
      <c r="Q15" s="102">
        <f>+P15</f>
        <v>33.7967032967033</v>
      </c>
      <c r="R15" s="102">
        <f>+Q15</f>
        <v>33.7967032967033</v>
      </c>
      <c r="S15" s="102">
        <f>-R29/($T$13-S13)</f>
        <v>36.7967032967033</v>
      </c>
      <c r="T15" s="102"/>
      <c r="U15" s="52">
        <f>-SUM(E15:T15)</f>
        <v>-553.0000000000001</v>
      </c>
      <c r="W15" s="1"/>
      <c r="X15" s="1"/>
      <c r="Y15" s="1"/>
      <c r="Z15" s="1"/>
    </row>
    <row r="16" spans="1:23" ht="12.75">
      <c r="A16" s="8"/>
      <c r="B16" s="95" t="s">
        <v>38</v>
      </c>
      <c r="C16" s="70">
        <v>2</v>
      </c>
      <c r="E16" s="92">
        <f>VLOOKUP($C$16,$C$14:$T$15,E1+2)</f>
        <v>40</v>
      </c>
      <c r="F16" s="92">
        <f aca="true" t="shared" si="4" ref="F16:T16">VLOOKUP($C$16,$C$14:$T$15,F1+2)</f>
        <v>40</v>
      </c>
      <c r="G16" s="92">
        <f t="shared" si="4"/>
        <v>36.15384615384615</v>
      </c>
      <c r="H16" s="92">
        <f t="shared" si="4"/>
        <v>36.15384615384615</v>
      </c>
      <c r="I16" s="92">
        <f t="shared" si="4"/>
        <v>36.15384615384615</v>
      </c>
      <c r="J16" s="92">
        <f t="shared" si="4"/>
        <v>39.15384615384616</v>
      </c>
      <c r="K16" s="92">
        <f t="shared" si="4"/>
        <v>39.15384615384616</v>
      </c>
      <c r="L16" s="92">
        <f t="shared" si="4"/>
        <v>39.15384615384616</v>
      </c>
      <c r="M16" s="92">
        <f t="shared" si="4"/>
        <v>36.2967032967033</v>
      </c>
      <c r="N16" s="92">
        <f t="shared" si="4"/>
        <v>36.2967032967033</v>
      </c>
      <c r="O16" s="92">
        <f t="shared" si="4"/>
        <v>36.2967032967033</v>
      </c>
      <c r="P16" s="92">
        <f t="shared" si="4"/>
        <v>33.7967032967033</v>
      </c>
      <c r="Q16" s="92">
        <f t="shared" si="4"/>
        <v>33.7967032967033</v>
      </c>
      <c r="R16" s="92">
        <f t="shared" si="4"/>
        <v>33.7967032967033</v>
      </c>
      <c r="S16" s="92">
        <f t="shared" si="4"/>
        <v>36.7967032967033</v>
      </c>
      <c r="T16" s="92">
        <f t="shared" si="4"/>
        <v>0</v>
      </c>
      <c r="U16" s="69">
        <f>-SUM(E16:T16)</f>
        <v>-553.0000000000001</v>
      </c>
      <c r="V16" s="1"/>
      <c r="W16" t="s">
        <v>7</v>
      </c>
    </row>
    <row r="17" spans="1:22" s="84" customFormat="1" ht="12.75">
      <c r="A17" s="80"/>
      <c r="B17" s="75" t="s">
        <v>40</v>
      </c>
      <c r="C17" s="74"/>
      <c r="D17" s="81"/>
      <c r="E17" s="52"/>
      <c r="F17" s="121">
        <v>50</v>
      </c>
      <c r="G17" s="103"/>
      <c r="H17" s="103"/>
      <c r="I17" s="121">
        <v>-30</v>
      </c>
      <c r="J17" s="103"/>
      <c r="K17" s="103"/>
      <c r="L17" s="121">
        <v>20</v>
      </c>
      <c r="M17" s="103"/>
      <c r="N17" s="103"/>
      <c r="O17" s="121">
        <v>10</v>
      </c>
      <c r="P17" s="103"/>
      <c r="Q17" s="103"/>
      <c r="R17" s="121">
        <v>-3</v>
      </c>
      <c r="S17" s="103"/>
      <c r="T17" s="103"/>
      <c r="U17" s="82"/>
      <c r="V17" s="83"/>
    </row>
    <row r="18" spans="1:22" ht="12.75">
      <c r="A18" s="8"/>
      <c r="B18" s="18" t="s">
        <v>41</v>
      </c>
      <c r="C18" s="18"/>
      <c r="D18" s="81"/>
      <c r="E18" s="103"/>
      <c r="F18" s="103"/>
      <c r="G18" s="103"/>
      <c r="H18" s="103"/>
      <c r="I18" s="103"/>
      <c r="J18" s="103"/>
      <c r="K18" s="103"/>
      <c r="L18" s="103"/>
      <c r="M18" s="103"/>
      <c r="N18" s="103"/>
      <c r="O18" s="103"/>
      <c r="P18" s="103"/>
      <c r="Q18" s="103"/>
      <c r="R18" s="103"/>
      <c r="S18" s="103"/>
      <c r="T18" s="103"/>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-560</v>
      </c>
      <c r="G25" s="48">
        <f aca="true" t="shared" si="6" ref="G25:T25">IF(F29&lt;=0,+F29,0)</f>
        <v>-470</v>
      </c>
      <c r="H25" s="48">
        <f t="shared" si="6"/>
        <v>-433.84615384615387</v>
      </c>
      <c r="I25" s="48">
        <f t="shared" si="6"/>
        <v>-397.69230769230774</v>
      </c>
      <c r="J25" s="48">
        <f t="shared" si="6"/>
        <v>-391.5384615384616</v>
      </c>
      <c r="K25" s="48">
        <f t="shared" si="6"/>
        <v>-352.3846153846155</v>
      </c>
      <c r="L25" s="51">
        <f t="shared" si="6"/>
        <v>-313.2307692307693</v>
      </c>
      <c r="M25" s="49">
        <f t="shared" si="6"/>
        <v>-254.0769230769231</v>
      </c>
      <c r="N25" s="48">
        <f t="shared" si="6"/>
        <v>-217.7802197802198</v>
      </c>
      <c r="O25" s="48">
        <f t="shared" si="6"/>
        <v>-181.4835164835165</v>
      </c>
      <c r="P25" s="48">
        <f t="shared" si="6"/>
        <v>-135.1868131868132</v>
      </c>
      <c r="Q25" s="48">
        <f t="shared" si="6"/>
        <v>-101.3901098901099</v>
      </c>
      <c r="R25" s="48">
        <f t="shared" si="6"/>
        <v>-67.5934065934066</v>
      </c>
      <c r="S25" s="48">
        <f t="shared" si="6"/>
        <v>-36.7967032967033</v>
      </c>
      <c r="T25" s="51">
        <f t="shared" si="6"/>
        <v>0</v>
      </c>
      <c r="U25" s="51"/>
      <c r="V25" s="1"/>
    </row>
    <row r="26" spans="1:22" ht="12.75">
      <c r="A26" s="29"/>
      <c r="B26" s="30" t="s">
        <v>23</v>
      </c>
      <c r="C26" s="30"/>
      <c r="D26" s="26">
        <f>IF(D14=0,0,D14)</f>
        <v>15</v>
      </c>
      <c r="E26" s="60">
        <f aca="true" t="shared" si="7" ref="E26:L26">IF(-E16&gt;=E25,E16,(IF(E$4&gt;0,-E25,0)))</f>
        <v>40</v>
      </c>
      <c r="F26" s="61">
        <f t="shared" si="7"/>
        <v>40</v>
      </c>
      <c r="G26" s="61">
        <f t="shared" si="7"/>
        <v>36.15384615384615</v>
      </c>
      <c r="H26" s="61">
        <f t="shared" si="7"/>
        <v>36.15384615384615</v>
      </c>
      <c r="I26" s="61">
        <f t="shared" si="7"/>
        <v>36.15384615384615</v>
      </c>
      <c r="J26" s="61">
        <f t="shared" si="7"/>
        <v>39.15384615384616</v>
      </c>
      <c r="K26" s="61">
        <f t="shared" si="7"/>
        <v>39.15384615384616</v>
      </c>
      <c r="L26" s="62">
        <f t="shared" si="7"/>
        <v>39.15384615384616</v>
      </c>
      <c r="M26" s="60">
        <f>IF(-M16&gt;=M25,M16,(IF(M$4&gt;0,-M25,0)))</f>
        <v>36.2967032967033</v>
      </c>
      <c r="N26" s="61">
        <f aca="true" t="shared" si="8" ref="N26:T26">IF(-N16&gt;=N25,N16,(IF(N$4&gt;0,-N25,0)))</f>
        <v>36.2967032967033</v>
      </c>
      <c r="O26" s="61">
        <f t="shared" si="8"/>
        <v>36.2967032967033</v>
      </c>
      <c r="P26" s="61">
        <f t="shared" si="8"/>
        <v>33.7967032967033</v>
      </c>
      <c r="Q26" s="61">
        <f t="shared" si="8"/>
        <v>33.7967032967033</v>
      </c>
      <c r="R26" s="61">
        <f t="shared" si="8"/>
        <v>33.7967032967033</v>
      </c>
      <c r="S26" s="61">
        <f t="shared" si="8"/>
        <v>36.7967032967033</v>
      </c>
      <c r="T26" s="62">
        <f t="shared" si="8"/>
        <v>0</v>
      </c>
      <c r="U26" s="51">
        <f>-SUM(E26:T26)</f>
        <v>-553.0000000000001</v>
      </c>
      <c r="V26" s="1"/>
    </row>
    <row r="27" spans="1:22" ht="12.75">
      <c r="A27" s="8"/>
      <c r="B27" s="18" t="s">
        <v>27</v>
      </c>
      <c r="C27" s="18"/>
      <c r="D27" s="26"/>
      <c r="E27" s="63">
        <f>+E25+E26</f>
        <v>-560</v>
      </c>
      <c r="F27" s="64">
        <f aca="true" t="shared" si="9" ref="F27:T27">+F25+F26</f>
        <v>-520</v>
      </c>
      <c r="G27" s="64">
        <f t="shared" si="9"/>
        <v>-433.84615384615387</v>
      </c>
      <c r="H27" s="64">
        <f t="shared" si="9"/>
        <v>-397.69230769230774</v>
      </c>
      <c r="I27" s="64">
        <f t="shared" si="9"/>
        <v>-361.5384615384616</v>
      </c>
      <c r="J27" s="64">
        <f t="shared" si="9"/>
        <v>-352.3846153846155</v>
      </c>
      <c r="K27" s="64">
        <f t="shared" si="9"/>
        <v>-313.2307692307693</v>
      </c>
      <c r="L27" s="65">
        <f t="shared" si="9"/>
        <v>-274.0769230769231</v>
      </c>
      <c r="M27" s="63">
        <f t="shared" si="9"/>
        <v>-217.7802197802198</v>
      </c>
      <c r="N27" s="64">
        <f t="shared" si="9"/>
        <v>-181.4835164835165</v>
      </c>
      <c r="O27" s="64">
        <f t="shared" si="9"/>
        <v>-145.1868131868132</v>
      </c>
      <c r="P27" s="64">
        <f t="shared" si="9"/>
        <v>-101.3901098901099</v>
      </c>
      <c r="Q27" s="64">
        <f t="shared" si="9"/>
        <v>-67.5934065934066</v>
      </c>
      <c r="R27" s="64">
        <f t="shared" si="9"/>
        <v>-33.7967032967033</v>
      </c>
      <c r="S27" s="64">
        <f t="shared" si="9"/>
        <v>0</v>
      </c>
      <c r="T27" s="65">
        <f t="shared" si="9"/>
        <v>0</v>
      </c>
      <c r="U27" s="51"/>
      <c r="V27" s="1"/>
    </row>
    <row r="28" spans="1:22" ht="12.75">
      <c r="A28" s="8"/>
      <c r="B28" s="18" t="s">
        <v>29</v>
      </c>
      <c r="C28" s="18"/>
      <c r="D28" s="26"/>
      <c r="E28" s="111">
        <f>+E17</f>
        <v>0</v>
      </c>
      <c r="F28" s="96">
        <f aca="true" t="shared" si="10" ref="F28:T28">+F17</f>
        <v>50</v>
      </c>
      <c r="G28" s="96">
        <f t="shared" si="10"/>
        <v>0</v>
      </c>
      <c r="H28" s="96">
        <f t="shared" si="10"/>
        <v>0</v>
      </c>
      <c r="I28" s="96">
        <f t="shared" si="10"/>
        <v>-30</v>
      </c>
      <c r="J28" s="96">
        <f t="shared" si="10"/>
        <v>0</v>
      </c>
      <c r="K28" s="96">
        <f t="shared" si="10"/>
        <v>0</v>
      </c>
      <c r="L28" s="97">
        <f t="shared" si="10"/>
        <v>20</v>
      </c>
      <c r="M28" s="115">
        <f t="shared" si="10"/>
        <v>0</v>
      </c>
      <c r="N28" s="96">
        <f t="shared" si="10"/>
        <v>0</v>
      </c>
      <c r="O28" s="96">
        <f t="shared" si="10"/>
        <v>10</v>
      </c>
      <c r="P28" s="96">
        <f t="shared" si="10"/>
        <v>0</v>
      </c>
      <c r="Q28" s="96">
        <f t="shared" si="10"/>
        <v>0</v>
      </c>
      <c r="R28" s="96">
        <f t="shared" si="10"/>
        <v>-3</v>
      </c>
      <c r="S28" s="96">
        <f t="shared" si="10"/>
        <v>0</v>
      </c>
      <c r="T28" s="97">
        <f t="shared" si="10"/>
        <v>0</v>
      </c>
      <c r="U28" s="51">
        <f>SUM(E25,E28:T28)</f>
        <v>-553</v>
      </c>
      <c r="V28" s="1"/>
    </row>
    <row r="29" spans="1:22" ht="12.75">
      <c r="A29" s="29"/>
      <c r="B29" s="30" t="s">
        <v>26</v>
      </c>
      <c r="C29" s="30"/>
      <c r="D29" s="26"/>
      <c r="E29" s="66">
        <f>+E28+E27</f>
        <v>-560</v>
      </c>
      <c r="F29" s="67">
        <f aca="true" t="shared" si="11" ref="F29:T29">+F28+F27</f>
        <v>-470</v>
      </c>
      <c r="G29" s="67">
        <f t="shared" si="11"/>
        <v>-433.84615384615387</v>
      </c>
      <c r="H29" s="67">
        <f t="shared" si="11"/>
        <v>-397.69230769230774</v>
      </c>
      <c r="I29" s="67">
        <f t="shared" si="11"/>
        <v>-391.5384615384616</v>
      </c>
      <c r="J29" s="67">
        <f t="shared" si="11"/>
        <v>-352.3846153846155</v>
      </c>
      <c r="K29" s="67">
        <f t="shared" si="11"/>
        <v>-313.2307692307693</v>
      </c>
      <c r="L29" s="68">
        <f t="shared" si="11"/>
        <v>-254.0769230769231</v>
      </c>
      <c r="M29" s="66">
        <f t="shared" si="11"/>
        <v>-217.7802197802198</v>
      </c>
      <c r="N29" s="67">
        <f t="shared" si="11"/>
        <v>-181.4835164835165</v>
      </c>
      <c r="O29" s="67">
        <f t="shared" si="11"/>
        <v>-135.1868131868132</v>
      </c>
      <c r="P29" s="67">
        <f t="shared" si="11"/>
        <v>-101.3901098901099</v>
      </c>
      <c r="Q29" s="67">
        <f t="shared" si="11"/>
        <v>-67.5934065934066</v>
      </c>
      <c r="R29" s="67">
        <f t="shared" si="11"/>
        <v>-36.7967032967033</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0</v>
      </c>
      <c r="J31" s="109">
        <f t="shared" si="12"/>
        <v>0</v>
      </c>
      <c r="K31" s="109">
        <f t="shared" si="12"/>
        <v>0</v>
      </c>
      <c r="L31" s="110">
        <f t="shared" si="12"/>
        <v>0</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0</v>
      </c>
      <c r="M32" s="60">
        <f>IF(M28&lt;&gt;0,-SUM($E31:L32),0)</f>
        <v>0</v>
      </c>
      <c r="N32" s="61">
        <f>IF(N28&lt;&gt;0,-SUM($E31:M32),0)</f>
        <v>0</v>
      </c>
      <c r="O32" s="61">
        <f>IF(O28&lt;&gt;0,-SUM($E31:N32),0)</f>
        <v>0</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-560</v>
      </c>
      <c r="G33" s="67">
        <f>SUM(G25,$D$31:G31,$D$32:F32)</f>
        <v>-470</v>
      </c>
      <c r="H33" s="67">
        <f>SUM(H25,$D$31:H31,$D$32:G32)</f>
        <v>-433.84615384615387</v>
      </c>
      <c r="I33" s="67">
        <f>SUM(I25,$D$31:I31,$D$32:H32)</f>
        <v>-397.69230769230774</v>
      </c>
      <c r="J33" s="67">
        <f>SUM(J25,$D$31:J31,$D$32:I32)</f>
        <v>-391.5384615384616</v>
      </c>
      <c r="K33" s="67">
        <f>SUM(K25,$D$31:K31,$D$32:J32)</f>
        <v>-352.3846153846155</v>
      </c>
      <c r="L33" s="68">
        <f>SUM(L25,$D$31:L31,$D$32:K32)</f>
        <v>-313.2307692307693</v>
      </c>
      <c r="M33" s="66">
        <f>SUM(M25,$D$31:M31,$D$32:L32)</f>
        <v>-254.0769230769231</v>
      </c>
      <c r="N33" s="67">
        <f>SUM(N25,$D$31:N31,$D$32:M32)</f>
        <v>-217.7802197802198</v>
      </c>
      <c r="O33" s="67">
        <f>SUM(O25,$D$31:O31,$D$32:N32)</f>
        <v>-181.4835164835165</v>
      </c>
      <c r="P33" s="67">
        <f>SUM(P25,$D$31:P31,$D$32:O32)</f>
        <v>-135.1868131868132</v>
      </c>
      <c r="Q33" s="67">
        <f>SUM(Q25,$D$31:Q31,$D$32:P32)</f>
        <v>-101.3901098901099</v>
      </c>
      <c r="R33" s="67">
        <f>SUM(R25,$D$31:R31,$D$32:Q32)</f>
        <v>-67.5934065934066</v>
      </c>
      <c r="S33" s="67">
        <f>SUM(S25,$D$31:S31,$D$32:R32)</f>
        <v>-36.7967032967033</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36.15384615384615</v>
      </c>
      <c r="H35" s="86">
        <f t="shared" si="13"/>
        <v>36.15384615384615</v>
      </c>
      <c r="I35" s="86">
        <f t="shared" si="13"/>
        <v>36.15384615384615</v>
      </c>
      <c r="J35" s="86">
        <f t="shared" si="13"/>
        <v>39.15384615384616</v>
      </c>
      <c r="K35" s="86">
        <f t="shared" si="13"/>
        <v>39.15384615384616</v>
      </c>
      <c r="L35" s="87">
        <f t="shared" si="13"/>
        <v>39.15384615384616</v>
      </c>
      <c r="M35" s="86">
        <f t="shared" si="13"/>
        <v>36.2967032967033</v>
      </c>
      <c r="N35" s="86">
        <f t="shared" si="13"/>
        <v>36.2967032967033</v>
      </c>
      <c r="O35" s="86">
        <f t="shared" si="13"/>
        <v>36.2967032967033</v>
      </c>
      <c r="P35" s="86">
        <f t="shared" si="13"/>
        <v>33.7967032967033</v>
      </c>
      <c r="Q35" s="86">
        <f t="shared" si="13"/>
        <v>33.7967032967033</v>
      </c>
      <c r="R35" s="86">
        <f t="shared" si="13"/>
        <v>33.7967032967033</v>
      </c>
      <c r="S35" s="86">
        <f t="shared" si="13"/>
        <v>36.7967032967033</v>
      </c>
      <c r="T35" s="87">
        <f t="shared" si="13"/>
        <v>0</v>
      </c>
      <c r="U35" s="51">
        <f>SUM(E35:L35,M35:T35)</f>
        <v>553.0000000000001</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0</v>
      </c>
      <c r="J36" s="86">
        <f t="shared" si="14"/>
        <v>0</v>
      </c>
      <c r="K36" s="86">
        <f t="shared" si="14"/>
        <v>0</v>
      </c>
      <c r="L36" s="87">
        <f t="shared" si="14"/>
        <v>0</v>
      </c>
      <c r="M36" s="86">
        <f t="shared" si="14"/>
        <v>0</v>
      </c>
      <c r="N36" s="86">
        <f t="shared" si="14"/>
        <v>0</v>
      </c>
      <c r="O36" s="86">
        <f t="shared" si="14"/>
        <v>0</v>
      </c>
      <c r="P36" s="86">
        <f t="shared" si="14"/>
        <v>0</v>
      </c>
      <c r="Q36" s="86">
        <f t="shared" si="14"/>
        <v>0</v>
      </c>
      <c r="R36" s="86">
        <f t="shared" si="14"/>
        <v>0</v>
      </c>
      <c r="S36" s="86">
        <f t="shared" si="14"/>
        <v>0</v>
      </c>
      <c r="T36" s="87">
        <f t="shared" si="14"/>
        <v>0</v>
      </c>
      <c r="U36" s="51">
        <f>SUM(E36:L36,M36:T36)</f>
        <v>0</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36.15384615384615</v>
      </c>
      <c r="H41" s="90">
        <f t="shared" si="17"/>
        <v>36.15384615384615</v>
      </c>
      <c r="I41" s="90">
        <f t="shared" si="17"/>
        <v>36.15384615384615</v>
      </c>
      <c r="J41" s="90">
        <f t="shared" si="17"/>
        <v>39.15384615384616</v>
      </c>
      <c r="K41" s="90">
        <f t="shared" si="17"/>
        <v>39.15384615384616</v>
      </c>
      <c r="L41" s="91">
        <f t="shared" si="17"/>
        <v>39.15384615384616</v>
      </c>
      <c r="M41" s="89">
        <f t="shared" si="17"/>
        <v>36.2967032967033</v>
      </c>
      <c r="N41" s="90">
        <f t="shared" si="17"/>
        <v>36.2967032967033</v>
      </c>
      <c r="O41" s="90">
        <f t="shared" si="17"/>
        <v>36.2967032967033</v>
      </c>
      <c r="P41" s="90">
        <f t="shared" si="17"/>
        <v>33.7967032967033</v>
      </c>
      <c r="Q41" s="90">
        <f t="shared" si="17"/>
        <v>33.7967032967033</v>
      </c>
      <c r="R41" s="90">
        <f t="shared" si="17"/>
        <v>33.7967032967033</v>
      </c>
      <c r="S41" s="90">
        <f t="shared" si="17"/>
        <v>36.7967032967033</v>
      </c>
      <c r="T41" s="91">
        <f t="shared" si="17"/>
        <v>0</v>
      </c>
      <c r="U41" s="91">
        <f>SUM(U35:U40)</f>
        <v>553.0000000000001</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0</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A20" sqref="A20:U42"/>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3</v>
      </c>
      <c r="H2" s="27">
        <f t="shared" si="1"/>
        <v>4</v>
      </c>
      <c r="I2" s="27">
        <f t="shared" si="1"/>
        <v>5</v>
      </c>
      <c r="J2" s="27">
        <f t="shared" si="1"/>
        <v>6</v>
      </c>
      <c r="K2" s="27">
        <f t="shared" si="1"/>
        <v>7</v>
      </c>
      <c r="L2" s="27">
        <f t="shared" si="1"/>
        <v>8</v>
      </c>
      <c r="M2" s="27">
        <f t="shared" si="1"/>
        <v>9</v>
      </c>
      <c r="N2" s="27">
        <f t="shared" si="1"/>
        <v>10</v>
      </c>
      <c r="O2" s="27">
        <f t="shared" si="1"/>
        <v>11</v>
      </c>
      <c r="P2" s="27">
        <f t="shared" si="1"/>
        <v>0</v>
      </c>
      <c r="Q2" s="27">
        <f t="shared" si="1"/>
        <v>0</v>
      </c>
      <c r="R2" s="27">
        <f t="shared" si="1"/>
        <v>0</v>
      </c>
      <c r="S2" s="27">
        <f t="shared" si="1"/>
        <v>0</v>
      </c>
      <c r="T2" s="27">
        <f t="shared" si="1"/>
        <v>0</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10</v>
      </c>
      <c r="F5" s="2">
        <f>MAX(+E5-1,0)</f>
        <v>9</v>
      </c>
      <c r="G5" s="2">
        <f t="shared" si="2"/>
        <v>8</v>
      </c>
      <c r="H5" s="2">
        <f t="shared" si="2"/>
        <v>7</v>
      </c>
      <c r="I5" s="2">
        <f t="shared" si="2"/>
        <v>6</v>
      </c>
      <c r="J5" s="2">
        <f t="shared" si="2"/>
        <v>5</v>
      </c>
      <c r="K5" s="2">
        <f t="shared" si="2"/>
        <v>4</v>
      </c>
      <c r="L5" s="2">
        <f t="shared" si="2"/>
        <v>3</v>
      </c>
      <c r="M5" s="2">
        <f t="shared" si="2"/>
        <v>2</v>
      </c>
      <c r="N5" s="2">
        <f t="shared" si="2"/>
        <v>1</v>
      </c>
      <c r="O5" s="2">
        <f t="shared" si="2"/>
        <v>0</v>
      </c>
      <c r="P5" s="2">
        <f t="shared" si="2"/>
        <v>0</v>
      </c>
      <c r="Q5" s="2">
        <f t="shared" si="2"/>
        <v>0</v>
      </c>
      <c r="R5" s="2">
        <f t="shared" si="2"/>
        <v>0</v>
      </c>
      <c r="S5" s="2">
        <f t="shared" si="2"/>
        <v>0</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10</v>
      </c>
      <c r="E14" s="101">
        <f>IF(E5&gt;0,(+$D$13-SUM(D$17:$E17))/$D$14,0)</f>
        <v>60</v>
      </c>
      <c r="F14" s="101">
        <f>IF(F5&gt;0,(+$D$13-SUM($E$17:E17))/$D$14,0)</f>
        <v>60</v>
      </c>
      <c r="G14" s="101">
        <f>IF(G5&gt;0,(+$D$13-SUM($E$17:F17))/$D$14,0)</f>
        <v>65</v>
      </c>
      <c r="H14" s="101">
        <f>IF(H5&gt;0,(+$D$13-SUM($E$17:G17))/$D$14,0)</f>
        <v>65</v>
      </c>
      <c r="I14" s="101">
        <f>IF(I5&gt;0,(+$D$13-SUM($E$17:H17))/$D$14,0)</f>
        <v>65</v>
      </c>
      <c r="J14" s="101">
        <f>IF(J5&gt;0,(+$D$13-SUM($E$17:I17))/$D$14,0)</f>
        <v>63</v>
      </c>
      <c r="K14" s="101">
        <f>IF(K5&gt;0,(+$D$13-SUM($E$17:J17))/$D$14,0)</f>
        <v>63</v>
      </c>
      <c r="L14" s="101">
        <f>IF(L5&gt;0,(+$D$13-SUM($E$17:K17))/$D$14,0)</f>
        <v>63</v>
      </c>
      <c r="M14" s="101">
        <f>IF(M5&gt;0,(+$D$13-SUM($E$17:L17))/$D$14,0)</f>
        <v>62</v>
      </c>
      <c r="N14" s="101">
        <f>IF(N5&gt;0,(+$D$13-SUM($E$17:M17))/$D$14,0)</f>
        <v>62</v>
      </c>
      <c r="O14" s="101">
        <f>IF(O5&gt;0,(+$D$13-SUM($E$17:N17))/$D$14,0)</f>
        <v>0</v>
      </c>
      <c r="P14" s="101">
        <f>IF(P5&gt;0,(+$D$13-SUM($E$17:O17))/$D$14,0)</f>
        <v>0</v>
      </c>
      <c r="Q14" s="101">
        <f>IF(Q5&gt;0,(+$D$13-SUM($E$17:P17))/$D$14,0)</f>
        <v>0</v>
      </c>
      <c r="R14" s="101">
        <f>IF(R5&gt;0,(+$D$13-SUM($E$17:Q17))/$D$14,0)</f>
        <v>0</v>
      </c>
      <c r="S14" s="101">
        <f>IF(S5&gt;0,(+$D$13-SUM($E$17:R17))/$D$14,0)</f>
        <v>0</v>
      </c>
      <c r="T14" s="101">
        <f>IF(T5&gt;0,(+$D$13-SUM($E$17:S17))/$D$14,0)</f>
        <v>0</v>
      </c>
      <c r="U14" s="52">
        <f>-SUM(E14:T14)</f>
        <v>-628</v>
      </c>
      <c r="W14" s="1"/>
      <c r="X14" s="1"/>
      <c r="Y14" s="1"/>
      <c r="Z14" s="1"/>
    </row>
    <row r="15" spans="1:26" ht="12.75">
      <c r="A15" s="39"/>
      <c r="B15" s="9" t="s">
        <v>32</v>
      </c>
      <c r="C15" s="94">
        <v>2</v>
      </c>
      <c r="E15" s="102">
        <v>40</v>
      </c>
      <c r="F15" s="102">
        <v>40</v>
      </c>
      <c r="G15" s="102">
        <f>-F29/($T$13-G13)</f>
        <v>40.76923076923077</v>
      </c>
      <c r="H15" s="102">
        <f>+G15</f>
        <v>40.76923076923077</v>
      </c>
      <c r="I15" s="102">
        <f>+H15</f>
        <v>40.76923076923077</v>
      </c>
      <c r="J15" s="102">
        <f>-I29/($T$13-J13)</f>
        <v>31.5</v>
      </c>
      <c r="K15" s="102">
        <f>+J15</f>
        <v>31.5</v>
      </c>
      <c r="L15" s="102">
        <f>+K15</f>
        <v>31.5</v>
      </c>
      <c r="M15" s="102">
        <f>-L29/($T$13-M13)</f>
        <v>16.571428571428573</v>
      </c>
      <c r="N15" s="102">
        <f>+M15</f>
        <v>16.571428571428573</v>
      </c>
      <c r="O15" s="102">
        <f>+N15</f>
        <v>16.571428571428573</v>
      </c>
      <c r="P15" s="102">
        <f>-O29/($T$13-P13)</f>
        <v>-0.00025</v>
      </c>
      <c r="Q15" s="102">
        <f>+P15</f>
        <v>-0.00025</v>
      </c>
      <c r="R15" s="102">
        <f>+Q15</f>
        <v>-0.00025</v>
      </c>
      <c r="S15" s="102">
        <f>-R29/($T$13-S13)</f>
        <v>-0.001</v>
      </c>
      <c r="T15" s="102"/>
      <c r="U15" s="52">
        <f>-SUM(E15:T15)</f>
        <v>-346.520228021978</v>
      </c>
      <c r="W15" s="1"/>
      <c r="X15" s="1"/>
      <c r="Y15" s="1"/>
      <c r="Z15" s="1"/>
    </row>
    <row r="16" spans="1:23" ht="12.75">
      <c r="A16" s="8"/>
      <c r="B16" s="95" t="s">
        <v>38</v>
      </c>
      <c r="C16" s="70">
        <v>1</v>
      </c>
      <c r="E16" s="92">
        <f>VLOOKUP($C$16,$C$14:$T$15,E1+2)</f>
        <v>60</v>
      </c>
      <c r="F16" s="92">
        <f aca="true" t="shared" si="4" ref="F16:T16">VLOOKUP($C$16,$C$14:$T$15,F1+2)</f>
        <v>60</v>
      </c>
      <c r="G16" s="92">
        <f t="shared" si="4"/>
        <v>65</v>
      </c>
      <c r="H16" s="92">
        <f t="shared" si="4"/>
        <v>65</v>
      </c>
      <c r="I16" s="92">
        <f t="shared" si="4"/>
        <v>65</v>
      </c>
      <c r="J16" s="92">
        <f t="shared" si="4"/>
        <v>63</v>
      </c>
      <c r="K16" s="92">
        <f t="shared" si="4"/>
        <v>63</v>
      </c>
      <c r="L16" s="92">
        <f t="shared" si="4"/>
        <v>63</v>
      </c>
      <c r="M16" s="92">
        <f t="shared" si="4"/>
        <v>62</v>
      </c>
      <c r="N16" s="92">
        <f t="shared" si="4"/>
        <v>62</v>
      </c>
      <c r="O16" s="92">
        <f t="shared" si="4"/>
        <v>0</v>
      </c>
      <c r="P16" s="92">
        <f t="shared" si="4"/>
        <v>0</v>
      </c>
      <c r="Q16" s="92">
        <f t="shared" si="4"/>
        <v>0</v>
      </c>
      <c r="R16" s="92">
        <f t="shared" si="4"/>
        <v>0</v>
      </c>
      <c r="S16" s="92">
        <f t="shared" si="4"/>
        <v>0</v>
      </c>
      <c r="T16" s="92">
        <f t="shared" si="4"/>
        <v>0</v>
      </c>
      <c r="U16" s="69">
        <f>-SUM(E16:T16)</f>
        <v>-628</v>
      </c>
      <c r="V16" s="1"/>
      <c r="W16" t="s">
        <v>7</v>
      </c>
    </row>
    <row r="17" spans="1:22" s="84" customFormat="1" ht="12.75">
      <c r="A17" s="80"/>
      <c r="B17" s="75" t="s">
        <v>40</v>
      </c>
      <c r="C17" s="74"/>
      <c r="D17" s="81"/>
      <c r="E17" s="52"/>
      <c r="F17" s="121">
        <v>-50</v>
      </c>
      <c r="G17" s="52"/>
      <c r="H17" s="52"/>
      <c r="I17" s="121">
        <v>20</v>
      </c>
      <c r="J17" s="52"/>
      <c r="K17" s="52"/>
      <c r="L17" s="121">
        <v>10</v>
      </c>
      <c r="M17" s="52"/>
      <c r="N17" s="52"/>
      <c r="O17" s="121">
        <v>0.001</v>
      </c>
      <c r="P17" s="52"/>
      <c r="Q17" s="52"/>
      <c r="R17" s="121">
        <v>0.001</v>
      </c>
      <c r="S17" s="52"/>
      <c r="T17" s="52"/>
      <c r="U17" s="82"/>
      <c r="V17" s="83"/>
    </row>
    <row r="18" spans="1:22" ht="12.75">
      <c r="A18" s="8"/>
      <c r="B18" s="18" t="s">
        <v>41</v>
      </c>
      <c r="C18" s="18"/>
      <c r="D18" s="81"/>
      <c r="E18" s="52"/>
      <c r="F18" s="103">
        <v>40</v>
      </c>
      <c r="G18" s="52"/>
      <c r="H18" s="52"/>
      <c r="I18" s="103">
        <v>10</v>
      </c>
      <c r="J18" s="52"/>
      <c r="K18" s="52"/>
      <c r="L18" s="103">
        <v>5</v>
      </c>
      <c r="M18" s="52"/>
      <c r="N18" s="52"/>
      <c r="O18" s="103"/>
      <c r="P18" s="52"/>
      <c r="Q18" s="52"/>
      <c r="R18" s="103"/>
      <c r="S18" s="52"/>
      <c r="T18" s="52"/>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-540</v>
      </c>
      <c r="G25" s="48">
        <f aca="true" t="shared" si="6" ref="G25:T25">IF(F29&lt;=0,+F29,0)</f>
        <v>-530</v>
      </c>
      <c r="H25" s="48">
        <f t="shared" si="6"/>
        <v>-465</v>
      </c>
      <c r="I25" s="48">
        <f t="shared" si="6"/>
        <v>-400</v>
      </c>
      <c r="J25" s="48">
        <f t="shared" si="6"/>
        <v>-315</v>
      </c>
      <c r="K25" s="48">
        <f t="shared" si="6"/>
        <v>-252</v>
      </c>
      <c r="L25" s="51">
        <f t="shared" si="6"/>
        <v>-189</v>
      </c>
      <c r="M25" s="49">
        <f t="shared" si="6"/>
        <v>-116</v>
      </c>
      <c r="N25" s="48">
        <f t="shared" si="6"/>
        <v>-54</v>
      </c>
      <c r="O25" s="48">
        <f t="shared" si="6"/>
        <v>0</v>
      </c>
      <c r="P25" s="48">
        <f t="shared" si="6"/>
        <v>0</v>
      </c>
      <c r="Q25" s="48">
        <f t="shared" si="6"/>
        <v>0</v>
      </c>
      <c r="R25" s="48">
        <f t="shared" si="6"/>
        <v>0</v>
      </c>
      <c r="S25" s="48">
        <f t="shared" si="6"/>
        <v>0</v>
      </c>
      <c r="T25" s="51">
        <f t="shared" si="6"/>
        <v>0</v>
      </c>
      <c r="U25" s="51"/>
      <c r="V25" s="1"/>
    </row>
    <row r="26" spans="1:22" ht="12.75">
      <c r="A26" s="29"/>
      <c r="B26" s="30" t="s">
        <v>23</v>
      </c>
      <c r="C26" s="30"/>
      <c r="D26" s="26">
        <f>IF(D14=0,0,D14)</f>
        <v>10</v>
      </c>
      <c r="E26" s="60">
        <f aca="true" t="shared" si="7" ref="E26:L26">IF(-E16&gt;=E25,E16,(IF(E$4&gt;0,-E25,0)))</f>
        <v>60</v>
      </c>
      <c r="F26" s="61">
        <f t="shared" si="7"/>
        <v>60</v>
      </c>
      <c r="G26" s="61">
        <f t="shared" si="7"/>
        <v>65</v>
      </c>
      <c r="H26" s="61">
        <f t="shared" si="7"/>
        <v>65</v>
      </c>
      <c r="I26" s="61">
        <f t="shared" si="7"/>
        <v>65</v>
      </c>
      <c r="J26" s="61">
        <f t="shared" si="7"/>
        <v>63</v>
      </c>
      <c r="K26" s="61">
        <f t="shared" si="7"/>
        <v>63</v>
      </c>
      <c r="L26" s="62">
        <f t="shared" si="7"/>
        <v>63</v>
      </c>
      <c r="M26" s="60">
        <f>IF(-M16&gt;=M25,M16,(IF(M$4&gt;0,-M25,0)))</f>
        <v>62</v>
      </c>
      <c r="N26" s="61">
        <f aca="true" t="shared" si="8" ref="N26:T26">IF(-N16&gt;=N25,N16,(IF(N$4&gt;0,-N25,0)))</f>
        <v>54</v>
      </c>
      <c r="O26" s="61">
        <f t="shared" si="8"/>
        <v>0</v>
      </c>
      <c r="P26" s="61">
        <f t="shared" si="8"/>
        <v>0</v>
      </c>
      <c r="Q26" s="61">
        <f t="shared" si="8"/>
        <v>0</v>
      </c>
      <c r="R26" s="61">
        <f t="shared" si="8"/>
        <v>0</v>
      </c>
      <c r="S26" s="61">
        <f t="shared" si="8"/>
        <v>0</v>
      </c>
      <c r="T26" s="62">
        <f t="shared" si="8"/>
        <v>0</v>
      </c>
      <c r="U26" s="51">
        <f>-SUM(E26:T26)</f>
        <v>-620</v>
      </c>
      <c r="V26" s="1"/>
    </row>
    <row r="27" spans="1:22" ht="12.75">
      <c r="A27" s="8"/>
      <c r="B27" s="18" t="s">
        <v>27</v>
      </c>
      <c r="C27" s="18"/>
      <c r="D27" s="26"/>
      <c r="E27" s="63">
        <f>+E25+E26</f>
        <v>-540</v>
      </c>
      <c r="F27" s="64">
        <f aca="true" t="shared" si="9" ref="F27:T27">+F25+F26</f>
        <v>-480</v>
      </c>
      <c r="G27" s="64">
        <f t="shared" si="9"/>
        <v>-465</v>
      </c>
      <c r="H27" s="64">
        <f t="shared" si="9"/>
        <v>-400</v>
      </c>
      <c r="I27" s="64">
        <f t="shared" si="9"/>
        <v>-335</v>
      </c>
      <c r="J27" s="64">
        <f t="shared" si="9"/>
        <v>-252</v>
      </c>
      <c r="K27" s="64">
        <f t="shared" si="9"/>
        <v>-189</v>
      </c>
      <c r="L27" s="65">
        <f t="shared" si="9"/>
        <v>-126</v>
      </c>
      <c r="M27" s="63">
        <f t="shared" si="9"/>
        <v>-54</v>
      </c>
      <c r="N27" s="64">
        <f t="shared" si="9"/>
        <v>0</v>
      </c>
      <c r="O27" s="64">
        <f t="shared" si="9"/>
        <v>0</v>
      </c>
      <c r="P27" s="64">
        <f t="shared" si="9"/>
        <v>0</v>
      </c>
      <c r="Q27" s="64">
        <f t="shared" si="9"/>
        <v>0</v>
      </c>
      <c r="R27" s="64">
        <f t="shared" si="9"/>
        <v>0</v>
      </c>
      <c r="S27" s="64">
        <f t="shared" si="9"/>
        <v>0</v>
      </c>
      <c r="T27" s="65">
        <f t="shared" si="9"/>
        <v>0</v>
      </c>
      <c r="U27" s="51"/>
      <c r="V27" s="1"/>
    </row>
    <row r="28" spans="1:22" ht="12.75">
      <c r="A28" s="8"/>
      <c r="B28" s="18" t="s">
        <v>29</v>
      </c>
      <c r="C28" s="18"/>
      <c r="D28" s="26"/>
      <c r="E28" s="111">
        <f>+E17</f>
        <v>0</v>
      </c>
      <c r="F28" s="96">
        <f aca="true" t="shared" si="10" ref="F28:T28">+F17</f>
        <v>-50</v>
      </c>
      <c r="G28" s="96">
        <f t="shared" si="10"/>
        <v>0</v>
      </c>
      <c r="H28" s="96">
        <f t="shared" si="10"/>
        <v>0</v>
      </c>
      <c r="I28" s="96">
        <f t="shared" si="10"/>
        <v>20</v>
      </c>
      <c r="J28" s="96">
        <f t="shared" si="10"/>
        <v>0</v>
      </c>
      <c r="K28" s="96">
        <f t="shared" si="10"/>
        <v>0</v>
      </c>
      <c r="L28" s="97">
        <f t="shared" si="10"/>
        <v>10</v>
      </c>
      <c r="M28" s="115">
        <f t="shared" si="10"/>
        <v>0</v>
      </c>
      <c r="N28" s="96">
        <f t="shared" si="10"/>
        <v>0</v>
      </c>
      <c r="O28" s="96">
        <f t="shared" si="10"/>
        <v>0.001</v>
      </c>
      <c r="P28" s="96">
        <f t="shared" si="10"/>
        <v>0</v>
      </c>
      <c r="Q28" s="96">
        <f t="shared" si="10"/>
        <v>0</v>
      </c>
      <c r="R28" s="96">
        <f t="shared" si="10"/>
        <v>0.001</v>
      </c>
      <c r="S28" s="96">
        <f t="shared" si="10"/>
        <v>0</v>
      </c>
      <c r="T28" s="97">
        <f t="shared" si="10"/>
        <v>0</v>
      </c>
      <c r="U28" s="51">
        <f>SUM(E25,E28:T28)</f>
        <v>-619.998</v>
      </c>
      <c r="V28" s="1"/>
    </row>
    <row r="29" spans="1:22" ht="12.75">
      <c r="A29" s="29"/>
      <c r="B29" s="30" t="s">
        <v>26</v>
      </c>
      <c r="C29" s="30"/>
      <c r="D29" s="26"/>
      <c r="E29" s="66">
        <f>+E28+E27</f>
        <v>-540</v>
      </c>
      <c r="F29" s="67">
        <f aca="true" t="shared" si="11" ref="F29:T29">+F28+F27</f>
        <v>-530</v>
      </c>
      <c r="G29" s="67">
        <f t="shared" si="11"/>
        <v>-465</v>
      </c>
      <c r="H29" s="67">
        <f t="shared" si="11"/>
        <v>-400</v>
      </c>
      <c r="I29" s="67">
        <f t="shared" si="11"/>
        <v>-315</v>
      </c>
      <c r="J29" s="67">
        <f t="shared" si="11"/>
        <v>-252</v>
      </c>
      <c r="K29" s="67">
        <f t="shared" si="11"/>
        <v>-189</v>
      </c>
      <c r="L29" s="68">
        <f t="shared" si="11"/>
        <v>-116</v>
      </c>
      <c r="M29" s="66">
        <f t="shared" si="11"/>
        <v>-54</v>
      </c>
      <c r="N29" s="67">
        <f t="shared" si="11"/>
        <v>0</v>
      </c>
      <c r="O29" s="67">
        <f t="shared" si="11"/>
        <v>0.001</v>
      </c>
      <c r="P29" s="67">
        <f t="shared" si="11"/>
        <v>0</v>
      </c>
      <c r="Q29" s="67">
        <f t="shared" si="11"/>
        <v>0</v>
      </c>
      <c r="R29" s="67">
        <f t="shared" si="11"/>
        <v>0.001</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40</v>
      </c>
      <c r="G31" s="109">
        <f t="shared" si="12"/>
        <v>0</v>
      </c>
      <c r="H31" s="109">
        <f t="shared" si="12"/>
        <v>0</v>
      </c>
      <c r="I31" s="109">
        <f t="shared" si="12"/>
        <v>10</v>
      </c>
      <c r="J31" s="109">
        <f t="shared" si="12"/>
        <v>0</v>
      </c>
      <c r="K31" s="109">
        <f t="shared" si="12"/>
        <v>0</v>
      </c>
      <c r="L31" s="110">
        <f t="shared" si="12"/>
        <v>5</v>
      </c>
      <c r="M31" s="108">
        <f t="shared" si="12"/>
        <v>0</v>
      </c>
      <c r="N31" s="109">
        <f t="shared" si="12"/>
        <v>0</v>
      </c>
      <c r="O31" s="109">
        <f t="shared" si="12"/>
        <v>0</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-40</v>
      </c>
      <c r="J32" s="61">
        <f>IF(J28&lt;&gt;0,-SUM($E31:I32),0)</f>
        <v>0</v>
      </c>
      <c r="K32" s="61">
        <f>IF(K28&lt;&gt;0,-SUM($E31:J32),0)</f>
        <v>0</v>
      </c>
      <c r="L32" s="62">
        <f>IF(L28&lt;&gt;0,-SUM($E31:K32),0)</f>
        <v>-10</v>
      </c>
      <c r="M32" s="60">
        <f>IF(M28&lt;&gt;0,-SUM($E31:L32),0)</f>
        <v>0</v>
      </c>
      <c r="N32" s="61">
        <f>IF(N28&lt;&gt;0,-SUM($E31:M32),0)</f>
        <v>0</v>
      </c>
      <c r="O32" s="61">
        <f>IF(O28&lt;&gt;0,-SUM($E31:N32),0)</f>
        <v>-5</v>
      </c>
      <c r="P32" s="61">
        <f>IF(P28&lt;&gt;0,-SUM($E31:O32),0)</f>
        <v>0</v>
      </c>
      <c r="Q32" s="61">
        <f>IF(Q28&lt;&gt;0,-SUM($E31:P32),0)</f>
        <v>0</v>
      </c>
      <c r="R32" s="61">
        <f>IF(R28&lt;&gt;0,-SUM($E31:Q32),0)</f>
        <v>0</v>
      </c>
      <c r="S32" s="61">
        <f>IF(S28&lt;&gt;0,-SUM($E31:R32),0)</f>
        <v>0</v>
      </c>
      <c r="T32" s="62">
        <f>IF(T28&lt;&gt;0,-SUM($E31:S32),0)</f>
        <v>0</v>
      </c>
      <c r="U32" s="51"/>
      <c r="V32" s="1"/>
    </row>
    <row r="33" spans="1:22" ht="12.75">
      <c r="A33" s="8"/>
      <c r="B33" s="18" t="s">
        <v>28</v>
      </c>
      <c r="C33" s="18"/>
      <c r="D33" s="26"/>
      <c r="E33" s="66">
        <f>SUM(E25,$D$31:E31,$D$32:D32)</f>
        <v>-600</v>
      </c>
      <c r="F33" s="67">
        <f>SUM(F25,$D$31:F31,$D$32:E32)</f>
        <v>-500</v>
      </c>
      <c r="G33" s="67">
        <f>SUM(G25,$D$31:G31,$D$32:F32)</f>
        <v>-490</v>
      </c>
      <c r="H33" s="67">
        <f>SUM(H25,$D$31:H31,$D$32:G32)</f>
        <v>-425</v>
      </c>
      <c r="I33" s="67">
        <f>SUM(I25,$D$31:I31,$D$32:H32)</f>
        <v>-350</v>
      </c>
      <c r="J33" s="67">
        <f>SUM(J25,$D$31:J31,$D$32:I32)</f>
        <v>-305</v>
      </c>
      <c r="K33" s="67">
        <f>SUM(K25,$D$31:K31,$D$32:J32)</f>
        <v>-242</v>
      </c>
      <c r="L33" s="68">
        <f>SUM(L25,$D$31:L31,$D$32:K32)</f>
        <v>-174</v>
      </c>
      <c r="M33" s="66">
        <f>SUM(M25,$D$31:M31,$D$32:L32)</f>
        <v>-111</v>
      </c>
      <c r="N33" s="67">
        <f>SUM(N25,$D$31:N31,$D$32:M32)</f>
        <v>-49</v>
      </c>
      <c r="O33" s="67">
        <f>SUM(O25,$D$31:O31,$D$32:N32)</f>
        <v>5</v>
      </c>
      <c r="P33" s="67">
        <f>SUM(P25,$D$31:P31,$D$32:O32)</f>
        <v>0</v>
      </c>
      <c r="Q33" s="67">
        <f>SUM(Q25,$D$31:Q31,$D$32:P32)</f>
        <v>0</v>
      </c>
      <c r="R33" s="67">
        <f>SUM(R25,$D$31:R31,$D$32:Q32)</f>
        <v>0</v>
      </c>
      <c r="S33" s="67">
        <f>SUM(S25,$D$31:S31,$D$32:R32)</f>
        <v>0</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40.76923076923077</v>
      </c>
      <c r="H35" s="86">
        <f t="shared" si="13"/>
        <v>40.76923076923077</v>
      </c>
      <c r="I35" s="86">
        <f t="shared" si="13"/>
        <v>40.76923076923077</v>
      </c>
      <c r="J35" s="86">
        <f t="shared" si="13"/>
        <v>31.5</v>
      </c>
      <c r="K35" s="86">
        <f t="shared" si="13"/>
        <v>31.5</v>
      </c>
      <c r="L35" s="87">
        <f t="shared" si="13"/>
        <v>31.5</v>
      </c>
      <c r="M35" s="86">
        <f t="shared" si="13"/>
        <v>16.571428571428573</v>
      </c>
      <c r="N35" s="86">
        <f t="shared" si="13"/>
        <v>16.571428571428573</v>
      </c>
      <c r="O35" s="86">
        <f t="shared" si="13"/>
        <v>16.571428571428573</v>
      </c>
      <c r="P35" s="86">
        <f t="shared" si="13"/>
        <v>0</v>
      </c>
      <c r="Q35" s="86">
        <f t="shared" si="13"/>
        <v>0</v>
      </c>
      <c r="R35" s="86">
        <f t="shared" si="13"/>
        <v>0</v>
      </c>
      <c r="S35" s="86">
        <f t="shared" si="13"/>
        <v>0</v>
      </c>
      <c r="T35" s="87">
        <f t="shared" si="13"/>
        <v>0</v>
      </c>
      <c r="U35" s="51">
        <f>SUM(E35:L35,M35:T35)</f>
        <v>346.521978021978</v>
      </c>
      <c r="W35" s="1"/>
      <c r="Y35" s="1"/>
    </row>
    <row r="36" spans="1:25" ht="12.75">
      <c r="A36" s="8"/>
      <c r="B36" s="9" t="s">
        <v>25</v>
      </c>
      <c r="C36" s="9"/>
      <c r="D36" s="26"/>
      <c r="E36" s="86">
        <f>IF(E$3&gt;0,IF(OR(E28&gt;0,E31&gt;0),-E31/E3,+D36),0)</f>
        <v>0</v>
      </c>
      <c r="F36" s="86">
        <f aca="true" t="shared" si="14" ref="F36:T36">IF(F$3&gt;0,IF(OR(F28&gt;0,F31&gt;0),-F31/F3,+E36),0)</f>
        <v>-2.857142857142857</v>
      </c>
      <c r="G36" s="86">
        <f t="shared" si="14"/>
        <v>-2.857142857142857</v>
      </c>
      <c r="H36" s="86">
        <f t="shared" si="14"/>
        <v>-2.857142857142857</v>
      </c>
      <c r="I36" s="86">
        <f t="shared" si="14"/>
        <v>-0.9090909090909091</v>
      </c>
      <c r="J36" s="86">
        <f t="shared" si="14"/>
        <v>-0.9090909090909091</v>
      </c>
      <c r="K36" s="86">
        <f t="shared" si="14"/>
        <v>-0.9090909090909091</v>
      </c>
      <c r="L36" s="87">
        <f t="shared" si="14"/>
        <v>-0.625</v>
      </c>
      <c r="M36" s="86">
        <f t="shared" si="14"/>
        <v>-0.625</v>
      </c>
      <c r="N36" s="86">
        <f t="shared" si="14"/>
        <v>-0.625</v>
      </c>
      <c r="O36" s="86">
        <f t="shared" si="14"/>
        <v>0</v>
      </c>
      <c r="P36" s="86">
        <f t="shared" si="14"/>
        <v>0</v>
      </c>
      <c r="Q36" s="86">
        <f t="shared" si="14"/>
        <v>0</v>
      </c>
      <c r="R36" s="86">
        <f t="shared" si="14"/>
        <v>0</v>
      </c>
      <c r="S36" s="86">
        <f t="shared" si="14"/>
        <v>0</v>
      </c>
      <c r="T36" s="87">
        <f t="shared" si="14"/>
        <v>0</v>
      </c>
      <c r="U36" s="51">
        <f>SUM(E36:L36,M36:T36)</f>
        <v>-13.173701298701296</v>
      </c>
      <c r="W36" s="1"/>
      <c r="Y36" s="1"/>
    </row>
    <row r="37" spans="1:25" ht="12.75">
      <c r="A37" s="8"/>
      <c r="B37" s="18" t="s">
        <v>37</v>
      </c>
      <c r="C37" s="18"/>
      <c r="D37" s="26"/>
      <c r="E37" s="49">
        <f>SUM($E$26:E26)-SUM($E$35:E35)-SUM($E$39:E39)</f>
        <v>20</v>
      </c>
      <c r="F37" s="48">
        <f>SUM($E$26:F26)-SUM($E$35:F35)-SUM($E$39:F39)</f>
        <v>40</v>
      </c>
      <c r="G37" s="48">
        <f>SUM($E$26:G26)-SUM($E$35:G35)-SUM($E$39:G39)</f>
        <v>64.23076923076923</v>
      </c>
      <c r="H37" s="48">
        <f>SUM($E$26:H26)-SUM($E$35:H35)-SUM($E$39:H39)</f>
        <v>88.46153846153845</v>
      </c>
      <c r="I37" s="48">
        <f>SUM($E$26:I26)-SUM($E$35:I35)-SUM($E$39:I39)</f>
        <v>112.69230769230768</v>
      </c>
      <c r="J37" s="48">
        <f>SUM($E$26:J26)-SUM($E$35:J35)-SUM($E$39:J39)</f>
        <v>132.9230769230769</v>
      </c>
      <c r="K37" s="48">
        <f>SUM($E$26:K26)-SUM($E$35:K35)-SUM($E$39:K39)</f>
        <v>153.15384615384613</v>
      </c>
      <c r="L37" s="51">
        <f>SUM($E$26:L26)-SUM($E$35:L35)-SUM($E$39:L39)</f>
        <v>173.38461538461536</v>
      </c>
      <c r="M37" s="49">
        <f>SUM($E$26:M26)-SUM($E$35:M35)-SUM($E$39:M39)</f>
        <v>194.04395604395606</v>
      </c>
      <c r="N37" s="48">
        <f>SUM($E$26:N26)-SUM($E$35:N35)-SUM($E$39:N39)</f>
        <v>206.70329670329673</v>
      </c>
      <c r="O37" s="48">
        <f>SUM($E$26:O26)-SUM($E$35:O35)-SUM($E$39:O39)</f>
        <v>165.3626373626374</v>
      </c>
      <c r="P37" s="48">
        <f>SUM($E$26:P26)-SUM($E$35:P35)-SUM($E$39:P39)</f>
        <v>124.02197802197804</v>
      </c>
      <c r="Q37" s="48">
        <f>SUM($E$26:Q26)-SUM($E$35:Q35)-SUM($E$39:Q39)</f>
        <v>82.68131868131869</v>
      </c>
      <c r="R37" s="48">
        <f>SUM($E$26:R26)-SUM($E$35:R35)-SUM($E$39:R39)</f>
        <v>41.34065934065933</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112.69230769230768</v>
      </c>
      <c r="J38" s="48">
        <f t="shared" si="15"/>
        <v>0</v>
      </c>
      <c r="K38" s="48">
        <f t="shared" si="15"/>
        <v>0</v>
      </c>
      <c r="L38" s="51">
        <f t="shared" si="15"/>
        <v>173.38461538461536</v>
      </c>
      <c r="M38" s="49">
        <f t="shared" si="15"/>
        <v>0</v>
      </c>
      <c r="N38" s="48">
        <f t="shared" si="15"/>
        <v>0</v>
      </c>
      <c r="O38" s="48">
        <f t="shared" si="15"/>
        <v>165.3626373626374</v>
      </c>
      <c r="P38" s="48">
        <f t="shared" si="15"/>
        <v>0</v>
      </c>
      <c r="Q38" s="48">
        <f t="shared" si="15"/>
        <v>0</v>
      </c>
      <c r="R38" s="48">
        <f t="shared" si="15"/>
        <v>41.34065934065933</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11.269230769230768</v>
      </c>
      <c r="K39" s="86">
        <f t="shared" si="16"/>
        <v>11.269230769230768</v>
      </c>
      <c r="L39" s="87">
        <f t="shared" si="16"/>
        <v>11.269230769230768</v>
      </c>
      <c r="M39" s="85">
        <f t="shared" si="16"/>
        <v>24.769230769230766</v>
      </c>
      <c r="N39" s="86">
        <f t="shared" si="16"/>
        <v>24.769230769230766</v>
      </c>
      <c r="O39" s="86">
        <f t="shared" si="16"/>
        <v>24.769230769230766</v>
      </c>
      <c r="P39" s="86">
        <f t="shared" si="16"/>
        <v>41.34065934065935</v>
      </c>
      <c r="Q39" s="86">
        <f t="shared" si="16"/>
        <v>41.34065934065935</v>
      </c>
      <c r="R39" s="86">
        <f t="shared" si="16"/>
        <v>41.34065934065935</v>
      </c>
      <c r="S39" s="86">
        <f t="shared" si="16"/>
        <v>41.34065934065933</v>
      </c>
      <c r="T39" s="87">
        <f t="shared" si="16"/>
        <v>0</v>
      </c>
      <c r="U39" s="51">
        <f>SUM(E39:L39,M39:T39)</f>
        <v>273.478021978022</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37.142857142857146</v>
      </c>
      <c r="G41" s="90">
        <f t="shared" si="17"/>
        <v>37.91208791208791</v>
      </c>
      <c r="H41" s="90">
        <f t="shared" si="17"/>
        <v>37.91208791208791</v>
      </c>
      <c r="I41" s="90">
        <f t="shared" si="17"/>
        <v>39.86013986013986</v>
      </c>
      <c r="J41" s="90">
        <f t="shared" si="17"/>
        <v>41.86013986013986</v>
      </c>
      <c r="K41" s="90">
        <f t="shared" si="17"/>
        <v>41.86013986013986</v>
      </c>
      <c r="L41" s="91">
        <f t="shared" si="17"/>
        <v>42.14423076923077</v>
      </c>
      <c r="M41" s="89">
        <f t="shared" si="17"/>
        <v>40.71565934065934</v>
      </c>
      <c r="N41" s="90">
        <f t="shared" si="17"/>
        <v>40.71565934065934</v>
      </c>
      <c r="O41" s="90">
        <f t="shared" si="17"/>
        <v>41.34065934065934</v>
      </c>
      <c r="P41" s="90">
        <f t="shared" si="17"/>
        <v>41.34065934065935</v>
      </c>
      <c r="Q41" s="90">
        <f t="shared" si="17"/>
        <v>41.34065934065935</v>
      </c>
      <c r="R41" s="90">
        <f t="shared" si="17"/>
        <v>41.34065934065935</v>
      </c>
      <c r="S41" s="90">
        <f t="shared" si="17"/>
        <v>41.34065934065933</v>
      </c>
      <c r="T41" s="91">
        <f t="shared" si="17"/>
        <v>0</v>
      </c>
      <c r="U41" s="91">
        <f>SUM(U35:U40)</f>
        <v>606.8262987012987</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-13.173701298701303</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Z43"/>
  <sheetViews>
    <sheetView showGridLines="0" zoomScale="75" zoomScaleNormal="75" zoomScalePageLayoutView="0" workbookViewId="0" topLeftCell="A11">
      <selection activeCell="J46" sqref="J46"/>
    </sheetView>
  </sheetViews>
  <sheetFormatPr defaultColWidth="9.00390625" defaultRowHeight="12.75" outlineLevelRow="1"/>
  <cols>
    <col min="1" max="1" width="1.00390625" style="0" customWidth="1"/>
    <col min="2" max="2" width="33.375" style="0" customWidth="1"/>
    <col min="3" max="3" width="3.125" style="0" customWidth="1"/>
    <col min="4" max="4" width="6.875" style="0" customWidth="1"/>
    <col min="5" max="5" width="7.375" style="0" customWidth="1"/>
    <col min="6" max="20" width="6.875" style="0" customWidth="1"/>
    <col min="21" max="21" width="8.625" style="0" customWidth="1"/>
    <col min="27" max="27" width="11.00390625" style="0" customWidth="1"/>
  </cols>
  <sheetData>
    <row r="1" spans="1:25" ht="12.75" hidden="1" outlineLevel="1">
      <c r="A1" s="5"/>
      <c r="B1" s="25"/>
      <c r="C1" s="25"/>
      <c r="D1" s="32"/>
      <c r="E1" s="58">
        <f>1+D1</f>
        <v>1</v>
      </c>
      <c r="F1" s="58">
        <f aca="true" t="shared" si="0" ref="F1:T1">1+E1</f>
        <v>2</v>
      </c>
      <c r="G1" s="58">
        <f t="shared" si="0"/>
        <v>3</v>
      </c>
      <c r="H1" s="58">
        <f t="shared" si="0"/>
        <v>4</v>
      </c>
      <c r="I1" s="58">
        <f t="shared" si="0"/>
        <v>5</v>
      </c>
      <c r="J1" s="58">
        <f t="shared" si="0"/>
        <v>6</v>
      </c>
      <c r="K1" s="58">
        <f t="shared" si="0"/>
        <v>7</v>
      </c>
      <c r="L1" s="58">
        <f t="shared" si="0"/>
        <v>8</v>
      </c>
      <c r="M1" s="58">
        <f t="shared" si="0"/>
        <v>9</v>
      </c>
      <c r="N1" s="58">
        <f t="shared" si="0"/>
        <v>10</v>
      </c>
      <c r="O1" s="58">
        <f t="shared" si="0"/>
        <v>11</v>
      </c>
      <c r="P1" s="58">
        <f t="shared" si="0"/>
        <v>12</v>
      </c>
      <c r="Q1" s="58">
        <f t="shared" si="0"/>
        <v>13</v>
      </c>
      <c r="R1" s="58">
        <f t="shared" si="0"/>
        <v>14</v>
      </c>
      <c r="S1" s="58">
        <f t="shared" si="0"/>
        <v>15</v>
      </c>
      <c r="T1" s="58">
        <f t="shared" si="0"/>
        <v>16</v>
      </c>
      <c r="U1" s="33"/>
      <c r="V1" s="3"/>
      <c r="W1" s="1"/>
      <c r="Y1" s="1"/>
    </row>
    <row r="2" spans="1:25" ht="12.75" hidden="1" outlineLevel="1">
      <c r="A2" s="8"/>
      <c r="B2" s="9"/>
      <c r="C2" s="9"/>
      <c r="D2" s="77"/>
      <c r="E2" s="27">
        <f>IF(E15&gt;0,+D2+1,0)</f>
        <v>1</v>
      </c>
      <c r="F2" s="27">
        <f aca="true" t="shared" si="1" ref="F2:T2">IF(F15&gt;0,+E2+1,0)</f>
        <v>2</v>
      </c>
      <c r="G2" s="27">
        <f t="shared" si="1"/>
        <v>0</v>
      </c>
      <c r="H2" s="27">
        <f t="shared" si="1"/>
        <v>0</v>
      </c>
      <c r="I2" s="27">
        <f t="shared" si="1"/>
        <v>0</v>
      </c>
      <c r="J2" s="27">
        <f t="shared" si="1"/>
        <v>1</v>
      </c>
      <c r="K2" s="27">
        <f t="shared" si="1"/>
        <v>2</v>
      </c>
      <c r="L2" s="27">
        <f t="shared" si="1"/>
        <v>3</v>
      </c>
      <c r="M2" s="27">
        <f t="shared" si="1"/>
        <v>4</v>
      </c>
      <c r="N2" s="27">
        <f t="shared" si="1"/>
        <v>5</v>
      </c>
      <c r="O2" s="27">
        <f t="shared" si="1"/>
        <v>6</v>
      </c>
      <c r="P2" s="27">
        <f t="shared" si="1"/>
        <v>7</v>
      </c>
      <c r="Q2" s="27">
        <f t="shared" si="1"/>
        <v>8</v>
      </c>
      <c r="R2" s="27">
        <f t="shared" si="1"/>
        <v>9</v>
      </c>
      <c r="S2" s="27">
        <f t="shared" si="1"/>
        <v>10</v>
      </c>
      <c r="T2" s="27">
        <f t="shared" si="1"/>
        <v>11</v>
      </c>
      <c r="U2" s="78">
        <f>MAX(E2:T2)</f>
        <v>11</v>
      </c>
      <c r="V2" s="3"/>
      <c r="W2" s="1"/>
      <c r="Y2" s="1"/>
    </row>
    <row r="3" spans="2:20" ht="12.75" hidden="1" outlineLevel="1">
      <c r="B3" t="s">
        <v>15</v>
      </c>
      <c r="D3" s="1"/>
      <c r="E3" s="2">
        <f>+D34</f>
        <v>15</v>
      </c>
      <c r="F3" s="2">
        <f>MAX(+E3-1,0)</f>
        <v>14</v>
      </c>
      <c r="G3" s="2">
        <f aca="true" t="shared" si="2" ref="G3:T5">MAX(+F3-1,0)</f>
        <v>13</v>
      </c>
      <c r="H3" s="2">
        <f t="shared" si="2"/>
        <v>12</v>
      </c>
      <c r="I3" s="2">
        <f t="shared" si="2"/>
        <v>11</v>
      </c>
      <c r="J3" s="2">
        <f t="shared" si="2"/>
        <v>10</v>
      </c>
      <c r="K3" s="2">
        <f t="shared" si="2"/>
        <v>9</v>
      </c>
      <c r="L3" s="2">
        <f t="shared" si="2"/>
        <v>8</v>
      </c>
      <c r="M3" s="2">
        <f t="shared" si="2"/>
        <v>7</v>
      </c>
      <c r="N3" s="2">
        <f t="shared" si="2"/>
        <v>6</v>
      </c>
      <c r="O3" s="2">
        <f t="shared" si="2"/>
        <v>5</v>
      </c>
      <c r="P3" s="2">
        <f t="shared" si="2"/>
        <v>4</v>
      </c>
      <c r="Q3" s="2">
        <f t="shared" si="2"/>
        <v>3</v>
      </c>
      <c r="R3" s="2">
        <f t="shared" si="2"/>
        <v>2</v>
      </c>
      <c r="S3" s="2">
        <f t="shared" si="2"/>
        <v>1</v>
      </c>
      <c r="T3" s="2">
        <f t="shared" si="2"/>
        <v>0</v>
      </c>
    </row>
    <row r="4" spans="2:20" ht="12.75" hidden="1" outlineLevel="1">
      <c r="B4" t="s">
        <v>14</v>
      </c>
      <c r="D4" s="1"/>
      <c r="E4" s="2">
        <v>15</v>
      </c>
      <c r="F4" s="2">
        <f>MAX(+E4-1,0)</f>
        <v>14</v>
      </c>
      <c r="G4" s="2">
        <f t="shared" si="2"/>
        <v>13</v>
      </c>
      <c r="H4" s="2">
        <f t="shared" si="2"/>
        <v>12</v>
      </c>
      <c r="I4" s="2">
        <f t="shared" si="2"/>
        <v>11</v>
      </c>
      <c r="J4" s="2">
        <f t="shared" si="2"/>
        <v>10</v>
      </c>
      <c r="K4" s="2">
        <f t="shared" si="2"/>
        <v>9</v>
      </c>
      <c r="L4" s="2">
        <f t="shared" si="2"/>
        <v>8</v>
      </c>
      <c r="M4" s="2">
        <f t="shared" si="2"/>
        <v>7</v>
      </c>
      <c r="N4" s="2">
        <f t="shared" si="2"/>
        <v>6</v>
      </c>
      <c r="O4" s="2">
        <f t="shared" si="2"/>
        <v>5</v>
      </c>
      <c r="P4" s="2">
        <f t="shared" si="2"/>
        <v>4</v>
      </c>
      <c r="Q4" s="2">
        <f t="shared" si="2"/>
        <v>3</v>
      </c>
      <c r="R4" s="2">
        <f t="shared" si="2"/>
        <v>2</v>
      </c>
      <c r="S4" s="2">
        <f t="shared" si="2"/>
        <v>1</v>
      </c>
      <c r="T4" s="2">
        <f t="shared" si="2"/>
        <v>0</v>
      </c>
    </row>
    <row r="5" spans="2:20" ht="12.75" hidden="1" outlineLevel="1">
      <c r="B5" t="s">
        <v>36</v>
      </c>
      <c r="E5" s="2">
        <f>+D14</f>
        <v>15</v>
      </c>
      <c r="F5" s="2">
        <f>MAX(+E5-1,0)</f>
        <v>14</v>
      </c>
      <c r="G5" s="2">
        <f t="shared" si="2"/>
        <v>13</v>
      </c>
      <c r="H5" s="2">
        <f t="shared" si="2"/>
        <v>12</v>
      </c>
      <c r="I5" s="2">
        <f t="shared" si="2"/>
        <v>11</v>
      </c>
      <c r="J5" s="2">
        <f t="shared" si="2"/>
        <v>10</v>
      </c>
      <c r="K5" s="2">
        <f t="shared" si="2"/>
        <v>9</v>
      </c>
      <c r="L5" s="2">
        <f t="shared" si="2"/>
        <v>8</v>
      </c>
      <c r="M5" s="2">
        <f t="shared" si="2"/>
        <v>7</v>
      </c>
      <c r="N5" s="2">
        <f t="shared" si="2"/>
        <v>6</v>
      </c>
      <c r="O5" s="2">
        <f t="shared" si="2"/>
        <v>5</v>
      </c>
      <c r="P5" s="2">
        <f t="shared" si="2"/>
        <v>4</v>
      </c>
      <c r="Q5" s="2">
        <f t="shared" si="2"/>
        <v>3</v>
      </c>
      <c r="R5" s="2">
        <f t="shared" si="2"/>
        <v>2</v>
      </c>
      <c r="S5" s="2">
        <f t="shared" si="2"/>
        <v>1</v>
      </c>
      <c r="T5" s="2">
        <f t="shared" si="2"/>
        <v>0</v>
      </c>
    </row>
    <row r="6" spans="1:25" ht="12.75" hidden="1" outlineLevel="1">
      <c r="A6" s="8"/>
      <c r="B6" s="20" t="s">
        <v>2</v>
      </c>
      <c r="C6" s="20"/>
      <c r="D6" s="4"/>
      <c r="E6" s="4"/>
      <c r="F6" s="4"/>
      <c r="G6" s="4"/>
      <c r="H6" s="4"/>
      <c r="I6" s="4"/>
      <c r="J6" s="4"/>
      <c r="K6" s="4"/>
      <c r="L6" s="4"/>
      <c r="M6" s="4"/>
      <c r="N6" s="4"/>
      <c r="O6" s="4"/>
      <c r="P6" s="4"/>
      <c r="Q6" s="4"/>
      <c r="R6" s="4"/>
      <c r="S6" s="4"/>
      <c r="T6" s="4"/>
      <c r="U6" s="11"/>
      <c r="V6" s="3"/>
      <c r="W6" s="1"/>
      <c r="Y6" s="1"/>
    </row>
    <row r="7" spans="1:25" ht="12.75" hidden="1" outlineLevel="1">
      <c r="A7" s="8"/>
      <c r="B7" s="18" t="s">
        <v>16</v>
      </c>
      <c r="C7" s="18"/>
      <c r="D7" s="35">
        <v>41364</v>
      </c>
      <c r="E7" s="35"/>
      <c r="F7" s="35"/>
      <c r="G7" s="35">
        <f>+D7+365*3+1</f>
        <v>42460</v>
      </c>
      <c r="H7" s="35"/>
      <c r="I7" s="35"/>
      <c r="J7" s="35">
        <f>+G7+365*3</f>
        <v>43555</v>
      </c>
      <c r="K7" s="35"/>
      <c r="L7" s="35"/>
      <c r="M7" s="35">
        <v>44651</v>
      </c>
      <c r="N7" s="35"/>
      <c r="O7" s="35"/>
      <c r="P7" s="35">
        <v>45747</v>
      </c>
      <c r="Q7" s="35"/>
      <c r="R7" s="35"/>
      <c r="S7" s="35">
        <v>46477</v>
      </c>
      <c r="T7" s="17"/>
      <c r="U7" s="11"/>
      <c r="V7" s="3"/>
      <c r="W7" s="1"/>
      <c r="Y7" s="1"/>
    </row>
    <row r="8" spans="1:25" ht="12.75" hidden="1" outlineLevel="1">
      <c r="A8" s="8"/>
      <c r="B8" s="20" t="s">
        <v>3</v>
      </c>
      <c r="C8" s="20"/>
      <c r="D8" s="17"/>
      <c r="E8" s="17"/>
      <c r="F8" s="17"/>
      <c r="G8" s="17"/>
      <c r="H8" s="17"/>
      <c r="I8" s="17"/>
      <c r="J8" s="17"/>
      <c r="K8" s="17"/>
      <c r="L8" s="17"/>
      <c r="M8" s="17"/>
      <c r="N8" s="17"/>
      <c r="O8" s="17"/>
      <c r="P8" s="17"/>
      <c r="Q8" s="17"/>
      <c r="R8" s="17"/>
      <c r="S8" s="17"/>
      <c r="T8" s="17"/>
      <c r="U8" s="11"/>
      <c r="V8" s="3"/>
      <c r="W8" s="1"/>
      <c r="Y8" s="1"/>
    </row>
    <row r="9" spans="1:25" ht="12.75" hidden="1" outlineLevel="1">
      <c r="A9" s="8"/>
      <c r="B9" s="18" t="s">
        <v>4</v>
      </c>
      <c r="C9" s="18"/>
      <c r="D9" s="17"/>
      <c r="E9" s="17"/>
      <c r="F9" s="17"/>
      <c r="G9" s="17"/>
      <c r="H9" s="17"/>
      <c r="I9" s="17"/>
      <c r="J9" s="17"/>
      <c r="K9" s="17"/>
      <c r="L9" s="17"/>
      <c r="M9" s="17"/>
      <c r="N9" s="17"/>
      <c r="O9" s="17"/>
      <c r="P9" s="17"/>
      <c r="Q9" s="17"/>
      <c r="R9" s="17"/>
      <c r="S9" s="17"/>
      <c r="T9" s="17"/>
      <c r="U9" s="11"/>
      <c r="V9" s="3"/>
      <c r="W9" s="1" t="s">
        <v>5</v>
      </c>
      <c r="Y9" s="1"/>
    </row>
    <row r="10" spans="1:25" ht="12.75" hidden="1" outlineLevel="1">
      <c r="A10" s="13"/>
      <c r="B10" s="14" t="s">
        <v>8</v>
      </c>
      <c r="C10" s="14"/>
      <c r="D10" s="19"/>
      <c r="E10" s="15"/>
      <c r="F10" s="15"/>
      <c r="G10" s="15"/>
      <c r="H10" s="15"/>
      <c r="I10" s="15"/>
      <c r="J10" s="15"/>
      <c r="K10" s="15"/>
      <c r="L10" s="15"/>
      <c r="M10" s="15"/>
      <c r="N10" s="15"/>
      <c r="O10" s="15"/>
      <c r="P10" s="15"/>
      <c r="Q10" s="15"/>
      <c r="R10" s="15"/>
      <c r="S10" s="15"/>
      <c r="T10" s="15"/>
      <c r="U10" s="16"/>
      <c r="W10" s="1" t="s">
        <v>6</v>
      </c>
      <c r="X10" s="1"/>
      <c r="Y10" s="1"/>
    </row>
    <row r="11" spans="1:25" ht="12.75" collapsed="1">
      <c r="A11" s="38"/>
      <c r="B11" s="6" t="s">
        <v>42</v>
      </c>
      <c r="C11" s="6"/>
      <c r="D11" s="6"/>
      <c r="E11" s="6"/>
      <c r="F11" s="6"/>
      <c r="G11" s="6"/>
      <c r="H11" s="6"/>
      <c r="I11" s="6"/>
      <c r="J11" s="6"/>
      <c r="K11" s="6"/>
      <c r="L11" s="6"/>
      <c r="M11" s="6"/>
      <c r="N11" s="6"/>
      <c r="O11" s="6"/>
      <c r="P11" s="6"/>
      <c r="Q11" s="6"/>
      <c r="R11" s="6"/>
      <c r="S11" s="6"/>
      <c r="T11" s="6"/>
      <c r="U11" s="7"/>
      <c r="W11" s="1"/>
      <c r="X11" s="1"/>
      <c r="Y11" s="1"/>
    </row>
    <row r="12" spans="1:26" ht="12.75">
      <c r="A12" s="71"/>
      <c r="B12" s="72"/>
      <c r="C12" s="72"/>
      <c r="D12" s="15"/>
      <c r="E12" s="104" t="s">
        <v>39</v>
      </c>
      <c r="F12" s="105"/>
      <c r="G12" s="105"/>
      <c r="H12" s="105"/>
      <c r="I12" s="105"/>
      <c r="J12" s="105"/>
      <c r="K12" s="105"/>
      <c r="L12" s="105"/>
      <c r="M12" s="105"/>
      <c r="N12" s="105"/>
      <c r="O12" s="105"/>
      <c r="P12" s="105"/>
      <c r="Q12" s="105"/>
      <c r="R12" s="105"/>
      <c r="S12" s="105"/>
      <c r="T12" s="106"/>
      <c r="U12" s="73"/>
      <c r="W12" s="1"/>
      <c r="X12" s="1"/>
      <c r="Y12" s="1"/>
      <c r="Z12" s="1"/>
    </row>
    <row r="13" spans="1:26" ht="12.75">
      <c r="A13" s="39"/>
      <c r="B13" s="76" t="s">
        <v>35</v>
      </c>
      <c r="C13" s="76"/>
      <c r="D13" s="98">
        <v>600</v>
      </c>
      <c r="E13" s="99" t="s">
        <v>21</v>
      </c>
      <c r="F13" s="100">
        <v>2015</v>
      </c>
      <c r="G13" s="100">
        <f>+F13+1</f>
        <v>2016</v>
      </c>
      <c r="H13" s="100">
        <f aca="true" t="shared" si="3" ref="H13:T13">+G13+1</f>
        <v>2017</v>
      </c>
      <c r="I13" s="100">
        <f t="shared" si="3"/>
        <v>2018</v>
      </c>
      <c r="J13" s="100">
        <f t="shared" si="3"/>
        <v>2019</v>
      </c>
      <c r="K13" s="100">
        <f t="shared" si="3"/>
        <v>2020</v>
      </c>
      <c r="L13" s="100">
        <f t="shared" si="3"/>
        <v>2021</v>
      </c>
      <c r="M13" s="100">
        <f t="shared" si="3"/>
        <v>2022</v>
      </c>
      <c r="N13" s="100">
        <f t="shared" si="3"/>
        <v>2023</v>
      </c>
      <c r="O13" s="100">
        <f t="shared" si="3"/>
        <v>2024</v>
      </c>
      <c r="P13" s="100">
        <f t="shared" si="3"/>
        <v>2025</v>
      </c>
      <c r="Q13" s="100">
        <f t="shared" si="3"/>
        <v>2026</v>
      </c>
      <c r="R13" s="100">
        <f t="shared" si="3"/>
        <v>2027</v>
      </c>
      <c r="S13" s="100">
        <f t="shared" si="3"/>
        <v>2028</v>
      </c>
      <c r="T13" s="100">
        <f t="shared" si="3"/>
        <v>2029</v>
      </c>
      <c r="U13" s="12"/>
      <c r="W13" s="1"/>
      <c r="X13" s="1"/>
      <c r="Y13" s="1"/>
      <c r="Z13" s="1"/>
    </row>
    <row r="14" spans="1:26" ht="12.75">
      <c r="A14" s="39"/>
      <c r="B14" s="76" t="s">
        <v>33</v>
      </c>
      <c r="C14" s="93">
        <v>1</v>
      </c>
      <c r="D14" s="98">
        <v>15</v>
      </c>
      <c r="E14" s="101">
        <f>IF(E5&gt;0,(+$D$13-SUM(D$17:$E17))/$D$14,0)</f>
        <v>40</v>
      </c>
      <c r="F14" s="101">
        <f>IF(F5&gt;0,(+$D$13-SUM($E$17:E17))/$D$14,0)</f>
        <v>40</v>
      </c>
      <c r="G14" s="101">
        <f>IF(G5&gt;0,(+$D$13-SUM($E$17:F17))/$D$14,0)</f>
        <v>4.666666666666667</v>
      </c>
      <c r="H14" s="101">
        <f>IF(H5&gt;0,(+$D$13-SUM($E$17:G17))/$D$14,0)</f>
        <v>4.666666666666667</v>
      </c>
      <c r="I14" s="101">
        <f>IF(I5&gt;0,(+$D$13-SUM($E$17:H17))/$D$14,0)</f>
        <v>4.666666666666667</v>
      </c>
      <c r="J14" s="101">
        <f>IF(J5&gt;0,(+$D$13-SUM($E$17:I17))/$D$14,0)</f>
        <v>41.333333333333336</v>
      </c>
      <c r="K14" s="101">
        <f>IF(K5&gt;0,(+$D$13-SUM($E$17:J17))/$D$14,0)</f>
        <v>41.333333333333336</v>
      </c>
      <c r="L14" s="101">
        <f>IF(L5&gt;0,(+$D$13-SUM($E$17:K17))/$D$14,0)</f>
        <v>41.333333333333336</v>
      </c>
      <c r="M14" s="101">
        <f>IF(M5&gt;0,(+$D$13-SUM($E$17:L17))/$D$14,0)</f>
        <v>42.666666666666664</v>
      </c>
      <c r="N14" s="101">
        <f>IF(N5&gt;0,(+$D$13-SUM($E$17:M17))/$D$14,0)</f>
        <v>42.666666666666664</v>
      </c>
      <c r="O14" s="101">
        <f>IF(O5&gt;0,(+$D$13-SUM($E$17:N17))/$D$14,0)</f>
        <v>42.666666666666664</v>
      </c>
      <c r="P14" s="101">
        <f>IF(P5&gt;0,(+$D$13-SUM($E$17:O17))/$D$14,0)</f>
        <v>40.666666666666664</v>
      </c>
      <c r="Q14" s="101">
        <f>IF(Q5&gt;0,(+$D$13-SUM($E$17:P17))/$D$14,0)</f>
        <v>40.666666666666664</v>
      </c>
      <c r="R14" s="101">
        <f>IF(R5&gt;0,(+$D$13-SUM($E$17:Q17))/$D$14,0)</f>
        <v>40.666666666666664</v>
      </c>
      <c r="S14" s="101">
        <f>IF(S5&gt;0,(+$D$13-SUM($E$17:R17))/$D$14,0)</f>
        <v>40.666666</v>
      </c>
      <c r="T14" s="101">
        <f>IF(T5&gt;0,(+$D$13-SUM($E$17:S17))/$D$14,0)</f>
        <v>0</v>
      </c>
      <c r="U14" s="52">
        <f>-SUM(E14:T14)</f>
        <v>-508.66666600000013</v>
      </c>
      <c r="W14" s="1"/>
      <c r="X14" s="1"/>
      <c r="Y14" s="1"/>
      <c r="Z14" s="1"/>
    </row>
    <row r="15" spans="1:26" ht="12.75">
      <c r="A15" s="39"/>
      <c r="B15" s="9" t="s">
        <v>32</v>
      </c>
      <c r="C15" s="94">
        <v>2</v>
      </c>
      <c r="E15" s="102">
        <v>40</v>
      </c>
      <c r="F15" s="102">
        <v>40</v>
      </c>
      <c r="G15" s="102"/>
      <c r="H15" s="102"/>
      <c r="I15" s="102"/>
      <c r="J15" s="102">
        <f>-I29/($T$13-J13)</f>
        <v>55</v>
      </c>
      <c r="K15" s="102">
        <f>+J15</f>
        <v>55</v>
      </c>
      <c r="L15" s="102">
        <f>+K15</f>
        <v>55</v>
      </c>
      <c r="M15" s="102">
        <f>-L29/($T$13-M13)</f>
        <v>57.857142857142854</v>
      </c>
      <c r="N15" s="102">
        <f>+M15</f>
        <v>57.857142857142854</v>
      </c>
      <c r="O15" s="102">
        <f>+N15</f>
        <v>57.857142857142854</v>
      </c>
      <c r="P15" s="102">
        <f>-O29/($T$13-P13)</f>
        <v>50.35714285714287</v>
      </c>
      <c r="Q15" s="102">
        <f>+P15</f>
        <v>50.35714285714287</v>
      </c>
      <c r="R15" s="102">
        <f>+Q15</f>
        <v>50.35714285714287</v>
      </c>
      <c r="S15" s="102">
        <f>-R29/($T$13-S13)</f>
        <v>50.35713285714288</v>
      </c>
      <c r="T15" s="102">
        <f>+S15</f>
        <v>50.35713285714288</v>
      </c>
      <c r="U15" s="52">
        <f>+T15</f>
        <v>50.35713285714288</v>
      </c>
      <c r="W15" s="1"/>
      <c r="X15" s="1"/>
      <c r="Y15" s="1"/>
      <c r="Z15" s="1"/>
    </row>
    <row r="16" spans="1:23" ht="12.75">
      <c r="A16" s="8"/>
      <c r="B16" s="95" t="s">
        <v>38</v>
      </c>
      <c r="C16" s="70">
        <v>2</v>
      </c>
      <c r="E16" s="92">
        <f>VLOOKUP($C$16,$C$14:$T$15,E1+2)</f>
        <v>40</v>
      </c>
      <c r="F16" s="92">
        <f aca="true" t="shared" si="4" ref="F16:T16">VLOOKUP($C$16,$C$14:$T$15,F1+2)</f>
        <v>40</v>
      </c>
      <c r="G16" s="92">
        <f t="shared" si="4"/>
        <v>0</v>
      </c>
      <c r="H16" s="92">
        <f t="shared" si="4"/>
        <v>0</v>
      </c>
      <c r="I16" s="92">
        <f t="shared" si="4"/>
        <v>0</v>
      </c>
      <c r="J16" s="92">
        <f t="shared" si="4"/>
        <v>55</v>
      </c>
      <c r="K16" s="92">
        <f t="shared" si="4"/>
        <v>55</v>
      </c>
      <c r="L16" s="92">
        <f t="shared" si="4"/>
        <v>55</v>
      </c>
      <c r="M16" s="92">
        <f t="shared" si="4"/>
        <v>57.857142857142854</v>
      </c>
      <c r="N16" s="92">
        <f t="shared" si="4"/>
        <v>57.857142857142854</v>
      </c>
      <c r="O16" s="92">
        <f t="shared" si="4"/>
        <v>57.857142857142854</v>
      </c>
      <c r="P16" s="92">
        <f t="shared" si="4"/>
        <v>50.35714285714287</v>
      </c>
      <c r="Q16" s="92">
        <f t="shared" si="4"/>
        <v>50.35714285714287</v>
      </c>
      <c r="R16" s="92">
        <f t="shared" si="4"/>
        <v>50.35714285714287</v>
      </c>
      <c r="S16" s="92">
        <f t="shared" si="4"/>
        <v>50.35713285714288</v>
      </c>
      <c r="T16" s="92">
        <f t="shared" si="4"/>
        <v>50.35713285714288</v>
      </c>
      <c r="U16" s="69">
        <f>-SUM(E16:T16)</f>
        <v>-670.3571228571429</v>
      </c>
      <c r="V16" s="1"/>
      <c r="W16" t="s">
        <v>7</v>
      </c>
    </row>
    <row r="17" spans="1:22" s="84" customFormat="1" ht="12.75">
      <c r="A17" s="80"/>
      <c r="B17" s="75" t="s">
        <v>40</v>
      </c>
      <c r="C17" s="74"/>
      <c r="D17" s="81"/>
      <c r="E17" s="52"/>
      <c r="F17" s="121">
        <v>530</v>
      </c>
      <c r="G17" s="52"/>
      <c r="H17" s="52"/>
      <c r="I17" s="121">
        <v>-550</v>
      </c>
      <c r="J17" s="52"/>
      <c r="K17" s="52"/>
      <c r="L17" s="121">
        <v>-20</v>
      </c>
      <c r="M17" s="52"/>
      <c r="N17" s="52"/>
      <c r="O17" s="121">
        <v>30</v>
      </c>
      <c r="P17" s="52"/>
      <c r="Q17" s="52"/>
      <c r="R17" s="121">
        <v>1E-05</v>
      </c>
      <c r="S17" s="52"/>
      <c r="T17" s="52"/>
      <c r="U17" s="82"/>
      <c r="V17" s="83"/>
    </row>
    <row r="18" spans="1:22" ht="12.75">
      <c r="A18" s="8"/>
      <c r="B18" s="18" t="s">
        <v>41</v>
      </c>
      <c r="C18" s="18"/>
      <c r="D18" s="81"/>
      <c r="E18" s="52"/>
      <c r="F18" s="103"/>
      <c r="G18" s="52"/>
      <c r="H18" s="52"/>
      <c r="I18" s="103">
        <v>20</v>
      </c>
      <c r="J18" s="52"/>
      <c r="K18" s="52"/>
      <c r="L18" s="103">
        <v>40</v>
      </c>
      <c r="M18" s="52"/>
      <c r="N18" s="52"/>
      <c r="O18" s="103">
        <v>32.6</v>
      </c>
      <c r="P18" s="52"/>
      <c r="Q18" s="52"/>
      <c r="R18" s="103"/>
      <c r="S18" s="52"/>
      <c r="T18" s="52"/>
      <c r="U18" s="51"/>
      <c r="V18" s="1"/>
    </row>
    <row r="19" spans="1:22" ht="12.75">
      <c r="A19" s="8"/>
      <c r="B19" s="74"/>
      <c r="C19" s="74"/>
      <c r="D19" s="74"/>
      <c r="E19" s="74"/>
      <c r="F19" s="74"/>
      <c r="G19" s="74"/>
      <c r="H19" s="74"/>
      <c r="I19" s="74"/>
      <c r="J19" s="74"/>
      <c r="K19" s="74"/>
      <c r="L19" s="74"/>
      <c r="M19" s="74"/>
      <c r="N19" s="74"/>
      <c r="O19" s="74"/>
      <c r="P19" s="74"/>
      <c r="Q19" s="74"/>
      <c r="R19" s="74"/>
      <c r="S19" s="74"/>
      <c r="T19" s="74"/>
      <c r="U19" s="74"/>
      <c r="V19" s="1"/>
    </row>
    <row r="20" spans="1:21" ht="15" customHeight="1">
      <c r="A20" s="5"/>
      <c r="B20" s="25"/>
      <c r="C20" s="25"/>
      <c r="D20" s="132" t="s">
        <v>18</v>
      </c>
      <c r="E20" s="21" t="s">
        <v>13</v>
      </c>
      <c r="F20" s="22"/>
      <c r="G20" s="22"/>
      <c r="H20" s="22"/>
      <c r="I20" s="22"/>
      <c r="J20" s="22"/>
      <c r="K20" s="22"/>
      <c r="L20" s="53"/>
      <c r="M20" s="21" t="s">
        <v>1</v>
      </c>
      <c r="N20" s="23"/>
      <c r="O20" s="24"/>
      <c r="P20" s="24"/>
      <c r="Q20" s="24"/>
      <c r="R20" s="24"/>
      <c r="S20" s="24"/>
      <c r="T20" s="23"/>
      <c r="U20" s="112" t="s">
        <v>0</v>
      </c>
    </row>
    <row r="21" spans="1:21" ht="15" customHeight="1">
      <c r="A21" s="8"/>
      <c r="B21" s="9" t="s">
        <v>19</v>
      </c>
      <c r="C21" s="9"/>
      <c r="D21" s="133"/>
      <c r="E21" s="56">
        <v>2013</v>
      </c>
      <c r="F21" s="34"/>
      <c r="G21" s="34"/>
      <c r="H21" s="34"/>
      <c r="I21" s="34"/>
      <c r="J21" s="34"/>
      <c r="K21" s="34"/>
      <c r="L21" s="54">
        <v>2021</v>
      </c>
      <c r="M21" s="42">
        <v>2021</v>
      </c>
      <c r="N21" s="35"/>
      <c r="O21" s="35"/>
      <c r="P21" s="35"/>
      <c r="Q21" s="35"/>
      <c r="R21" s="35"/>
      <c r="S21" s="35"/>
      <c r="T21" s="114">
        <v>2029</v>
      </c>
      <c r="U21" s="113"/>
    </row>
    <row r="22" spans="1:21" ht="12.75">
      <c r="A22" s="8"/>
      <c r="B22" s="9" t="s">
        <v>22</v>
      </c>
      <c r="C22" s="9"/>
      <c r="D22" s="134"/>
      <c r="E22" s="37"/>
      <c r="F22" s="41"/>
      <c r="G22" s="41">
        <v>2015</v>
      </c>
      <c r="H22" s="41"/>
      <c r="I22" s="41"/>
      <c r="J22" s="41">
        <v>2018</v>
      </c>
      <c r="K22" s="35"/>
      <c r="L22" s="55"/>
      <c r="M22" s="41">
        <f>+J22+3</f>
        <v>2021</v>
      </c>
      <c r="N22" s="36"/>
      <c r="O22" s="41"/>
      <c r="P22" s="41">
        <f>+M22+3</f>
        <v>2024</v>
      </c>
      <c r="Q22" s="41"/>
      <c r="R22" s="41"/>
      <c r="S22" s="41">
        <f>+P22+3</f>
        <v>2027</v>
      </c>
      <c r="T22" s="55"/>
      <c r="U22" s="113"/>
    </row>
    <row r="23" spans="1:21" ht="12.75">
      <c r="A23" s="8"/>
      <c r="B23" s="43" t="s">
        <v>20</v>
      </c>
      <c r="C23" s="43"/>
      <c r="D23" s="44"/>
      <c r="E23" s="57" t="s">
        <v>21</v>
      </c>
      <c r="F23" s="45">
        <v>2015</v>
      </c>
      <c r="G23" s="45">
        <f>+F23+1</f>
        <v>2016</v>
      </c>
      <c r="H23" s="45">
        <f aca="true" t="shared" si="5" ref="H23:T23">+G23+1</f>
        <v>2017</v>
      </c>
      <c r="I23" s="45">
        <f t="shared" si="5"/>
        <v>2018</v>
      </c>
      <c r="J23" s="45">
        <f t="shared" si="5"/>
        <v>2019</v>
      </c>
      <c r="K23" s="45">
        <f t="shared" si="5"/>
        <v>2020</v>
      </c>
      <c r="L23" s="47">
        <f t="shared" si="5"/>
        <v>2021</v>
      </c>
      <c r="M23" s="46">
        <f t="shared" si="5"/>
        <v>2022</v>
      </c>
      <c r="N23" s="45">
        <f t="shared" si="5"/>
        <v>2023</v>
      </c>
      <c r="O23" s="45">
        <f t="shared" si="5"/>
        <v>2024</v>
      </c>
      <c r="P23" s="45">
        <f t="shared" si="5"/>
        <v>2025</v>
      </c>
      <c r="Q23" s="45">
        <f t="shared" si="5"/>
        <v>2026</v>
      </c>
      <c r="R23" s="45">
        <f t="shared" si="5"/>
        <v>2027</v>
      </c>
      <c r="S23" s="45">
        <f t="shared" si="5"/>
        <v>2028</v>
      </c>
      <c r="T23" s="47">
        <f t="shared" si="5"/>
        <v>2029</v>
      </c>
      <c r="U23" s="113"/>
    </row>
    <row r="24" spans="1:22" ht="12.75">
      <c r="A24" s="8"/>
      <c r="B24" s="10"/>
      <c r="C24" s="10"/>
      <c r="D24" s="26"/>
      <c r="E24" s="31"/>
      <c r="F24" s="27"/>
      <c r="G24" s="27"/>
      <c r="H24" s="27"/>
      <c r="I24" s="27"/>
      <c r="J24" s="27"/>
      <c r="K24" s="27"/>
      <c r="L24" s="40"/>
      <c r="M24" s="31"/>
      <c r="N24" s="27"/>
      <c r="O24" s="27"/>
      <c r="P24" s="27"/>
      <c r="Q24" s="27"/>
      <c r="R24" s="27"/>
      <c r="S24" s="27"/>
      <c r="T24" s="40"/>
      <c r="U24" s="40"/>
      <c r="V24" s="1"/>
    </row>
    <row r="25" spans="1:22" ht="12.75">
      <c r="A25" s="8"/>
      <c r="B25" s="9" t="s">
        <v>9</v>
      </c>
      <c r="C25" s="9"/>
      <c r="D25" s="26"/>
      <c r="E25" s="79">
        <f>-D13</f>
        <v>-600</v>
      </c>
      <c r="F25" s="48">
        <f>IF(E29&lt;=0,+E29,0)</f>
        <v>-560</v>
      </c>
      <c r="G25" s="48">
        <f aca="true" t="shared" si="6" ref="G25:T25">IF(F29&lt;=0,+F29,0)</f>
        <v>0</v>
      </c>
      <c r="H25" s="48">
        <f t="shared" si="6"/>
        <v>0</v>
      </c>
      <c r="I25" s="48">
        <f t="shared" si="6"/>
        <v>0</v>
      </c>
      <c r="J25" s="48">
        <f t="shared" si="6"/>
        <v>-550</v>
      </c>
      <c r="K25" s="48">
        <f t="shared" si="6"/>
        <v>-495</v>
      </c>
      <c r="L25" s="51">
        <f t="shared" si="6"/>
        <v>-440</v>
      </c>
      <c r="M25" s="49">
        <f t="shared" si="6"/>
        <v>-405</v>
      </c>
      <c r="N25" s="48">
        <f t="shared" si="6"/>
        <v>-347.14285714285717</v>
      </c>
      <c r="O25" s="48">
        <f t="shared" si="6"/>
        <v>-289.28571428571433</v>
      </c>
      <c r="P25" s="48">
        <f t="shared" si="6"/>
        <v>-201.42857142857147</v>
      </c>
      <c r="Q25" s="48">
        <f t="shared" si="6"/>
        <v>-151.0714285714286</v>
      </c>
      <c r="R25" s="48">
        <f t="shared" si="6"/>
        <v>-100.71428571428575</v>
      </c>
      <c r="S25" s="48">
        <f t="shared" si="6"/>
        <v>-50.35713285714288</v>
      </c>
      <c r="T25" s="51">
        <f t="shared" si="6"/>
        <v>0</v>
      </c>
      <c r="U25" s="51"/>
      <c r="V25" s="1"/>
    </row>
    <row r="26" spans="1:22" ht="12.75">
      <c r="A26" s="29"/>
      <c r="B26" s="30" t="s">
        <v>23</v>
      </c>
      <c r="C26" s="30"/>
      <c r="D26" s="26">
        <f>IF(D14=0,0,D14)</f>
        <v>15</v>
      </c>
      <c r="E26" s="60">
        <f aca="true" t="shared" si="7" ref="E26:L26">IF(-E16&gt;=E25,E16,(IF(E$4&gt;0,-E25,0)))</f>
        <v>40</v>
      </c>
      <c r="F26" s="61">
        <f t="shared" si="7"/>
        <v>40</v>
      </c>
      <c r="G26" s="61">
        <f t="shared" si="7"/>
        <v>0</v>
      </c>
      <c r="H26" s="61">
        <f t="shared" si="7"/>
        <v>0</v>
      </c>
      <c r="I26" s="61">
        <f t="shared" si="7"/>
        <v>0</v>
      </c>
      <c r="J26" s="61">
        <f t="shared" si="7"/>
        <v>55</v>
      </c>
      <c r="K26" s="61">
        <f t="shared" si="7"/>
        <v>55</v>
      </c>
      <c r="L26" s="62">
        <f t="shared" si="7"/>
        <v>55</v>
      </c>
      <c r="M26" s="60">
        <f>IF(-M16&gt;=M25,M16,(IF(M$4&gt;0,-M25,0)))</f>
        <v>57.857142857142854</v>
      </c>
      <c r="N26" s="61">
        <f aca="true" t="shared" si="8" ref="N26:T26">IF(-N16&gt;=N25,N16,(IF(N$4&gt;0,-N25,0)))</f>
        <v>57.857142857142854</v>
      </c>
      <c r="O26" s="61">
        <f t="shared" si="8"/>
        <v>57.857142857142854</v>
      </c>
      <c r="P26" s="61">
        <f t="shared" si="8"/>
        <v>50.35714285714287</v>
      </c>
      <c r="Q26" s="61">
        <f t="shared" si="8"/>
        <v>50.35714285714287</v>
      </c>
      <c r="R26" s="61">
        <f t="shared" si="8"/>
        <v>50.35714285714287</v>
      </c>
      <c r="S26" s="61">
        <f t="shared" si="8"/>
        <v>50.35713285714288</v>
      </c>
      <c r="T26" s="62">
        <f t="shared" si="8"/>
        <v>0</v>
      </c>
      <c r="U26" s="51">
        <f>-SUM(E26:T26)</f>
        <v>-619.99999</v>
      </c>
      <c r="V26" s="1"/>
    </row>
    <row r="27" spans="1:22" ht="12.75">
      <c r="A27" s="8"/>
      <c r="B27" s="18" t="s">
        <v>27</v>
      </c>
      <c r="C27" s="18"/>
      <c r="D27" s="26"/>
      <c r="E27" s="63">
        <f>+E25+E26</f>
        <v>-560</v>
      </c>
      <c r="F27" s="64">
        <f aca="true" t="shared" si="9" ref="F27:T27">+F25+F26</f>
        <v>-520</v>
      </c>
      <c r="G27" s="64">
        <f t="shared" si="9"/>
        <v>0</v>
      </c>
      <c r="H27" s="64">
        <f t="shared" si="9"/>
        <v>0</v>
      </c>
      <c r="I27" s="64">
        <f t="shared" si="9"/>
        <v>0</v>
      </c>
      <c r="J27" s="64">
        <f t="shared" si="9"/>
        <v>-495</v>
      </c>
      <c r="K27" s="64">
        <f t="shared" si="9"/>
        <v>-440</v>
      </c>
      <c r="L27" s="65">
        <f t="shared" si="9"/>
        <v>-385</v>
      </c>
      <c r="M27" s="63">
        <f t="shared" si="9"/>
        <v>-347.14285714285717</v>
      </c>
      <c r="N27" s="64">
        <f t="shared" si="9"/>
        <v>-289.28571428571433</v>
      </c>
      <c r="O27" s="64">
        <f t="shared" si="9"/>
        <v>-231.42857142857147</v>
      </c>
      <c r="P27" s="64">
        <f t="shared" si="9"/>
        <v>-151.0714285714286</v>
      </c>
      <c r="Q27" s="64">
        <f t="shared" si="9"/>
        <v>-100.71428571428575</v>
      </c>
      <c r="R27" s="64">
        <f t="shared" si="9"/>
        <v>-50.35714285714288</v>
      </c>
      <c r="S27" s="64">
        <f t="shared" si="9"/>
        <v>0</v>
      </c>
      <c r="T27" s="65">
        <f t="shared" si="9"/>
        <v>0</v>
      </c>
      <c r="U27" s="51"/>
      <c r="V27" s="1"/>
    </row>
    <row r="28" spans="1:22" ht="12.75">
      <c r="A28" s="8"/>
      <c r="B28" s="18" t="s">
        <v>29</v>
      </c>
      <c r="C28" s="18"/>
      <c r="D28" s="26"/>
      <c r="E28" s="111">
        <f>+E17</f>
        <v>0</v>
      </c>
      <c r="F28" s="96">
        <f aca="true" t="shared" si="10" ref="F28:T28">+F17</f>
        <v>530</v>
      </c>
      <c r="G28" s="96">
        <f t="shared" si="10"/>
        <v>0</v>
      </c>
      <c r="H28" s="96">
        <f t="shared" si="10"/>
        <v>0</v>
      </c>
      <c r="I28" s="96">
        <f t="shared" si="10"/>
        <v>-550</v>
      </c>
      <c r="J28" s="96">
        <f t="shared" si="10"/>
        <v>0</v>
      </c>
      <c r="K28" s="96">
        <f t="shared" si="10"/>
        <v>0</v>
      </c>
      <c r="L28" s="96">
        <f t="shared" si="10"/>
        <v>-20</v>
      </c>
      <c r="M28" s="115">
        <f t="shared" si="10"/>
        <v>0</v>
      </c>
      <c r="N28" s="96">
        <f t="shared" si="10"/>
        <v>0</v>
      </c>
      <c r="O28" s="96">
        <f t="shared" si="10"/>
        <v>30</v>
      </c>
      <c r="P28" s="96">
        <f t="shared" si="10"/>
        <v>0</v>
      </c>
      <c r="Q28" s="96">
        <f t="shared" si="10"/>
        <v>0</v>
      </c>
      <c r="R28" s="96">
        <f t="shared" si="10"/>
        <v>1E-05</v>
      </c>
      <c r="S28" s="96">
        <f t="shared" si="10"/>
        <v>0</v>
      </c>
      <c r="T28" s="97">
        <f t="shared" si="10"/>
        <v>0</v>
      </c>
      <c r="U28" s="51">
        <f>SUM(E25,E28:T28)</f>
        <v>-609.99999</v>
      </c>
      <c r="V28" s="1"/>
    </row>
    <row r="29" spans="1:22" ht="12.75">
      <c r="A29" s="29"/>
      <c r="B29" s="30" t="s">
        <v>26</v>
      </c>
      <c r="C29" s="30"/>
      <c r="D29" s="26"/>
      <c r="E29" s="66">
        <f>+E28+E27</f>
        <v>-560</v>
      </c>
      <c r="F29" s="67">
        <f aca="true" t="shared" si="11" ref="F29:T29">+F28+F27</f>
        <v>10</v>
      </c>
      <c r="G29" s="67">
        <f t="shared" si="11"/>
        <v>0</v>
      </c>
      <c r="H29" s="67">
        <f t="shared" si="11"/>
        <v>0</v>
      </c>
      <c r="I29" s="67">
        <f t="shared" si="11"/>
        <v>-550</v>
      </c>
      <c r="J29" s="67">
        <f t="shared" si="11"/>
        <v>-495</v>
      </c>
      <c r="K29" s="67">
        <f t="shared" si="11"/>
        <v>-440</v>
      </c>
      <c r="L29" s="68">
        <f t="shared" si="11"/>
        <v>-405</v>
      </c>
      <c r="M29" s="66">
        <f t="shared" si="11"/>
        <v>-347.14285714285717</v>
      </c>
      <c r="N29" s="67">
        <f t="shared" si="11"/>
        <v>-289.28571428571433</v>
      </c>
      <c r="O29" s="67">
        <f t="shared" si="11"/>
        <v>-201.42857142857147</v>
      </c>
      <c r="P29" s="67">
        <f t="shared" si="11"/>
        <v>-151.0714285714286</v>
      </c>
      <c r="Q29" s="67">
        <f t="shared" si="11"/>
        <v>-100.71428571428575</v>
      </c>
      <c r="R29" s="67">
        <f t="shared" si="11"/>
        <v>-50.35713285714288</v>
      </c>
      <c r="S29" s="67">
        <f t="shared" si="11"/>
        <v>0</v>
      </c>
      <c r="T29" s="68">
        <f t="shared" si="11"/>
        <v>0</v>
      </c>
      <c r="U29" s="51"/>
      <c r="V29" s="1"/>
    </row>
    <row r="30" spans="1:22" s="120" customFormat="1" ht="12.75">
      <c r="A30" s="116"/>
      <c r="B30" s="117"/>
      <c r="C30" s="117"/>
      <c r="D30" s="107"/>
      <c r="E30" s="108"/>
      <c r="F30" s="109"/>
      <c r="G30" s="109"/>
      <c r="H30" s="109"/>
      <c r="I30" s="109"/>
      <c r="J30" s="109"/>
      <c r="K30" s="109"/>
      <c r="L30" s="110"/>
      <c r="M30" s="108"/>
      <c r="N30" s="109"/>
      <c r="O30" s="109"/>
      <c r="P30" s="109"/>
      <c r="Q30" s="109"/>
      <c r="R30" s="109"/>
      <c r="S30" s="109"/>
      <c r="T30" s="110"/>
      <c r="U30" s="118"/>
      <c r="V30" s="119"/>
    </row>
    <row r="31" spans="1:22" ht="12.75">
      <c r="A31" s="8"/>
      <c r="B31" s="18" t="s">
        <v>24</v>
      </c>
      <c r="C31" s="18"/>
      <c r="D31" s="26"/>
      <c r="E31" s="108">
        <f>+E18</f>
        <v>0</v>
      </c>
      <c r="F31" s="109">
        <f aca="true" t="shared" si="12" ref="F31:T31">+F18</f>
        <v>0</v>
      </c>
      <c r="G31" s="109">
        <f t="shared" si="12"/>
        <v>0</v>
      </c>
      <c r="H31" s="109">
        <f t="shared" si="12"/>
        <v>0</v>
      </c>
      <c r="I31" s="109">
        <f t="shared" si="12"/>
        <v>20</v>
      </c>
      <c r="J31" s="109">
        <f t="shared" si="12"/>
        <v>0</v>
      </c>
      <c r="K31" s="109">
        <f t="shared" si="12"/>
        <v>0</v>
      </c>
      <c r="L31" s="110">
        <f t="shared" si="12"/>
        <v>40</v>
      </c>
      <c r="M31" s="108">
        <f t="shared" si="12"/>
        <v>0</v>
      </c>
      <c r="N31" s="109">
        <f t="shared" si="12"/>
        <v>0</v>
      </c>
      <c r="O31" s="109">
        <f t="shared" si="12"/>
        <v>32.6</v>
      </c>
      <c r="P31" s="109">
        <f t="shared" si="12"/>
        <v>0</v>
      </c>
      <c r="Q31" s="109">
        <f t="shared" si="12"/>
        <v>0</v>
      </c>
      <c r="R31" s="109">
        <f t="shared" si="12"/>
        <v>0</v>
      </c>
      <c r="S31" s="109">
        <f t="shared" si="12"/>
        <v>0</v>
      </c>
      <c r="T31" s="110">
        <f t="shared" si="12"/>
        <v>0</v>
      </c>
      <c r="U31" s="51"/>
      <c r="V31" s="1"/>
    </row>
    <row r="32" spans="1:22" ht="12.75">
      <c r="A32" s="8"/>
      <c r="B32" s="18" t="s">
        <v>30</v>
      </c>
      <c r="C32" s="18"/>
      <c r="D32" s="26"/>
      <c r="E32" s="60">
        <f>IF(E28&lt;&gt;0,-SUM(D31:$E32),0)</f>
        <v>0</v>
      </c>
      <c r="F32" s="61">
        <f>IF(F28&lt;&gt;0,-SUM($E31:E32),0)</f>
        <v>0</v>
      </c>
      <c r="G32" s="61">
        <f>IF(G28&lt;&gt;0,-SUM($E31:F32),0)</f>
        <v>0</v>
      </c>
      <c r="H32" s="61">
        <f>IF(H28&lt;&gt;0,-SUM($E31:G32),0)</f>
        <v>0</v>
      </c>
      <c r="I32" s="61">
        <f>IF(I28&lt;&gt;0,-SUM($E31:H32),0)</f>
        <v>0</v>
      </c>
      <c r="J32" s="61">
        <f>IF(J28&lt;&gt;0,-SUM($E31:I32),0)</f>
        <v>0</v>
      </c>
      <c r="K32" s="61">
        <f>IF(K28&lt;&gt;0,-SUM($E31:J32),0)</f>
        <v>0</v>
      </c>
      <c r="L32" s="62">
        <f>IF(L28&lt;&gt;0,-SUM($E31:K32),0)</f>
        <v>-20</v>
      </c>
      <c r="M32" s="60">
        <f>IF(M28&lt;&gt;0,-SUM($E31:L32),0)</f>
        <v>0</v>
      </c>
      <c r="N32" s="61">
        <f>IF(N28&lt;&gt;0,-SUM($E31:M32),0)</f>
        <v>0</v>
      </c>
      <c r="O32" s="61">
        <f>IF(O28&lt;&gt;0,-SUM($E31:N32),0)</f>
        <v>-40</v>
      </c>
      <c r="P32" s="61">
        <f>IF(P28&lt;&gt;0,-SUM($E31:O32),0)</f>
        <v>0</v>
      </c>
      <c r="Q32" s="61">
        <f>IF(Q28&lt;&gt;0,-SUM($E31:P32),0)</f>
        <v>0</v>
      </c>
      <c r="R32" s="61">
        <f>IF(R28&lt;&gt;0,-SUM($E31:Q32),0)</f>
        <v>-32.599999999999994</v>
      </c>
      <c r="S32" s="61">
        <f>IF(S28&lt;&gt;0,-SUM($E31:R32),0)</f>
        <v>0</v>
      </c>
      <c r="T32" s="62">
        <f>IF(T28&lt;&gt;0,-SUM($E31:S32),0)</f>
        <v>0</v>
      </c>
      <c r="U32" s="51"/>
      <c r="V32" s="1"/>
    </row>
    <row r="33" spans="1:22" ht="12.75">
      <c r="A33" s="8"/>
      <c r="B33" s="18" t="s">
        <v>28</v>
      </c>
      <c r="C33" s="18"/>
      <c r="D33" s="26"/>
      <c r="E33" s="66">
        <f>SUM(E25,$D$31:E31,$D$32:D32)</f>
        <v>-600</v>
      </c>
      <c r="F33" s="67">
        <f>SUM(F25,$D$31:F31,$D$32:E32)</f>
        <v>-560</v>
      </c>
      <c r="G33" s="67">
        <f>SUM(G25,$D$31:G31,$D$32:F32)</f>
        <v>0</v>
      </c>
      <c r="H33" s="67">
        <f>SUM(H25,$D$31:H31,$D$32:G32)</f>
        <v>0</v>
      </c>
      <c r="I33" s="67">
        <f>SUM(I25,$D$31:I31,$D$32:H32)</f>
        <v>20</v>
      </c>
      <c r="J33" s="67">
        <f>SUM(J25,$D$31:J31,$D$32:I32)</f>
        <v>-530</v>
      </c>
      <c r="K33" s="67">
        <f>SUM(K25,$D$31:K31,$D$32:J32)</f>
        <v>-475</v>
      </c>
      <c r="L33" s="68">
        <f>SUM(L25,$D$31:L31,$D$32:K32)</f>
        <v>-380</v>
      </c>
      <c r="M33" s="66">
        <f>SUM(M25,$D$31:M31,$D$32:L32)</f>
        <v>-365</v>
      </c>
      <c r="N33" s="67">
        <f>SUM(N25,$D$31:N31,$D$32:M32)</f>
        <v>-307.14285714285717</v>
      </c>
      <c r="O33" s="67">
        <f>SUM(O25,$D$31:O31,$D$32:N32)</f>
        <v>-216.68571428571434</v>
      </c>
      <c r="P33" s="67">
        <f>SUM(P25,$D$31:P31,$D$32:O32)</f>
        <v>-168.82857142857148</v>
      </c>
      <c r="Q33" s="67">
        <f>SUM(Q25,$D$31:Q31,$D$32:P32)</f>
        <v>-118.47142857142862</v>
      </c>
      <c r="R33" s="67">
        <f>SUM(R25,$D$31:R31,$D$32:Q32)</f>
        <v>-68.11428571428576</v>
      </c>
      <c r="S33" s="67">
        <f>SUM(S25,$D$31:S31,$D$32:R32)</f>
        <v>-50.35713285714287</v>
      </c>
      <c r="T33" s="68">
        <f>SUM(T25,$D$31:T31,$D$32:S32)</f>
        <v>0</v>
      </c>
      <c r="U33" s="51"/>
      <c r="V33" s="1"/>
    </row>
    <row r="34" spans="1:25" ht="12" customHeight="1">
      <c r="A34" s="8"/>
      <c r="B34" s="9" t="s">
        <v>12</v>
      </c>
      <c r="C34" s="9"/>
      <c r="D34" s="107">
        <v>15</v>
      </c>
      <c r="E34" s="49"/>
      <c r="F34" s="48"/>
      <c r="G34" s="48"/>
      <c r="H34" s="48"/>
      <c r="I34" s="48"/>
      <c r="J34" s="48"/>
      <c r="K34" s="48"/>
      <c r="L34" s="51"/>
      <c r="M34" s="49"/>
      <c r="N34" s="48"/>
      <c r="O34" s="48"/>
      <c r="P34" s="48"/>
      <c r="Q34" s="48"/>
      <c r="R34" s="48"/>
      <c r="S34" s="48"/>
      <c r="T34" s="51"/>
      <c r="U34" s="51">
        <f>SUM(E34:L34,M34:T34)</f>
        <v>0</v>
      </c>
      <c r="W34" s="2"/>
      <c r="X34" s="2"/>
      <c r="Y34" s="2"/>
    </row>
    <row r="35" spans="1:25" ht="12.75">
      <c r="A35" s="8"/>
      <c r="B35" s="9" t="s">
        <v>11</v>
      </c>
      <c r="C35" s="9"/>
      <c r="D35" s="50">
        <f>+D13/D34</f>
        <v>40</v>
      </c>
      <c r="E35" s="86">
        <f>IF(E3=0,0,IF(D28=0,+D35,IF(E25&gt;0,0,-E25/E3)))</f>
        <v>40</v>
      </c>
      <c r="F35" s="86">
        <f aca="true" t="shared" si="13" ref="F35:T35">IF(F3=0,0,IF(E28=0,+E35,IF(F25&gt;0,0,-F25/F3)))</f>
        <v>40</v>
      </c>
      <c r="G35" s="86">
        <f t="shared" si="13"/>
        <v>0</v>
      </c>
      <c r="H35" s="86">
        <f t="shared" si="13"/>
        <v>0</v>
      </c>
      <c r="I35" s="86">
        <f t="shared" si="13"/>
        <v>0</v>
      </c>
      <c r="J35" s="86">
        <f t="shared" si="13"/>
        <v>55</v>
      </c>
      <c r="K35" s="86">
        <f t="shared" si="13"/>
        <v>55</v>
      </c>
      <c r="L35" s="87">
        <f t="shared" si="13"/>
        <v>55</v>
      </c>
      <c r="M35" s="86">
        <f t="shared" si="13"/>
        <v>57.857142857142854</v>
      </c>
      <c r="N35" s="86">
        <f t="shared" si="13"/>
        <v>57.857142857142854</v>
      </c>
      <c r="O35" s="86">
        <f t="shared" si="13"/>
        <v>57.857142857142854</v>
      </c>
      <c r="P35" s="86">
        <f t="shared" si="13"/>
        <v>50.35714285714287</v>
      </c>
      <c r="Q35" s="86">
        <f t="shared" si="13"/>
        <v>50.35714285714287</v>
      </c>
      <c r="R35" s="86">
        <f t="shared" si="13"/>
        <v>50.35714285714287</v>
      </c>
      <c r="S35" s="86">
        <f t="shared" si="13"/>
        <v>50.35713285714288</v>
      </c>
      <c r="T35" s="87">
        <f t="shared" si="13"/>
        <v>0</v>
      </c>
      <c r="U35" s="51">
        <f>SUM(E35:L35,M35:T35)</f>
        <v>619.99999</v>
      </c>
      <c r="W35" s="1"/>
      <c r="Y35" s="1"/>
    </row>
    <row r="36" spans="1:25" ht="12.75">
      <c r="A36" s="8"/>
      <c r="B36" s="9" t="s">
        <v>25</v>
      </c>
      <c r="C36" s="9"/>
      <c r="D36" s="26"/>
      <c r="E36" s="86">
        <f>IF(E$3&gt;0,IF(OR(E28&gt;0,E31&gt;0),-E31/E3,+D36),0)</f>
        <v>0</v>
      </c>
      <c r="F36" s="86">
        <f aca="true" t="shared" si="14" ref="F36:T36">IF(F$3&gt;0,IF(OR(F28&gt;0,F31&gt;0),-F31/F3,+E36),0)</f>
        <v>0</v>
      </c>
      <c r="G36" s="86">
        <f t="shared" si="14"/>
        <v>0</v>
      </c>
      <c r="H36" s="86">
        <f t="shared" si="14"/>
        <v>0</v>
      </c>
      <c r="I36" s="86">
        <f t="shared" si="14"/>
        <v>-1.8181818181818181</v>
      </c>
      <c r="J36" s="86">
        <f t="shared" si="14"/>
        <v>-1.8181818181818181</v>
      </c>
      <c r="K36" s="86">
        <f t="shared" si="14"/>
        <v>-1.8181818181818181</v>
      </c>
      <c r="L36" s="87">
        <f t="shared" si="14"/>
        <v>-5</v>
      </c>
      <c r="M36" s="86">
        <f t="shared" si="14"/>
        <v>-5</v>
      </c>
      <c r="N36" s="86">
        <f t="shared" si="14"/>
        <v>-5</v>
      </c>
      <c r="O36" s="86">
        <f t="shared" si="14"/>
        <v>-6.5200000000000005</v>
      </c>
      <c r="P36" s="86">
        <f t="shared" si="14"/>
        <v>-6.5200000000000005</v>
      </c>
      <c r="Q36" s="86">
        <f t="shared" si="14"/>
        <v>-6.5200000000000005</v>
      </c>
      <c r="R36" s="86">
        <f t="shared" si="14"/>
        <v>0</v>
      </c>
      <c r="S36" s="86">
        <f t="shared" si="14"/>
        <v>0</v>
      </c>
      <c r="T36" s="87">
        <f t="shared" si="14"/>
        <v>0</v>
      </c>
      <c r="U36" s="51">
        <f>SUM(E36:L36,M36:T36)</f>
        <v>-40.014545454545456</v>
      </c>
      <c r="W36" s="1"/>
      <c r="Y36" s="1"/>
    </row>
    <row r="37" spans="1:25" ht="12.75">
      <c r="A37" s="8"/>
      <c r="B37" s="18" t="s">
        <v>37</v>
      </c>
      <c r="C37" s="18"/>
      <c r="D37" s="26"/>
      <c r="E37" s="49">
        <f>SUM($E$26:E26)-SUM($E$35:E35)-SUM($E$39:E39)</f>
        <v>0</v>
      </c>
      <c r="F37" s="48">
        <f>SUM($E$26:F26)-SUM($E$35:F35)-SUM($E$39:F39)</f>
        <v>0</v>
      </c>
      <c r="G37" s="48">
        <f>SUM($E$26:G26)-SUM($E$35:G35)-SUM($E$39:G39)</f>
        <v>0</v>
      </c>
      <c r="H37" s="48">
        <f>SUM($E$26:H26)-SUM($E$35:H35)-SUM($E$39:H39)</f>
        <v>0</v>
      </c>
      <c r="I37" s="48">
        <f>SUM($E$26:I26)-SUM($E$35:I35)-SUM($E$39:I39)</f>
        <v>0</v>
      </c>
      <c r="J37" s="48">
        <f>SUM($E$26:J26)-SUM($E$35:J35)-SUM($E$39:J39)</f>
        <v>0</v>
      </c>
      <c r="K37" s="48">
        <f>SUM($E$26:K26)-SUM($E$35:K35)-SUM($E$39:K39)</f>
        <v>0</v>
      </c>
      <c r="L37" s="51">
        <f>SUM($E$26:L26)-SUM($E$35:L35)-SUM($E$39:L39)</f>
        <v>0</v>
      </c>
      <c r="M37" s="49">
        <f>SUM($E$26:M26)-SUM($E$35:M35)-SUM($E$39:M39)</f>
        <v>0</v>
      </c>
      <c r="N37" s="48">
        <f>SUM($E$26:N26)-SUM($E$35:N35)-SUM($E$39:N39)</f>
        <v>0</v>
      </c>
      <c r="O37" s="48">
        <f>SUM($E$26:O26)-SUM($E$35:O35)-SUM($E$39:O39)</f>
        <v>0</v>
      </c>
      <c r="P37" s="48">
        <f>SUM($E$26:P26)-SUM($E$35:P35)-SUM($E$39:P39)</f>
        <v>0</v>
      </c>
      <c r="Q37" s="48">
        <f>SUM($E$26:Q26)-SUM($E$35:Q35)-SUM($E$39:Q39)</f>
        <v>0</v>
      </c>
      <c r="R37" s="48">
        <f>SUM($E$26:R26)-SUM($E$35:R35)-SUM($E$39:R39)</f>
        <v>0</v>
      </c>
      <c r="S37" s="48">
        <f>SUM($E$26:S26)-SUM($E$35:S35)-SUM($E$39:S39)</f>
        <v>0</v>
      </c>
      <c r="T37" s="51">
        <f>SUM($E$26:T26)-SUM($E$35:T35)-SUM($E$39:T39)</f>
        <v>0</v>
      </c>
      <c r="U37" s="51"/>
      <c r="W37" s="1"/>
      <c r="Y37" s="1"/>
    </row>
    <row r="38" spans="1:25" ht="12.75">
      <c r="A38" s="8"/>
      <c r="B38" s="18" t="s">
        <v>31</v>
      </c>
      <c r="C38" s="18"/>
      <c r="D38" s="26"/>
      <c r="E38" s="49">
        <f>IF(E28&gt;0,+E37,0)</f>
        <v>0</v>
      </c>
      <c r="F38" s="48">
        <f>IF(F28&gt;0,+F37,0)</f>
        <v>0</v>
      </c>
      <c r="G38" s="48">
        <f aca="true" t="shared" si="15" ref="G38:T38">IF(G28&gt;0,+G37,0)</f>
        <v>0</v>
      </c>
      <c r="H38" s="48">
        <f t="shared" si="15"/>
        <v>0</v>
      </c>
      <c r="I38" s="48">
        <f t="shared" si="15"/>
        <v>0</v>
      </c>
      <c r="J38" s="48">
        <f t="shared" si="15"/>
        <v>0</v>
      </c>
      <c r="K38" s="48">
        <f t="shared" si="15"/>
        <v>0</v>
      </c>
      <c r="L38" s="51">
        <f t="shared" si="15"/>
        <v>0</v>
      </c>
      <c r="M38" s="49">
        <f t="shared" si="15"/>
        <v>0</v>
      </c>
      <c r="N38" s="48">
        <f t="shared" si="15"/>
        <v>0</v>
      </c>
      <c r="O38" s="48">
        <f t="shared" si="15"/>
        <v>0</v>
      </c>
      <c r="P38" s="48">
        <f t="shared" si="15"/>
        <v>0</v>
      </c>
      <c r="Q38" s="48">
        <f t="shared" si="15"/>
        <v>0</v>
      </c>
      <c r="R38" s="48">
        <f t="shared" si="15"/>
        <v>0</v>
      </c>
      <c r="S38" s="48">
        <f t="shared" si="15"/>
        <v>0</v>
      </c>
      <c r="T38" s="51">
        <f t="shared" si="15"/>
        <v>0</v>
      </c>
      <c r="U38" s="51"/>
      <c r="W38" s="1"/>
      <c r="Y38" s="1"/>
    </row>
    <row r="39" spans="1:25" ht="12.75">
      <c r="A39" s="8"/>
      <c r="B39" s="18" t="s">
        <v>34</v>
      </c>
      <c r="C39" s="18"/>
      <c r="D39" s="26"/>
      <c r="E39" s="85"/>
      <c r="F39" s="86">
        <f aca="true" t="shared" si="16" ref="F39:T39">IF(F3=0,0,(IF(E38&lt;&gt;0,+E38/F3,+E39)))</f>
        <v>0</v>
      </c>
      <c r="G39" s="86">
        <f t="shared" si="16"/>
        <v>0</v>
      </c>
      <c r="H39" s="86">
        <f t="shared" si="16"/>
        <v>0</v>
      </c>
      <c r="I39" s="86">
        <f t="shared" si="16"/>
        <v>0</v>
      </c>
      <c r="J39" s="86">
        <f t="shared" si="16"/>
        <v>0</v>
      </c>
      <c r="K39" s="86">
        <f t="shared" si="16"/>
        <v>0</v>
      </c>
      <c r="L39" s="87">
        <f t="shared" si="16"/>
        <v>0</v>
      </c>
      <c r="M39" s="85">
        <f t="shared" si="16"/>
        <v>0</v>
      </c>
      <c r="N39" s="86">
        <f t="shared" si="16"/>
        <v>0</v>
      </c>
      <c r="O39" s="86">
        <f t="shared" si="16"/>
        <v>0</v>
      </c>
      <c r="P39" s="86">
        <f t="shared" si="16"/>
        <v>0</v>
      </c>
      <c r="Q39" s="86">
        <f t="shared" si="16"/>
        <v>0</v>
      </c>
      <c r="R39" s="86">
        <f t="shared" si="16"/>
        <v>0</v>
      </c>
      <c r="S39" s="86">
        <f t="shared" si="16"/>
        <v>0</v>
      </c>
      <c r="T39" s="87">
        <f t="shared" si="16"/>
        <v>0</v>
      </c>
      <c r="U39" s="51">
        <f>SUM(E39:L39,M39:T39)</f>
        <v>0</v>
      </c>
      <c r="W39" s="1"/>
      <c r="Y39" s="1"/>
    </row>
    <row r="40" spans="1:25" ht="12" customHeight="1">
      <c r="A40" s="8"/>
      <c r="B40" s="9"/>
      <c r="C40" s="9"/>
      <c r="D40" s="26"/>
      <c r="E40" s="49"/>
      <c r="F40" s="48"/>
      <c r="G40" s="48"/>
      <c r="H40" s="48"/>
      <c r="I40" s="48"/>
      <c r="J40" s="48"/>
      <c r="K40" s="48"/>
      <c r="L40" s="51"/>
      <c r="M40" s="49"/>
      <c r="N40" s="48"/>
      <c r="O40" s="48"/>
      <c r="P40" s="48"/>
      <c r="Q40" s="48"/>
      <c r="R40" s="48"/>
      <c r="S40" s="48"/>
      <c r="T40" s="51"/>
      <c r="U40" s="51">
        <f>SUM(E40:L40,M40:T40)</f>
        <v>0</v>
      </c>
      <c r="Y40" s="1"/>
    </row>
    <row r="41" spans="1:25" ht="12.75">
      <c r="A41" s="8"/>
      <c r="B41" s="88" t="s">
        <v>10</v>
      </c>
      <c r="C41" s="88"/>
      <c r="D41" s="28"/>
      <c r="E41" s="89">
        <f>+E35+E36+E39</f>
        <v>40</v>
      </c>
      <c r="F41" s="90">
        <f aca="true" t="shared" si="17" ref="F41:T41">+F35+F36+F39</f>
        <v>40</v>
      </c>
      <c r="G41" s="90">
        <f t="shared" si="17"/>
        <v>0</v>
      </c>
      <c r="H41" s="90">
        <f t="shared" si="17"/>
        <v>0</v>
      </c>
      <c r="I41" s="90">
        <f t="shared" si="17"/>
        <v>-1.8181818181818181</v>
      </c>
      <c r="J41" s="90">
        <f t="shared" si="17"/>
        <v>53.18181818181818</v>
      </c>
      <c r="K41" s="90">
        <f t="shared" si="17"/>
        <v>53.18181818181818</v>
      </c>
      <c r="L41" s="91">
        <f t="shared" si="17"/>
        <v>50</v>
      </c>
      <c r="M41" s="89">
        <f t="shared" si="17"/>
        <v>52.857142857142854</v>
      </c>
      <c r="N41" s="90">
        <f t="shared" si="17"/>
        <v>52.857142857142854</v>
      </c>
      <c r="O41" s="90">
        <f t="shared" si="17"/>
        <v>51.33714285714285</v>
      </c>
      <c r="P41" s="90">
        <f t="shared" si="17"/>
        <v>43.837142857142865</v>
      </c>
      <c r="Q41" s="90">
        <f t="shared" si="17"/>
        <v>43.837142857142865</v>
      </c>
      <c r="R41" s="90">
        <f t="shared" si="17"/>
        <v>50.35714285714287</v>
      </c>
      <c r="S41" s="90">
        <f t="shared" si="17"/>
        <v>50.35713285714288</v>
      </c>
      <c r="T41" s="91">
        <f t="shared" si="17"/>
        <v>0</v>
      </c>
      <c r="U41" s="91">
        <f>SUM(U35:U40)</f>
        <v>579.9854445454546</v>
      </c>
      <c r="W41" s="1"/>
      <c r="Y41" s="1"/>
    </row>
    <row r="42" spans="1:26" ht="12.75">
      <c r="A42" s="13"/>
      <c r="B42" s="14" t="s">
        <v>17</v>
      </c>
      <c r="C42" s="14"/>
      <c r="D42" s="15"/>
      <c r="E42" s="15"/>
      <c r="F42" s="15"/>
      <c r="G42" s="15"/>
      <c r="H42" s="15"/>
      <c r="I42" s="15"/>
      <c r="J42" s="15"/>
      <c r="K42" s="15"/>
      <c r="L42" s="15"/>
      <c r="M42" s="15"/>
      <c r="N42" s="15"/>
      <c r="O42" s="15"/>
      <c r="P42" s="15"/>
      <c r="Q42" s="15"/>
      <c r="R42" s="15"/>
      <c r="S42" s="15"/>
      <c r="T42" s="15"/>
      <c r="U42" s="62">
        <f>+U26+U41</f>
        <v>-40.01454545454544</v>
      </c>
      <c r="Y42" s="1"/>
      <c r="Z42" s="1"/>
    </row>
    <row r="43" ht="12.75">
      <c r="K43" s="59"/>
    </row>
  </sheetData>
  <sheetProtection/>
  <mergeCells count="1">
    <mergeCell ref="D20:D22"/>
  </mergeCells>
  <printOptions/>
  <pageMargins left="0.15748031496062992" right="0.15748031496062992" top="0.4330708661417323" bottom="0.4330708661417323" header="0.2362204724409449" footer="0.1968503937007874"/>
  <pageSetup fitToHeight="1" fitToWidth="1" horizontalDpi="600" verticalDpi="600" orientation="landscape" paperSize="9" scale="55" r:id="rId1"/>
  <headerFooter>
    <oddFooter>&amp;C&amp;D&amp;R&amp;F</oddFooter>
  </headerFooter>
  <rowBreaks count="1" manualBreakCount="1">
    <brk id="11" max="255"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Illustrative pension deficit funding model: RIIO-T1 and GD1</dc:title>
  <dc:subject/>
  <dc:creator>daveyb</dc:creator>
  <cp:keywords>wacc, rav, financeability</cp:keywords>
  <dc:description/>
  <cp:lastModifiedBy>Mackenzie</cp:lastModifiedBy>
  <cp:lastPrinted>2011-01-14T12:04:48Z</cp:lastPrinted>
  <dcterms:created xsi:type="dcterms:W3CDTF">2009-10-27T09:09:04Z</dcterms:created>
  <dcterms:modified xsi:type="dcterms:W3CDTF">2011-03-24T16:52:30Z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0x0101001B29A5457858BB40B9775B98A0F7A817004274708627832547BF6B8AB394EC7D5F</vt:lpwstr>
  </property>
  <property fmtid="{D5CDD505-2E9C-101B-9397-08002B2CF9AE}" pid="3" name="Classification">
    <vt:lpwstr>Unclassified</vt:lpwstr>
  </property>
  <property fmtid="{D5CDD505-2E9C-101B-9397-08002B2CF9AE}" pid="4" name="Applicable Start Date">
    <vt:lpwstr>2011-01-01T09:18:49Z</vt:lpwstr>
  </property>
  <property fmtid="{D5CDD505-2E9C-101B-9397-08002B2CF9AE}" pid="5" name="_Status">
    <vt:lpwstr>Draft</vt:lpwstr>
  </property>
  <property fmtid="{D5CDD505-2E9C-101B-9397-08002B2CF9AE}" pid="6" name="Applicable Duration">
    <vt:lpwstr>Enduring</vt:lpwstr>
  </property>
  <property fmtid="{D5CDD505-2E9C-101B-9397-08002B2CF9AE}" pid="7" name="Organisation">
    <vt:lpwstr>NWOperators</vt:lpwstr>
  </property>
  <property fmtid="{D5CDD505-2E9C-101B-9397-08002B2CF9AE}" pid="8" name="Descriptor">
    <vt:lpwstr>Commercial</vt:lpwstr>
  </property>
  <property fmtid="{D5CDD505-2E9C-101B-9397-08002B2CF9AE}" pid="9" name="::">
    <vt:lpwstr>- Subsidiary Document</vt:lpwstr>
  </property>
  <property fmtid="{D5CDD505-2E9C-101B-9397-08002B2CF9AE}" pid="10" name="Ref No New">
    <vt:lpwstr/>
  </property>
  <property fmtid="{D5CDD505-2E9C-101B-9397-08002B2CF9AE}" pid="11" name="Publication Date:">
    <vt:lpwstr>2011-03-08T00:00:00Z</vt:lpwstr>
  </property>
  <property fmtid="{D5CDD505-2E9C-101B-9397-08002B2CF9AE}" pid="12" name=":">
    <vt:lpwstr>2011/03/28 - T1stratdec</vt:lpwstr>
  </property>
  <property fmtid="{D5CDD505-2E9C-101B-9397-08002B2CF9AE}" pid="13" name="Overview">
    <vt:lpwstr>This Excel sheet provides an illustrative model of pension deficit funding scenarios for RIIO-T1 and GD1. </vt:lpwstr>
  </property>
  <property fmtid="{D5CDD505-2E9C-101B-9397-08002B2CF9AE}" pid="14" name="ContentType">
    <vt:lpwstr>Other</vt:lpwstr>
  </property>
  <property fmtid="{D5CDD505-2E9C-101B-9397-08002B2CF9AE}" pid="15" name="Work Area">
    <vt:lpwstr>Transmission</vt:lpwstr>
  </property>
</Properties>
</file>