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3090" activeTab="1"/>
  </bookViews>
  <sheets>
    <sheet name="Generator_Info" sheetId="1" r:id="rId1"/>
    <sheet name="Input_Output_Info" sheetId="2" r:id="rId2"/>
    <sheet name="Eligibility_Questions" sheetId="3" r:id="rId3"/>
    <sheet name="Non_HH_Meter_Readings" sheetId="4" r:id="rId4"/>
    <sheet name="Fuel_Use" sheetId="5" r:id="rId5"/>
  </sheets>
  <definedNames>
    <definedName name="_xlnm.Print_Area" localSheetId="2">'Eligibility_Questions'!$A$2:$I$87</definedName>
    <definedName name="_xlnm.Print_Area" localSheetId="4">'Fuel_Use'!$B$2:$P$35</definedName>
    <definedName name="_xlnm.Print_Area" localSheetId="0">'Generator_Info'!$A$4:$J$95</definedName>
    <definedName name="_xlnm.Print_Area" localSheetId="1">'Input_Output_Info'!$A$3:$N$105,'Input_Output_Info'!$O$21:$W$34</definedName>
    <definedName name="_xlnm.Print_Area" localSheetId="3">'Non_HH_Meter_Readings'!$A$3:$K$46</definedName>
    <definedName name="_xlnm.Print_Titles" localSheetId="2">'Eligibility_Questions'!$7:$7</definedName>
    <definedName name="_xlnm.Print_Titles" localSheetId="0">'Generator_Info'!$14:$15</definedName>
    <definedName name="_xlnm.Print_Titles" localSheetId="1">'Input_Output_Info'!$23:$24</definedName>
  </definedNames>
  <calcPr fullCalcOnLoad="1"/>
</workbook>
</file>

<file path=xl/comments1.xml><?xml version="1.0" encoding="utf-8"?>
<comments xmlns="http://schemas.openxmlformats.org/spreadsheetml/2006/main">
  <authors>
    <author>Susan Pelmore</author>
  </authors>
  <commentList>
    <comment ref="C15" authorId="0">
      <text>
        <r>
          <rPr>
            <sz val="8"/>
            <rFont val="Tahoma"/>
            <family val="0"/>
          </rPr>
          <t xml:space="preserve">If your station is co-fired and is claiming energy crop ROCs, please enter the co-fired accreditation ID in this column and the energy crops accreditation ID on the Input Output info worksheet.
</t>
        </r>
      </text>
    </comment>
    <comment ref="B15" authorId="0">
      <text>
        <r>
          <rPr>
            <sz val="8"/>
            <rFont val="Tahoma"/>
            <family val="0"/>
          </rPr>
          <t xml:space="preserve">If your generating stations use fossil fuel and/or waste please enter them in the first ten rows so they will appear in the fuel use worksheet.
</t>
        </r>
      </text>
    </comment>
  </commentList>
</comments>
</file>

<file path=xl/comments2.xml><?xml version="1.0" encoding="utf-8"?>
<comments xmlns="http://schemas.openxmlformats.org/spreadsheetml/2006/main">
  <authors>
    <author>Susan Pelmore</author>
  </authors>
  <commentList>
    <comment ref="M24" authorId="0">
      <text>
        <r>
          <rPr>
            <sz val="8"/>
            <rFont val="Tahoma"/>
            <family val="0"/>
          </rPr>
          <t xml:space="preserve">The RO accreditation ID column in the Generator_info worksheet must be completed for the ROC claim to be calculated.
</t>
        </r>
      </text>
    </comment>
    <comment ref="N24" authorId="0">
      <text>
        <r>
          <rPr>
            <sz val="8"/>
            <rFont val="Tahoma"/>
            <family val="0"/>
          </rPr>
          <t>The CCL accreditation ID column in the Generator_info worksheet must be completed for the LEC claim to be calculated.
Due to rounding, the number of LECs issued may differ by one from the number shown to be claimed.</t>
        </r>
      </text>
    </comment>
    <comment ref="N105" authorId="0">
      <text>
        <r>
          <rPr>
            <sz val="8"/>
            <rFont val="Tahoma"/>
            <family val="0"/>
          </rPr>
          <t xml:space="preserve">Due to rounding the number of LECs issued may differ slightly from the total number of LECs shown to be claimed.
</t>
        </r>
      </text>
    </comment>
  </commentList>
</comments>
</file>

<file path=xl/comments5.xml><?xml version="1.0" encoding="utf-8"?>
<comments xmlns="http://schemas.openxmlformats.org/spreadsheetml/2006/main">
  <authors>
    <author>pelmores</author>
  </authors>
  <commentList>
    <comment ref="H34" authorId="0">
      <text>
        <r>
          <rPr>
            <sz val="11"/>
            <rFont val="Verdana"/>
            <family val="2"/>
          </rPr>
          <t>The article 8(3) purposes are:
(a) the ignition of gases of low or variable calorific value;
(b) the heating of the combustion system to its normal operating temperature or maintenance of that temperature;
(c) emission control; or
(d) standby generation or the testing of standby generation capacity</t>
        </r>
        <r>
          <rPr>
            <sz val="8"/>
            <rFont val="Tahoma"/>
            <family val="0"/>
          </rPr>
          <t xml:space="preserve">
</t>
        </r>
      </text>
    </comment>
    <comment ref="I35" authorId="0">
      <text>
        <r>
          <rPr>
            <sz val="11"/>
            <rFont val="Verdana"/>
            <family val="2"/>
          </rPr>
          <t>Regulation 47(10) purposes are:
(a) ignition of gases or low or variable calorific value;
(ib) the heating of the combustion system to its normal operating temperature or maintenance of that temperature;
(c) emission control</t>
        </r>
        <r>
          <rPr>
            <sz val="8"/>
            <rFont val="Tahoma"/>
            <family val="0"/>
          </rPr>
          <t xml:space="preserve">
</t>
        </r>
      </text>
    </comment>
    <comment ref="H70" authorId="0">
      <text>
        <r>
          <rPr>
            <sz val="11"/>
            <rFont val="Verdana"/>
            <family val="2"/>
          </rPr>
          <t>The article 8(3) purposes are:
(a) the ignition of gases of low or variable calorific value;
(b) the heating of the combustion system to its normal operating temperature or maintenance of that temperature;
(c) emission control; or
(d) standby generation or the testing of standby generation capacity</t>
        </r>
        <r>
          <rPr>
            <sz val="8"/>
            <rFont val="Tahoma"/>
            <family val="0"/>
          </rPr>
          <t xml:space="preserve">
</t>
        </r>
      </text>
    </comment>
    <comment ref="I71" authorId="0">
      <text>
        <r>
          <rPr>
            <sz val="11"/>
            <rFont val="Verdana"/>
            <family val="2"/>
          </rPr>
          <t>Regulation 47(10) purposes are:
(a) ignition of gases or low or variable calorific value;
(ib) the heating of the combustion system to its normal operating temperature or maintenance of that temperature;
(c) emission control</t>
        </r>
        <r>
          <rPr>
            <sz val="8"/>
            <rFont val="Tahoma"/>
            <family val="0"/>
          </rPr>
          <t xml:space="preserve">
</t>
        </r>
      </text>
    </comment>
    <comment ref="H106" authorId="0">
      <text>
        <r>
          <rPr>
            <sz val="11"/>
            <rFont val="Verdana"/>
            <family val="2"/>
          </rPr>
          <t>The article 8(3) purposes are:
(a) the ignition of gases of low or variable calorific value;
(b) the heating of the combustion system to its normal operating temperature or maintenance of that temperature;
(c) emission control; or
(d) standby generation or the testing of standby generation capacity</t>
        </r>
        <r>
          <rPr>
            <sz val="8"/>
            <rFont val="Tahoma"/>
            <family val="0"/>
          </rPr>
          <t xml:space="preserve">
</t>
        </r>
      </text>
    </comment>
    <comment ref="I107" authorId="0">
      <text>
        <r>
          <rPr>
            <sz val="11"/>
            <rFont val="Verdana"/>
            <family val="2"/>
          </rPr>
          <t>Regulation 47(10) purposes are:
(a) ignition of gases or low or variable calorific value;
(ib) the heating of the combustion system to its normal operating temperature or maintenance of that temperature;
(c) emission control</t>
        </r>
        <r>
          <rPr>
            <sz val="8"/>
            <rFont val="Tahoma"/>
            <family val="0"/>
          </rPr>
          <t xml:space="preserve">
</t>
        </r>
      </text>
    </comment>
    <comment ref="H141" authorId="0">
      <text>
        <r>
          <rPr>
            <sz val="11"/>
            <rFont val="Verdana"/>
            <family val="2"/>
          </rPr>
          <t>The article 8(3) purposes are:
(a) the ignition of gases of low or variable calorific value;
(b) the heating of the combustion system to its normal operating temperature or maintenance of that temperature;
(c) emission control; or
(d) standby generation or the testing of standby generation capacity</t>
        </r>
        <r>
          <rPr>
            <sz val="8"/>
            <rFont val="Tahoma"/>
            <family val="0"/>
          </rPr>
          <t xml:space="preserve">
</t>
        </r>
      </text>
    </comment>
    <comment ref="I142" authorId="0">
      <text>
        <r>
          <rPr>
            <sz val="11"/>
            <rFont val="Verdana"/>
            <family val="2"/>
          </rPr>
          <t>Regulation 47(10) purposes are:
(a) ignition of gases or low or variable calorific value;
(ib) the heating of the combustion system to its normal operating temperature or maintenance of that temperature;
(c) emission control</t>
        </r>
        <r>
          <rPr>
            <sz val="8"/>
            <rFont val="Tahoma"/>
            <family val="0"/>
          </rPr>
          <t xml:space="preserve">
</t>
        </r>
      </text>
    </comment>
    <comment ref="H176" authorId="0">
      <text>
        <r>
          <rPr>
            <sz val="11"/>
            <rFont val="Verdana"/>
            <family val="2"/>
          </rPr>
          <t>The article 8(3) purposes are:
(a) the ignition of gases of low or variable calorific value;
(b) the heating of the combustion system to its normal operating temperature or maintenance of that temperature;
(c) emission control; or
(d) standby generation or the testing of standby generation capacity</t>
        </r>
        <r>
          <rPr>
            <sz val="8"/>
            <rFont val="Tahoma"/>
            <family val="0"/>
          </rPr>
          <t xml:space="preserve">
</t>
        </r>
      </text>
    </comment>
    <comment ref="I177" authorId="0">
      <text>
        <r>
          <rPr>
            <sz val="11"/>
            <rFont val="Verdana"/>
            <family val="2"/>
          </rPr>
          <t>Regulation 47(10) purposes are:
(a) ignition of gases or low or variable calorific value;
(ib) the heating of the combustion system to its normal operating temperature or maintenance of that temperature;
(c) emission control</t>
        </r>
        <r>
          <rPr>
            <sz val="8"/>
            <rFont val="Tahoma"/>
            <family val="0"/>
          </rPr>
          <t xml:space="preserve">
</t>
        </r>
      </text>
    </comment>
    <comment ref="H211" authorId="0">
      <text>
        <r>
          <rPr>
            <sz val="11"/>
            <rFont val="Verdana"/>
            <family val="2"/>
          </rPr>
          <t>The article 8(3) purposes are:
(a) the ignition of gases of low or variable calorific value;
(b) the heating of the combustion system to its normal operating temperature or maintenance of that temperature;
(c) emission control; or
(d) standby generation or the testing of standby generation capacity</t>
        </r>
        <r>
          <rPr>
            <sz val="8"/>
            <rFont val="Tahoma"/>
            <family val="0"/>
          </rPr>
          <t xml:space="preserve">
</t>
        </r>
      </text>
    </comment>
    <comment ref="I212" authorId="0">
      <text>
        <r>
          <rPr>
            <sz val="11"/>
            <rFont val="Verdana"/>
            <family val="2"/>
          </rPr>
          <t>Regulation 47(10) purposes are:
(a) ignition of gases or low or variable calorific value;
(ib) the heating of the combustion system to its normal operating temperature or maintenance of that temperature;
(c) emission control</t>
        </r>
        <r>
          <rPr>
            <sz val="8"/>
            <rFont val="Tahoma"/>
            <family val="0"/>
          </rPr>
          <t xml:space="preserve">
</t>
        </r>
      </text>
    </comment>
    <comment ref="H246" authorId="0">
      <text>
        <r>
          <rPr>
            <sz val="11"/>
            <rFont val="Verdana"/>
            <family val="2"/>
          </rPr>
          <t>The article 8(3) purposes are:
(a) the ignition of gases of low or variable calorific value;
(b) the heating of the combustion system to its normal operating temperature or maintenance of that temperature;
(c) emission control; or
(d) standby generation or the testing of standby generation capacity</t>
        </r>
        <r>
          <rPr>
            <sz val="8"/>
            <rFont val="Tahoma"/>
            <family val="0"/>
          </rPr>
          <t xml:space="preserve">
</t>
        </r>
      </text>
    </comment>
    <comment ref="I247" authorId="0">
      <text>
        <r>
          <rPr>
            <sz val="11"/>
            <rFont val="Verdana"/>
            <family val="2"/>
          </rPr>
          <t>Regulation 47(10) purposes are:
(a) ignition of gases or low or variable calorific value;
(ib) the heating of the combustion system to its normal operating temperature or maintenance of that temperature;
(c) emission control</t>
        </r>
        <r>
          <rPr>
            <sz val="8"/>
            <rFont val="Tahoma"/>
            <family val="0"/>
          </rPr>
          <t xml:space="preserve">
</t>
        </r>
      </text>
    </comment>
    <comment ref="H281" authorId="0">
      <text>
        <r>
          <rPr>
            <sz val="11"/>
            <rFont val="Verdana"/>
            <family val="2"/>
          </rPr>
          <t>The article 8(3) purposes are:
(a) the ignition of gases of low or variable calorific value;
(b) the heating of the combustion system to its normal operating temperature or maintenance of that temperature;
(c) emission control; or
(d) standby generation or the testing of standby generation capacity</t>
        </r>
        <r>
          <rPr>
            <sz val="8"/>
            <rFont val="Tahoma"/>
            <family val="0"/>
          </rPr>
          <t xml:space="preserve">
</t>
        </r>
      </text>
    </comment>
    <comment ref="I282" authorId="0">
      <text>
        <r>
          <rPr>
            <sz val="11"/>
            <rFont val="Verdana"/>
            <family val="2"/>
          </rPr>
          <t>Regulation 47(10) purposes are:
(a) ignition of gases or low or variable calorific value;
(ib) the heating of the combustion system to its normal operating temperature or maintenance of that temperature;
(c) emission control</t>
        </r>
        <r>
          <rPr>
            <sz val="8"/>
            <rFont val="Tahoma"/>
            <family val="0"/>
          </rPr>
          <t xml:space="preserve">
</t>
        </r>
      </text>
    </comment>
    <comment ref="H316" authorId="0">
      <text>
        <r>
          <rPr>
            <sz val="11"/>
            <rFont val="Verdana"/>
            <family val="2"/>
          </rPr>
          <t>The article 8(3) purposes are:
(a) the ignition of gases of low or variable calorific value;
(b) the heating of the combustion system to its normal operating temperature or maintenance of that temperature;
(c) emission control; or
(d) standby generation or the testing of standby generation capacity</t>
        </r>
        <r>
          <rPr>
            <sz val="8"/>
            <rFont val="Tahoma"/>
            <family val="0"/>
          </rPr>
          <t xml:space="preserve">
</t>
        </r>
      </text>
    </comment>
    <comment ref="I317" authorId="0">
      <text>
        <r>
          <rPr>
            <sz val="11"/>
            <rFont val="Verdana"/>
            <family val="2"/>
          </rPr>
          <t>Regulation 47(10) purposes are:
(a) ignition of gases or low or variable calorific value;
(ib) the heating of the combustion system to its normal operating temperature or maintenance of that temperature;
(c) emission control</t>
        </r>
        <r>
          <rPr>
            <sz val="8"/>
            <rFont val="Tahoma"/>
            <family val="0"/>
          </rPr>
          <t xml:space="preserve">
</t>
        </r>
      </text>
    </comment>
    <comment ref="H351" authorId="0">
      <text>
        <r>
          <rPr>
            <sz val="11"/>
            <rFont val="Verdana"/>
            <family val="2"/>
          </rPr>
          <t>The article 8(3) purposes are:
(a) the ignition of gases of low or variable calorific value;
(b) the heating of the combustion system to its normal operating temperature or maintenance of that temperature;
(c) emission control; or
(d) standby generation or the testing of standby generation capacity</t>
        </r>
        <r>
          <rPr>
            <sz val="8"/>
            <rFont val="Tahoma"/>
            <family val="0"/>
          </rPr>
          <t xml:space="preserve">
</t>
        </r>
      </text>
    </comment>
    <comment ref="I352" authorId="0">
      <text>
        <r>
          <rPr>
            <sz val="11"/>
            <rFont val="Verdana"/>
            <family val="2"/>
          </rPr>
          <t>Regulation 47(10) purposes are:
(a) ignition of gases or low or variable calorific value;
(ib) the heating of the combustion system to its normal operating temperature or maintenance of that temperature;
(c) emission control</t>
        </r>
        <r>
          <rPr>
            <sz val="8"/>
            <rFont val="Tahoma"/>
            <family val="0"/>
          </rPr>
          <t xml:space="preserve">
</t>
        </r>
      </text>
    </comment>
  </commentList>
</comments>
</file>

<file path=xl/sharedStrings.xml><?xml version="1.0" encoding="utf-8"?>
<sst xmlns="http://schemas.openxmlformats.org/spreadsheetml/2006/main" count="1800" uniqueCount="213">
  <si>
    <t>Generating Station Name</t>
  </si>
  <si>
    <t>Import (kWh)</t>
  </si>
  <si>
    <t>Standby generation (kWh)</t>
  </si>
  <si>
    <t>Biomass qualifying percentage</t>
  </si>
  <si>
    <t>RO Accreditation ID</t>
  </si>
  <si>
    <t>CCL accreditation ID</t>
  </si>
  <si>
    <t>Does import need to be deducted from the LEC issue?</t>
  </si>
  <si>
    <t>Total</t>
  </si>
  <si>
    <t>Please answer</t>
  </si>
  <si>
    <t>Are any of the figures provided estimates?</t>
  </si>
  <si>
    <t>Generating Station name</t>
  </si>
  <si>
    <t>How much do you multiply the meter reading by to get kWh (this could be 1 if kWh meter)</t>
  </si>
  <si>
    <t>Amount measured by meter (kWh)</t>
  </si>
  <si>
    <t>Source of figures, eg generator reading, data collector or estimate</t>
  </si>
  <si>
    <t>Non-Half Hourly meter readings</t>
  </si>
  <si>
    <t>Generating station name</t>
  </si>
  <si>
    <t>Renewable fuel</t>
  </si>
  <si>
    <t>Unit of measurement eg tonnes, kg</t>
  </si>
  <si>
    <t>Unit of measurement eg MJ/kg, GJ/tonne</t>
  </si>
  <si>
    <t>Does Ofgem have copies of representative samples taken at generating station?</t>
  </si>
  <si>
    <t>Does Ofgem have a copy of the purchase contract for the fuel?</t>
  </si>
  <si>
    <t>What date does the purchase contract expire?</t>
  </si>
  <si>
    <t>Was there any visible contamination of the fuel?</t>
  </si>
  <si>
    <t>What was the contamination percentage of the biomass used for generation?</t>
  </si>
  <si>
    <t>Relevant comments:</t>
  </si>
  <si>
    <t>Quantity</t>
  </si>
  <si>
    <t>Gross calorific value</t>
  </si>
  <si>
    <t>Generator information</t>
  </si>
  <si>
    <t xml:space="preserve">*The instructions are available on our website www.ofgem.gov.uk  Please read them carefully before entering in your data. </t>
  </si>
  <si>
    <t>The spreadsheet and email should be titled '[your company name]data_[month and year of generation eg May 04]'.</t>
  </si>
  <si>
    <t>Output/Input data</t>
  </si>
  <si>
    <t>Please answer all relevant questions for every generating station you have submitted output and input data for.</t>
  </si>
  <si>
    <t>Eligibility questions</t>
  </si>
  <si>
    <t>Fuel use</t>
  </si>
  <si>
    <t>Heat contribution</t>
  </si>
  <si>
    <t>Percentage contribution to total generation</t>
  </si>
  <si>
    <t>Is input electricity generated by the generating station already deducted from output?</t>
  </si>
  <si>
    <t>January</t>
  </si>
  <si>
    <t>February</t>
  </si>
  <si>
    <t>March</t>
  </si>
  <si>
    <t>April</t>
  </si>
  <si>
    <t>May</t>
  </si>
  <si>
    <t xml:space="preserve">June </t>
  </si>
  <si>
    <t>July</t>
  </si>
  <si>
    <t>August</t>
  </si>
  <si>
    <t>September</t>
  </si>
  <si>
    <t>October</t>
  </si>
  <si>
    <t>November</t>
  </si>
  <si>
    <t>December</t>
  </si>
  <si>
    <t>April-March</t>
  </si>
  <si>
    <t>Output MPAN/Serial Number (s)</t>
  </si>
  <si>
    <t>Import MPAN/Serial Number (s)</t>
  </si>
  <si>
    <t>Standby generation MPAN/Serial number (s)</t>
  </si>
  <si>
    <t>Generated MPAN/Serial number (s)</t>
  </si>
  <si>
    <t>No - figure entered in Input_Output worksheet</t>
  </si>
  <si>
    <t>None used - zero entered in Input_Output worksheet</t>
  </si>
  <si>
    <t>Yes - figure entered in Input_Output worksheet</t>
  </si>
  <si>
    <t xml:space="preserve">Instructions are available on our website www.ofgem.gov.uk.  Please read them carefully before entering in your data. </t>
  </si>
  <si>
    <t>Please fill in all relevant blue cells.</t>
  </si>
  <si>
    <t>ROCs Claimed (MWh)</t>
  </si>
  <si>
    <t>LECs Claimed (MWh)</t>
  </si>
  <si>
    <t>Is a current contract with a licensed supplier in place to sell electricity through an exempt distribution network?</t>
  </si>
  <si>
    <t>Total input to be deducted from ROC issue (kWh)</t>
  </si>
  <si>
    <t>Total input to be deducted from LEC issue (kWh)</t>
  </si>
  <si>
    <t>If yes, has Ofgem agreed that you can use estimated figures?</t>
  </si>
  <si>
    <t>If yes, what date was agreed?</t>
  </si>
  <si>
    <t>If yes, what is the expiry date?</t>
  </si>
  <si>
    <t>If yes, has Ofgem put a time limit on your estimate(s)?</t>
  </si>
  <si>
    <t>MPAN/Serial number</t>
  </si>
  <si>
    <t>Start meter reading</t>
  </si>
  <si>
    <t>End meter reading</t>
  </si>
  <si>
    <t>Renewable fuels resulting in electricity generation</t>
  </si>
  <si>
    <t>Fossil fuel resulting in electricity generation</t>
  </si>
  <si>
    <t>Total heat contribution of fuels used for the generation of electricity</t>
  </si>
  <si>
    <t>If claiming LECs, is all fossil fuel used for Regulation 47(10) purposes?</t>
  </si>
  <si>
    <t>Period of generation</t>
  </si>
  <si>
    <t>Once completed please email this spreadsheet to monthlyoutputdata@ofgem.gov.uk before the end of the 2nd month following the month/year of generation.</t>
  </si>
  <si>
    <t xml:space="preserve"> </t>
  </si>
  <si>
    <t>Does this fuel meet the energy crops definition?</t>
  </si>
  <si>
    <t>Energy crops?</t>
  </si>
  <si>
    <t>Does it fail the LEC biomass definition?</t>
  </si>
  <si>
    <t>April - March</t>
  </si>
  <si>
    <t>June</t>
  </si>
  <si>
    <t>Energy crop qualifying percentage</t>
  </si>
  <si>
    <t>Yes</t>
  </si>
  <si>
    <t>No</t>
  </si>
  <si>
    <t>Not claiming ROCs</t>
  </si>
  <si>
    <t>Fossil fuel/waste</t>
  </si>
  <si>
    <t>Not claiming LECs</t>
  </si>
  <si>
    <t>If claiming ROCs, is all fossil fuel used for Article 8(3) purposes?</t>
  </si>
  <si>
    <t>The spreadsheet and email should be titled '[your company name]data_[month and year of generation eg May 07]'.</t>
  </si>
  <si>
    <t>Eligible output</t>
  </si>
  <si>
    <t>Input electricity</t>
  </si>
  <si>
    <t>Errors</t>
  </si>
  <si>
    <t>Worksheet</t>
  </si>
  <si>
    <t>Cell(s)</t>
  </si>
  <si>
    <t>Error</t>
  </si>
  <si>
    <t>Type of output</t>
  </si>
  <si>
    <t>Output (kWh)</t>
  </si>
  <si>
    <t>Generated by the generating station (kWh)</t>
  </si>
  <si>
    <t>LEC biomass qualifying percentage</t>
  </si>
  <si>
    <t>ROC biomass qualifying percentage</t>
  </si>
  <si>
    <t>Gross output</t>
  </si>
  <si>
    <t>Export</t>
  </si>
  <si>
    <t>Export and own use</t>
  </si>
  <si>
    <t>Export and export through an exempt distribution network</t>
  </si>
  <si>
    <t>Other explained in comments box in the Eligibility_Questions worksheet</t>
  </si>
  <si>
    <t>Non-energy crop qualifying percentage</t>
  </si>
  <si>
    <t>Total biomass qualifying percentage</t>
  </si>
  <si>
    <t>Energy crop ROCs claimed</t>
  </si>
  <si>
    <t>Non-energy crop ROCs claimed</t>
  </si>
  <si>
    <t>Total ROCs claimed</t>
  </si>
  <si>
    <t>RO accredID (last 3)</t>
  </si>
  <si>
    <t>RO Technology</t>
  </si>
  <si>
    <t>Technology table</t>
  </si>
  <si>
    <t>a</t>
  </si>
  <si>
    <t>b</t>
  </si>
  <si>
    <t>c</t>
  </si>
  <si>
    <t>d</t>
  </si>
  <si>
    <t>e</t>
  </si>
  <si>
    <t>f</t>
  </si>
  <si>
    <t>g</t>
  </si>
  <si>
    <t>h</t>
  </si>
  <si>
    <t>i</t>
  </si>
  <si>
    <t>j</t>
  </si>
  <si>
    <t>k</t>
  </si>
  <si>
    <t>l</t>
  </si>
  <si>
    <t>m</t>
  </si>
  <si>
    <t>n</t>
  </si>
  <si>
    <t>o</t>
  </si>
  <si>
    <t>p</t>
  </si>
  <si>
    <t>q</t>
  </si>
  <si>
    <t>r</t>
  </si>
  <si>
    <t>s</t>
  </si>
  <si>
    <t>t</t>
  </si>
  <si>
    <t>u</t>
  </si>
  <si>
    <t>unknown</t>
  </si>
  <si>
    <t>v</t>
  </si>
  <si>
    <t>w</t>
  </si>
  <si>
    <t>x</t>
  </si>
  <si>
    <t>y</t>
  </si>
  <si>
    <t>z</t>
  </si>
  <si>
    <t>Technology code</t>
  </si>
  <si>
    <t>n/a</t>
  </si>
  <si>
    <t>Default qual percentage</t>
  </si>
  <si>
    <t>Qualifying percentage for LECs for each renewable fuel</t>
  </si>
  <si>
    <t>Errors table</t>
  </si>
  <si>
    <t>Error counter</t>
  </si>
  <si>
    <t>Error type</t>
  </si>
  <si>
    <t>Yes/No</t>
  </si>
  <si>
    <t>Cells</t>
  </si>
  <si>
    <t>Message</t>
  </si>
  <si>
    <t>All</t>
  </si>
  <si>
    <t>Any ROC errors that prevent calculation?</t>
  </si>
  <si>
    <t>Any LEC errors that prevent calculation?</t>
  </si>
  <si>
    <t xml:space="preserve">Biomass/Co-fired station entered lower than position 10.  </t>
  </si>
  <si>
    <t>Rounded ROC claim</t>
  </si>
  <si>
    <t>Rounded LEC claim</t>
  </si>
  <si>
    <t>Is it co-fired?</t>
  </si>
  <si>
    <t>Yes - an input, see the Non-HH meter readings sheet.</t>
  </si>
  <si>
    <t>Yes - an output, see the Non-HH meter readings sheet.</t>
  </si>
  <si>
    <t>Yes - other, see comments below and Non-HH meter readings sheet.</t>
  </si>
  <si>
    <r>
      <t>Date of start</t>
    </r>
    <r>
      <rPr>
        <sz val="10"/>
        <rFont val="Verdana"/>
        <family val="2"/>
      </rPr>
      <t xml:space="preserve"> meter reading</t>
    </r>
  </si>
  <si>
    <r>
      <t>Date of end</t>
    </r>
    <r>
      <rPr>
        <sz val="10"/>
        <rFont val="Verdana"/>
        <family val="2"/>
      </rPr>
      <t xml:space="preserve"> meter reading</t>
    </r>
  </si>
  <si>
    <t>What does meter measure, eg gross output, export through an exempt distribution network, import from 'the grid', etc</t>
  </si>
  <si>
    <t>Generator info</t>
  </si>
  <si>
    <t>Generator name</t>
  </si>
  <si>
    <t>Generated input - question answered</t>
  </si>
  <si>
    <t>Input Output Info</t>
  </si>
  <si>
    <t>Import/Standby/Generated</t>
  </si>
  <si>
    <t>Import</t>
  </si>
  <si>
    <t>Generated</t>
  </si>
  <si>
    <t>Standby</t>
  </si>
  <si>
    <t>Generator details</t>
  </si>
  <si>
    <t>Gross output &lt;ROC Input</t>
  </si>
  <si>
    <t>Gross output &lt;LEC Input</t>
  </si>
  <si>
    <t>Output&lt;Input</t>
  </si>
  <si>
    <t>Has the Article 8(3) question been answered?</t>
  </si>
  <si>
    <t>Has the Regulation 47(10) question been answered?</t>
  </si>
  <si>
    <t>Article 8(3)/Regulation 47(10) question</t>
  </si>
  <si>
    <t>Errors preventing calculation</t>
  </si>
  <si>
    <t>Input elec question</t>
  </si>
  <si>
    <t>Cell reference</t>
  </si>
  <si>
    <t>Lookup column</t>
  </si>
  <si>
    <t>Column Ref</t>
  </si>
  <si>
    <t>B</t>
  </si>
  <si>
    <t>J</t>
  </si>
  <si>
    <t>Generated by the generating station</t>
  </si>
  <si>
    <t>Standby generation</t>
  </si>
  <si>
    <t>Output&lt;ROC input</t>
  </si>
  <si>
    <t>Output&lt;LEC input</t>
  </si>
  <si>
    <t>Article 8(3)</t>
  </si>
  <si>
    <t>Regulation 47(10) questions</t>
  </si>
  <si>
    <t>D</t>
  </si>
  <si>
    <t>F</t>
  </si>
  <si>
    <t>G</t>
  </si>
  <si>
    <t>H</t>
  </si>
  <si>
    <t>E</t>
  </si>
  <si>
    <t>Co-fired/Biomass below 10</t>
  </si>
  <si>
    <t>C</t>
  </si>
  <si>
    <t>Energy crop accreditation ID if applicable</t>
  </si>
  <si>
    <t>Comments about the generating station</t>
  </si>
  <si>
    <t>Where an ID is left blank the associated number of ROCs and/or LECs will not be calculated.</t>
  </si>
  <si>
    <t>No accreditation ID entered</t>
  </si>
  <si>
    <t>Accreditation ID's blank</t>
  </si>
  <si>
    <t>generating station name</t>
  </si>
  <si>
    <t xml:space="preserve">To claim ROCs, please complete the RO accreditation ID column, to claim LECs please complete the CCL accreditation ID column, if an ID is unknown please enter tbc.  </t>
  </si>
  <si>
    <t>Co-fired generators only - breakdown of ROC claim</t>
  </si>
  <si>
    <t>Yes - figure unknown cell left blank in Input_Output worksheet</t>
  </si>
  <si>
    <t>Version No. 4.1</t>
  </si>
  <si>
    <t>Version No: 4.1</t>
  </si>
  <si>
    <t xml:space="preserve">Note 1: ROCs and LECs are issued subject to relevant criteria being met.  There is no guarantee ROCs or LECs claimed in this spreadsheet will be issued. </t>
  </si>
  <si>
    <t>Note 2: Due to rounding the number of LECs issued to each generating station may differ by one from the number of LECs shown as claimed below.</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</si>
</sst>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0.000000000000%"/>
    <numFmt numFmtId="174" formatCode="[$-F800]dddd\,\ mmmm\ dd\,\ yyyy"/>
    <numFmt numFmtId="175" formatCode="[$-809]dd\ mmmm\ yyyy"/>
    <numFmt numFmtId="176" formatCode="_-* #,##0_-;\-* #,##0_-;_-* &quot;-&quot;??_-;_-@_-"/>
    <numFmt numFmtId="177" formatCode="[$-409]dddd\,\ mmmm\ dd\,\ yyyy"/>
    <numFmt numFmtId="178" formatCode="[$-409]d\-mmm\-yy;@"/>
    <numFmt numFmtId="179" formatCode="mm/dd/yy;@"/>
  </numFmts>
  <fonts count="16">
    <font>
      <sz val="11"/>
      <name val="CG Omega"/>
      <family val="0"/>
    </font>
    <font>
      <sz val="10"/>
      <name val="Verdana"/>
      <family val="2"/>
    </font>
    <font>
      <b/>
      <sz val="10"/>
      <name val="Verdana"/>
      <family val="2"/>
    </font>
    <font>
      <sz val="8"/>
      <name val="CG Omega"/>
      <family val="0"/>
    </font>
    <font>
      <sz val="10"/>
      <name val="CG Omega"/>
      <family val="0"/>
    </font>
    <font>
      <sz val="11"/>
      <name val="Verdana"/>
      <family val="2"/>
    </font>
    <font>
      <sz val="10"/>
      <color indexed="12"/>
      <name val="Verdana"/>
      <family val="2"/>
    </font>
    <font>
      <sz val="8"/>
      <name val="Tahoma"/>
      <family val="0"/>
    </font>
    <font>
      <sz val="10"/>
      <color indexed="10"/>
      <name val="Verdana"/>
      <family val="2"/>
    </font>
    <font>
      <sz val="16"/>
      <name val="Verdana"/>
      <family val="2"/>
    </font>
    <font>
      <sz val="9"/>
      <color indexed="12"/>
      <name val="Verdana"/>
      <family val="2"/>
    </font>
    <font>
      <sz val="9"/>
      <name val="Verdana"/>
      <family val="2"/>
    </font>
    <font>
      <sz val="9"/>
      <color indexed="10"/>
      <name val="Verdana"/>
      <family val="2"/>
    </font>
    <font>
      <b/>
      <sz val="10"/>
      <color indexed="48"/>
      <name val="Verdana"/>
      <family val="2"/>
    </font>
    <font>
      <sz val="9"/>
      <name val="CG Omega"/>
      <family val="0"/>
    </font>
    <font>
      <b/>
      <sz val="8"/>
      <name val="CG Omega"/>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24">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174" fontId="1" fillId="2" borderId="1" xfId="0" applyNumberFormat="1" applyFont="1" applyFill="1" applyBorder="1" applyAlignment="1" applyProtection="1">
      <alignment/>
      <protection locked="0"/>
    </xf>
    <xf numFmtId="173" fontId="1" fillId="2" borderId="1" xfId="0" applyNumberFormat="1" applyFont="1" applyFill="1" applyBorder="1" applyAlignment="1" applyProtection="1">
      <alignment/>
      <protection locked="0"/>
    </xf>
    <xf numFmtId="0" fontId="1" fillId="2" borderId="1" xfId="0" applyFont="1" applyFill="1" applyBorder="1" applyAlignment="1" applyProtection="1">
      <alignment wrapText="1"/>
      <protection locked="0"/>
    </xf>
    <xf numFmtId="0" fontId="1" fillId="3" borderId="1" xfId="0" applyFont="1" applyFill="1" applyBorder="1" applyAlignment="1" applyProtection="1">
      <alignment wrapText="1"/>
      <protection/>
    </xf>
    <xf numFmtId="173" fontId="1" fillId="3" borderId="1" xfId="0" applyNumberFormat="1" applyFont="1" applyFill="1" applyBorder="1" applyAlignment="1" applyProtection="1">
      <alignment/>
      <protection/>
    </xf>
    <xf numFmtId="0" fontId="1" fillId="2" borderId="2" xfId="0" applyFont="1" applyFill="1" applyBorder="1" applyAlignment="1" applyProtection="1">
      <alignment wrapText="1"/>
      <protection locked="0"/>
    </xf>
    <xf numFmtId="0" fontId="1" fillId="2" borderId="2" xfId="0" applyFont="1" applyFill="1" applyBorder="1" applyAlignment="1" applyProtection="1">
      <alignment/>
      <protection locked="0"/>
    </xf>
    <xf numFmtId="0" fontId="1" fillId="0" borderId="3" xfId="0" applyFont="1" applyFill="1" applyBorder="1" applyAlignment="1" applyProtection="1">
      <alignment/>
      <protection/>
    </xf>
    <xf numFmtId="10" fontId="1" fillId="0" borderId="1" xfId="0" applyNumberFormat="1" applyFont="1" applyFill="1" applyBorder="1" applyAlignment="1" applyProtection="1">
      <alignment/>
      <protection/>
    </xf>
    <xf numFmtId="0" fontId="1" fillId="2" borderId="1" xfId="0" applyFont="1" applyFill="1" applyBorder="1" applyAlignment="1" applyProtection="1">
      <alignment/>
      <protection locked="0"/>
    </xf>
    <xf numFmtId="17" fontId="1" fillId="2" borderId="4" xfId="0" applyNumberFormat="1" applyFont="1" applyFill="1" applyBorder="1" applyAlignment="1" applyProtection="1">
      <alignment horizontal="right"/>
      <protection locked="0"/>
    </xf>
    <xf numFmtId="0" fontId="1" fillId="2" borderId="3" xfId="0" applyFont="1" applyFill="1" applyBorder="1" applyAlignment="1" applyProtection="1">
      <alignment/>
      <protection locked="0"/>
    </xf>
    <xf numFmtId="0" fontId="1" fillId="3" borderId="5" xfId="0" applyFont="1" applyFill="1" applyBorder="1" applyAlignment="1" applyProtection="1">
      <alignment/>
      <protection/>
    </xf>
    <xf numFmtId="0" fontId="1" fillId="3" borderId="6" xfId="0" applyFont="1" applyFill="1" applyBorder="1" applyAlignment="1" applyProtection="1">
      <alignment/>
      <protection/>
    </xf>
    <xf numFmtId="0" fontId="1" fillId="3" borderId="7" xfId="0" applyFont="1" applyFill="1" applyBorder="1" applyAlignment="1" applyProtection="1">
      <alignment/>
      <protection/>
    </xf>
    <xf numFmtId="0" fontId="1" fillId="3" borderId="8" xfId="0" applyFont="1" applyFill="1" applyBorder="1" applyAlignment="1" applyProtection="1">
      <alignment/>
      <protection/>
    </xf>
    <xf numFmtId="0" fontId="2" fillId="3" borderId="0" xfId="0" applyFont="1" applyFill="1" applyBorder="1" applyAlignment="1" applyProtection="1">
      <alignment/>
      <protection/>
    </xf>
    <xf numFmtId="0" fontId="1" fillId="3" borderId="0" xfId="0" applyFont="1" applyFill="1" applyBorder="1" applyAlignment="1" applyProtection="1">
      <alignment/>
      <protection/>
    </xf>
    <xf numFmtId="0" fontId="1" fillId="3" borderId="9" xfId="0" applyFont="1" applyFill="1" applyBorder="1" applyAlignment="1" applyProtection="1">
      <alignment/>
      <protection/>
    </xf>
    <xf numFmtId="0" fontId="1" fillId="3" borderId="8" xfId="0" applyFont="1" applyFill="1" applyBorder="1" applyAlignment="1" applyProtection="1">
      <alignment wrapText="1"/>
      <protection/>
    </xf>
    <xf numFmtId="0" fontId="1" fillId="3" borderId="9" xfId="0" applyFont="1" applyFill="1" applyBorder="1" applyAlignment="1" applyProtection="1">
      <alignment wrapText="1"/>
      <protection/>
    </xf>
    <xf numFmtId="0" fontId="1" fillId="3" borderId="0" xfId="0" applyFont="1" applyFill="1" applyAlignment="1" applyProtection="1">
      <alignment/>
      <protection/>
    </xf>
    <xf numFmtId="0" fontId="1" fillId="3" borderId="0" xfId="0" applyFont="1" applyFill="1" applyAlignment="1" applyProtection="1">
      <alignment wrapText="1"/>
      <protection/>
    </xf>
    <xf numFmtId="0" fontId="1" fillId="3" borderId="1" xfId="0" applyFont="1" applyFill="1" applyBorder="1" applyAlignment="1" applyProtection="1">
      <alignment/>
      <protection/>
    </xf>
    <xf numFmtId="0" fontId="1" fillId="3" borderId="2" xfId="0" applyFont="1" applyFill="1" applyBorder="1" applyAlignment="1" applyProtection="1">
      <alignment/>
      <protection/>
    </xf>
    <xf numFmtId="0" fontId="1" fillId="3" borderId="2" xfId="0" applyFont="1" applyFill="1" applyBorder="1" applyAlignment="1" applyProtection="1">
      <alignment wrapText="1"/>
      <protection/>
    </xf>
    <xf numFmtId="0" fontId="1" fillId="3" borderId="10" xfId="0" applyFont="1" applyFill="1" applyBorder="1" applyAlignment="1" applyProtection="1">
      <alignment/>
      <protection/>
    </xf>
    <xf numFmtId="0" fontId="1" fillId="3" borderId="11" xfId="0" applyFont="1" applyFill="1" applyBorder="1" applyAlignment="1" applyProtection="1">
      <alignment/>
      <protection/>
    </xf>
    <xf numFmtId="0" fontId="2" fillId="3" borderId="12" xfId="0" applyFont="1" applyFill="1" applyBorder="1" applyAlignment="1" applyProtection="1">
      <alignment horizontal="right"/>
      <protection/>
    </xf>
    <xf numFmtId="0" fontId="1" fillId="3" borderId="13" xfId="0" applyFont="1" applyFill="1" applyBorder="1" applyAlignment="1" applyProtection="1">
      <alignment/>
      <protection/>
    </xf>
    <xf numFmtId="0" fontId="1" fillId="3" borderId="14" xfId="0" applyFont="1" applyFill="1" applyBorder="1" applyAlignment="1" applyProtection="1">
      <alignment/>
      <protection/>
    </xf>
    <xf numFmtId="0" fontId="2" fillId="3" borderId="15" xfId="0" applyFont="1" applyFill="1" applyBorder="1" applyAlignment="1" applyProtection="1">
      <alignment horizontal="right"/>
      <protection/>
    </xf>
    <xf numFmtId="0" fontId="2" fillId="3" borderId="0" xfId="0" applyFont="1" applyFill="1" applyBorder="1" applyAlignment="1" applyProtection="1">
      <alignment horizontal="right"/>
      <protection/>
    </xf>
    <xf numFmtId="0" fontId="1" fillId="3" borderId="4" xfId="0" applyFont="1" applyFill="1" applyBorder="1" applyAlignment="1" applyProtection="1">
      <alignment/>
      <protection/>
    </xf>
    <xf numFmtId="0" fontId="1" fillId="3" borderId="16" xfId="0" applyFont="1" applyFill="1" applyBorder="1" applyAlignment="1" applyProtection="1">
      <alignment wrapText="1"/>
      <protection/>
    </xf>
    <xf numFmtId="0" fontId="1" fillId="3" borderId="16" xfId="0" applyFont="1" applyFill="1" applyBorder="1" applyAlignment="1" applyProtection="1">
      <alignment/>
      <protection/>
    </xf>
    <xf numFmtId="0" fontId="1" fillId="3" borderId="3" xfId="0" applyFont="1" applyFill="1" applyBorder="1" applyAlignment="1" applyProtection="1">
      <alignment horizontal="right"/>
      <protection/>
    </xf>
    <xf numFmtId="0" fontId="1" fillId="3" borderId="17" xfId="0" applyFont="1" applyFill="1" applyBorder="1" applyAlignment="1" applyProtection="1">
      <alignment/>
      <protection/>
    </xf>
    <xf numFmtId="0" fontId="1" fillId="3" borderId="18" xfId="0" applyFont="1" applyFill="1" applyBorder="1" applyAlignment="1" applyProtection="1">
      <alignment/>
      <protection/>
    </xf>
    <xf numFmtId="0" fontId="1" fillId="3" borderId="19" xfId="0" applyFont="1" applyFill="1" applyBorder="1" applyAlignment="1" applyProtection="1">
      <alignment/>
      <protection/>
    </xf>
    <xf numFmtId="0" fontId="6" fillId="3" borderId="0" xfId="0" applyFont="1" applyFill="1" applyBorder="1" applyAlignment="1" applyProtection="1">
      <alignment/>
      <protection/>
    </xf>
    <xf numFmtId="0" fontId="10" fillId="3" borderId="0" xfId="0" applyFont="1" applyFill="1" applyBorder="1" applyAlignment="1" applyProtection="1">
      <alignment/>
      <protection/>
    </xf>
    <xf numFmtId="0" fontId="1" fillId="3" borderId="0" xfId="0" applyFont="1" applyFill="1" applyAlignment="1" applyProtection="1">
      <alignment/>
      <protection/>
    </xf>
    <xf numFmtId="3" fontId="1" fillId="2" borderId="1" xfId="0" applyNumberFormat="1" applyFont="1" applyFill="1" applyBorder="1" applyAlignment="1" applyProtection="1">
      <alignment/>
      <protection locked="0"/>
    </xf>
    <xf numFmtId="0" fontId="5" fillId="3" borderId="0" xfId="0" applyFont="1" applyFill="1" applyAlignment="1" applyProtection="1">
      <alignment/>
      <protection/>
    </xf>
    <xf numFmtId="0" fontId="2" fillId="3" borderId="1" xfId="0" applyFont="1" applyFill="1" applyBorder="1" applyAlignment="1" applyProtection="1">
      <alignment wrapText="1"/>
      <protection/>
    </xf>
    <xf numFmtId="0" fontId="2" fillId="3" borderId="1" xfId="0" applyFont="1" applyFill="1" applyBorder="1" applyAlignment="1" applyProtection="1">
      <alignment/>
      <protection/>
    </xf>
    <xf numFmtId="0" fontId="2" fillId="3" borderId="4" xfId="0" applyFont="1" applyFill="1" applyBorder="1" applyAlignment="1" applyProtection="1">
      <alignment/>
      <protection/>
    </xf>
    <xf numFmtId="176" fontId="2" fillId="3" borderId="1" xfId="15" applyNumberFormat="1" applyFont="1" applyFill="1" applyBorder="1" applyAlignment="1" applyProtection="1">
      <alignment/>
      <protection/>
    </xf>
    <xf numFmtId="176" fontId="1" fillId="3" borderId="1" xfId="15" applyNumberFormat="1" applyFont="1" applyFill="1" applyBorder="1" applyAlignment="1" applyProtection="1">
      <alignment/>
      <protection/>
    </xf>
    <xf numFmtId="172" fontId="1" fillId="2" borderId="1" xfId="0" applyNumberFormat="1" applyFont="1" applyFill="1" applyBorder="1" applyAlignment="1" applyProtection="1">
      <alignment horizontal="center" wrapText="1"/>
      <protection locked="0"/>
    </xf>
    <xf numFmtId="0" fontId="1" fillId="2" borderId="1" xfId="0" applyFont="1" applyFill="1" applyBorder="1" applyAlignment="1" applyProtection="1">
      <alignment/>
      <protection locked="0"/>
    </xf>
    <xf numFmtId="172" fontId="1" fillId="2" borderId="1" xfId="0" applyNumberFormat="1" applyFont="1" applyFill="1" applyBorder="1" applyAlignment="1" applyProtection="1">
      <alignment wrapText="1"/>
      <protection locked="0"/>
    </xf>
    <xf numFmtId="173" fontId="11" fillId="3" borderId="1" xfId="0" applyNumberFormat="1" applyFont="1" applyFill="1" applyBorder="1" applyAlignment="1" applyProtection="1">
      <alignment/>
      <protection/>
    </xf>
    <xf numFmtId="173" fontId="11" fillId="2" borderId="1" xfId="0" applyNumberFormat="1" applyFont="1" applyFill="1" applyBorder="1" applyAlignment="1" applyProtection="1">
      <alignment/>
      <protection locked="0"/>
    </xf>
    <xf numFmtId="0" fontId="13" fillId="3" borderId="1" xfId="0" applyFont="1" applyFill="1" applyBorder="1" applyAlignment="1" applyProtection="1">
      <alignment wrapText="1"/>
      <protection/>
    </xf>
    <xf numFmtId="172" fontId="1" fillId="2" borderId="1" xfId="0" applyNumberFormat="1" applyFont="1" applyFill="1" applyBorder="1" applyAlignment="1" applyProtection="1">
      <alignment horizontal="center"/>
      <protection locked="0"/>
    </xf>
    <xf numFmtId="0" fontId="1" fillId="2" borderId="4" xfId="0" applyFont="1" applyFill="1" applyBorder="1" applyAlignment="1" applyProtection="1">
      <alignment horizontal="right"/>
      <protection locked="0"/>
    </xf>
    <xf numFmtId="0" fontId="1" fillId="2" borderId="3" xfId="0" applyFont="1" applyFill="1" applyBorder="1" applyAlignment="1" applyProtection="1">
      <alignment/>
      <protection locked="0"/>
    </xf>
    <xf numFmtId="0" fontId="8" fillId="3" borderId="0" xfId="0" applyFont="1" applyFill="1" applyAlignment="1" applyProtection="1">
      <alignment/>
      <protection/>
    </xf>
    <xf numFmtId="0" fontId="9" fillId="3" borderId="0" xfId="0" applyFont="1" applyFill="1" applyAlignment="1" applyProtection="1">
      <alignment/>
      <protection/>
    </xf>
    <xf numFmtId="0" fontId="1" fillId="3" borderId="1" xfId="0" applyFont="1" applyFill="1" applyBorder="1" applyAlignment="1" applyProtection="1">
      <alignment horizontal="right"/>
      <protection/>
    </xf>
    <xf numFmtId="0" fontId="2" fillId="3" borderId="0" xfId="0" applyFont="1" applyFill="1" applyAlignment="1" applyProtection="1">
      <alignment/>
      <protection/>
    </xf>
    <xf numFmtId="0" fontId="10" fillId="3" borderId="0" xfId="0" applyFont="1" applyFill="1" applyAlignment="1" applyProtection="1">
      <alignment/>
      <protection/>
    </xf>
    <xf numFmtId="0" fontId="1" fillId="3" borderId="1" xfId="0" applyFont="1" applyFill="1" applyBorder="1" applyAlignment="1" applyProtection="1">
      <alignment horizontal="center"/>
      <protection/>
    </xf>
    <xf numFmtId="0" fontId="1" fillId="3" borderId="1" xfId="0" applyNumberFormat="1" applyFont="1" applyFill="1" applyBorder="1" applyAlignment="1" applyProtection="1">
      <alignment wrapText="1"/>
      <protection/>
    </xf>
    <xf numFmtId="0" fontId="1" fillId="3" borderId="0" xfId="0" applyFont="1" applyFill="1" applyBorder="1" applyAlignment="1" applyProtection="1">
      <alignment horizontal="right"/>
      <protection/>
    </xf>
    <xf numFmtId="0" fontId="11" fillId="3" borderId="0" xfId="0" applyFont="1" applyFill="1" applyAlignment="1" applyProtection="1">
      <alignment/>
      <protection/>
    </xf>
    <xf numFmtId="0" fontId="11" fillId="3" borderId="2" xfId="0" applyFont="1" applyFill="1" applyBorder="1" applyAlignment="1" applyProtection="1">
      <alignment/>
      <protection/>
    </xf>
    <xf numFmtId="0" fontId="11" fillId="3" borderId="10" xfId="0" applyFont="1" applyFill="1" applyBorder="1" applyAlignment="1" applyProtection="1">
      <alignment/>
      <protection/>
    </xf>
    <xf numFmtId="0" fontId="14" fillId="0" borderId="11" xfId="0" applyFont="1" applyBorder="1" applyAlignment="1" applyProtection="1">
      <alignment/>
      <protection/>
    </xf>
    <xf numFmtId="0" fontId="1" fillId="3" borderId="11" xfId="0" applyFont="1" applyFill="1" applyBorder="1" applyAlignment="1" applyProtection="1">
      <alignment vertical="center"/>
      <protection/>
    </xf>
    <xf numFmtId="0" fontId="1" fillId="3" borderId="12" xfId="0" applyFont="1" applyFill="1" applyBorder="1" applyAlignment="1" applyProtection="1">
      <alignment vertical="center"/>
      <protection/>
    </xf>
    <xf numFmtId="0" fontId="12" fillId="3" borderId="20" xfId="0" applyFont="1" applyFill="1" applyBorder="1" applyAlignment="1" applyProtection="1">
      <alignment vertical="center"/>
      <protection/>
    </xf>
    <xf numFmtId="0" fontId="12" fillId="3" borderId="21" xfId="0" applyFont="1" applyFill="1" applyBorder="1" applyAlignment="1" applyProtection="1">
      <alignment vertical="center"/>
      <protection/>
    </xf>
    <xf numFmtId="0" fontId="12" fillId="3" borderId="0" xfId="0" applyFont="1" applyFill="1" applyBorder="1" applyAlignment="1" applyProtection="1">
      <alignment vertical="center"/>
      <protection/>
    </xf>
    <xf numFmtId="0" fontId="12" fillId="3" borderId="22" xfId="0" applyFont="1" applyFill="1" applyBorder="1" applyAlignment="1" applyProtection="1">
      <alignment vertical="center"/>
      <protection/>
    </xf>
    <xf numFmtId="0" fontId="1" fillId="3" borderId="0" xfId="0" applyFont="1" applyFill="1" applyAlignment="1" applyProtection="1">
      <alignment vertical="center"/>
      <protection/>
    </xf>
    <xf numFmtId="0" fontId="12" fillId="3" borderId="23" xfId="0" applyFont="1" applyFill="1" applyBorder="1" applyAlignment="1" applyProtection="1">
      <alignment vertical="center"/>
      <protection/>
    </xf>
    <xf numFmtId="0" fontId="12" fillId="3" borderId="13" xfId="0" applyFont="1" applyFill="1" applyBorder="1" applyAlignment="1" applyProtection="1">
      <alignment vertical="center"/>
      <protection/>
    </xf>
    <xf numFmtId="0" fontId="12" fillId="3" borderId="14" xfId="0" applyFont="1" applyFill="1" applyBorder="1" applyAlignment="1" applyProtection="1">
      <alignment vertical="center"/>
      <protection/>
    </xf>
    <xf numFmtId="0" fontId="12" fillId="3" borderId="15" xfId="0" applyFont="1" applyFill="1" applyBorder="1" applyAlignment="1" applyProtection="1">
      <alignment vertical="center"/>
      <protection/>
    </xf>
    <xf numFmtId="0" fontId="1" fillId="3" borderId="0" xfId="0" applyFont="1" applyFill="1" applyBorder="1" applyAlignment="1" applyProtection="1">
      <alignment/>
      <protection/>
    </xf>
    <xf numFmtId="0" fontId="12" fillId="3" borderId="0" xfId="0" applyFont="1" applyFill="1" applyAlignment="1" applyProtection="1">
      <alignment horizontal="right"/>
      <protection/>
    </xf>
    <xf numFmtId="0" fontId="2" fillId="3" borderId="0" xfId="0" applyFont="1" applyFill="1" applyBorder="1" applyAlignment="1" applyProtection="1">
      <alignment wrapText="1"/>
      <protection/>
    </xf>
    <xf numFmtId="0" fontId="1" fillId="3" borderId="0" xfId="0" applyFont="1" applyFill="1" applyBorder="1" applyAlignment="1" applyProtection="1">
      <alignment wrapText="1"/>
      <protection/>
    </xf>
    <xf numFmtId="3" fontId="1" fillId="3" borderId="1" xfId="0" applyNumberFormat="1" applyFont="1" applyFill="1" applyBorder="1" applyAlignment="1" applyProtection="1">
      <alignment wrapText="1"/>
      <protection/>
    </xf>
    <xf numFmtId="10" fontId="1" fillId="3" borderId="1" xfId="19" applyNumberFormat="1" applyFont="1" applyFill="1" applyBorder="1" applyAlignment="1" applyProtection="1">
      <alignment horizontal="right" wrapText="1"/>
      <protection/>
    </xf>
    <xf numFmtId="0" fontId="1" fillId="3" borderId="1" xfId="0" applyFont="1" applyFill="1" applyBorder="1" applyAlignment="1" applyProtection="1">
      <alignment/>
      <protection/>
    </xf>
    <xf numFmtId="0" fontId="13" fillId="3" borderId="1" xfId="0" applyFont="1" applyFill="1" applyBorder="1" applyAlignment="1" applyProtection="1">
      <alignment/>
      <protection/>
    </xf>
    <xf numFmtId="10" fontId="1" fillId="3" borderId="0" xfId="0" applyNumberFormat="1" applyFont="1" applyFill="1" applyAlignment="1" applyProtection="1">
      <alignment wrapText="1"/>
      <protection/>
    </xf>
    <xf numFmtId="176" fontId="1" fillId="3" borderId="0" xfId="0" applyNumberFormat="1" applyFont="1" applyFill="1" applyAlignment="1" applyProtection="1">
      <alignment wrapText="1"/>
      <protection/>
    </xf>
    <xf numFmtId="0" fontId="1" fillId="4" borderId="1" xfId="0" applyFont="1" applyFill="1" applyBorder="1" applyAlignment="1" applyProtection="1">
      <alignment/>
      <protection/>
    </xf>
    <xf numFmtId="0" fontId="2" fillId="3" borderId="1" xfId="0" applyFont="1" applyFill="1" applyBorder="1" applyAlignment="1" applyProtection="1">
      <alignment/>
      <protection/>
    </xf>
    <xf numFmtId="0" fontId="1" fillId="5" borderId="1" xfId="0" applyFont="1" applyFill="1" applyBorder="1" applyAlignment="1" applyProtection="1">
      <alignment/>
      <protection/>
    </xf>
    <xf numFmtId="0" fontId="1" fillId="2" borderId="1" xfId="0" applyFont="1" applyFill="1" applyBorder="1" applyAlignment="1" applyProtection="1">
      <alignment/>
      <protection/>
    </xf>
    <xf numFmtId="0" fontId="1" fillId="3" borderId="4" xfId="0" applyFont="1" applyFill="1" applyBorder="1" applyAlignment="1" applyProtection="1">
      <alignment/>
      <protection/>
    </xf>
    <xf numFmtId="0" fontId="6" fillId="3" borderId="0" xfId="0" applyFont="1" applyFill="1" applyAlignment="1" applyProtection="1">
      <alignment/>
      <protection/>
    </xf>
    <xf numFmtId="0" fontId="9" fillId="3" borderId="0" xfId="0" applyFont="1" applyFill="1" applyAlignment="1" applyProtection="1">
      <alignment horizontal="left" vertical="center"/>
      <protection/>
    </xf>
    <xf numFmtId="0" fontId="1" fillId="3" borderId="0" xfId="0" applyFont="1" applyFill="1" applyAlignment="1" applyProtection="1">
      <alignment horizontal="right"/>
      <protection/>
    </xf>
    <xf numFmtId="0" fontId="1" fillId="2" borderId="3" xfId="0" applyFont="1" applyFill="1" applyBorder="1" applyAlignment="1" applyProtection="1">
      <alignment wrapText="1"/>
      <protection locked="0"/>
    </xf>
    <xf numFmtId="10" fontId="2" fillId="0" borderId="3" xfId="0" applyNumberFormat="1" applyFont="1" applyFill="1" applyBorder="1" applyAlignment="1" applyProtection="1">
      <alignment/>
      <protection/>
    </xf>
    <xf numFmtId="0" fontId="1" fillId="2" borderId="1" xfId="0" applyFont="1" applyFill="1" applyBorder="1" applyAlignment="1" applyProtection="1">
      <alignment vertical="center" wrapText="1"/>
      <protection locked="0"/>
    </xf>
    <xf numFmtId="49" fontId="1" fillId="2" borderId="1" xfId="0" applyNumberFormat="1" applyFont="1" applyFill="1" applyBorder="1" applyAlignment="1" applyProtection="1">
      <alignment wrapText="1"/>
      <protection locked="0"/>
    </xf>
    <xf numFmtId="49" fontId="1" fillId="2" borderId="1" xfId="0" applyNumberFormat="1" applyFont="1" applyFill="1" applyBorder="1" applyAlignment="1" applyProtection="1">
      <alignment horizontal="left" wrapText="1"/>
      <protection locked="0"/>
    </xf>
    <xf numFmtId="0" fontId="1" fillId="3" borderId="4" xfId="0" applyFont="1" applyFill="1" applyBorder="1" applyAlignment="1" applyProtection="1">
      <alignment horizontal="center"/>
      <protection/>
    </xf>
    <xf numFmtId="0" fontId="1" fillId="3" borderId="16" xfId="0" applyFont="1" applyFill="1" applyBorder="1" applyAlignment="1" applyProtection="1">
      <alignment horizontal="center"/>
      <protection/>
    </xf>
    <xf numFmtId="0" fontId="1" fillId="3" borderId="3" xfId="0" applyFont="1" applyFill="1" applyBorder="1" applyAlignment="1" applyProtection="1">
      <alignment horizontal="center"/>
      <protection/>
    </xf>
    <xf numFmtId="0" fontId="11" fillId="3" borderId="10" xfId="0" applyFont="1" applyFill="1" applyBorder="1" applyAlignment="1" applyProtection="1">
      <alignment/>
      <protection/>
    </xf>
    <xf numFmtId="0" fontId="0" fillId="0" borderId="12" xfId="0" applyBorder="1" applyAlignment="1" applyProtection="1">
      <alignment/>
      <protection/>
    </xf>
    <xf numFmtId="0" fontId="12" fillId="3" borderId="21" xfId="0" applyFont="1" applyFill="1" applyBorder="1" applyAlignment="1" applyProtection="1">
      <alignment vertical="center"/>
      <protection/>
    </xf>
    <xf numFmtId="0" fontId="0" fillId="0" borderId="22" xfId="0" applyBorder="1" applyAlignment="1" applyProtection="1">
      <alignment vertical="center"/>
      <protection/>
    </xf>
    <xf numFmtId="0" fontId="0" fillId="0" borderId="22" xfId="0" applyBorder="1" applyAlignment="1" applyProtection="1">
      <alignment/>
      <protection/>
    </xf>
    <xf numFmtId="0" fontId="1" fillId="3" borderId="4" xfId="0" applyFont="1" applyFill="1" applyBorder="1" applyAlignment="1" applyProtection="1">
      <alignment wrapText="1"/>
      <protection/>
    </xf>
    <xf numFmtId="0" fontId="1" fillId="3" borderId="3" xfId="0" applyFont="1" applyFill="1" applyBorder="1" applyAlignment="1" applyProtection="1">
      <alignment wrapText="1"/>
      <protection/>
    </xf>
    <xf numFmtId="0" fontId="0" fillId="0" borderId="3" xfId="0" applyBorder="1" applyAlignment="1" applyProtection="1">
      <alignment wrapText="1"/>
      <protection/>
    </xf>
    <xf numFmtId="0" fontId="12" fillId="3" borderId="13" xfId="0" applyFont="1" applyFill="1" applyBorder="1" applyAlignment="1" applyProtection="1">
      <alignment vertical="center"/>
      <protection/>
    </xf>
    <xf numFmtId="0" fontId="0" fillId="0" borderId="15" xfId="0" applyBorder="1" applyAlignment="1" applyProtection="1">
      <alignment/>
      <protection/>
    </xf>
    <xf numFmtId="0" fontId="1" fillId="3" borderId="16" xfId="0" applyFont="1" applyFill="1" applyBorder="1" applyAlignment="1" applyProtection="1">
      <alignment wrapText="1"/>
      <protection/>
    </xf>
    <xf numFmtId="0" fontId="4" fillId="2" borderId="10" xfId="0" applyFont="1" applyFill="1" applyBorder="1" applyAlignment="1" applyProtection="1">
      <alignment wrapText="1"/>
      <protection locked="0"/>
    </xf>
    <xf numFmtId="0" fontId="4" fillId="0" borderId="11" xfId="0" applyFont="1" applyBorder="1" applyAlignment="1" applyProtection="1">
      <alignment wrapText="1"/>
      <protection locked="0"/>
    </xf>
    <xf numFmtId="0" fontId="4" fillId="0" borderId="12" xfId="0" applyFont="1" applyBorder="1" applyAlignment="1" applyProtection="1">
      <alignment wrapText="1"/>
      <protection locked="0"/>
    </xf>
    <xf numFmtId="0" fontId="4" fillId="0" borderId="21"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22" xfId="0" applyFont="1" applyBorder="1" applyAlignment="1" applyProtection="1">
      <alignment wrapText="1"/>
      <protection locked="0"/>
    </xf>
    <xf numFmtId="0" fontId="4" fillId="0" borderId="13" xfId="0" applyFont="1" applyBorder="1" applyAlignment="1" applyProtection="1">
      <alignment wrapText="1"/>
      <protection locked="0"/>
    </xf>
    <xf numFmtId="0" fontId="4" fillId="0" borderId="14" xfId="0" applyFont="1" applyBorder="1" applyAlignment="1" applyProtection="1">
      <alignment wrapText="1"/>
      <protection locked="0"/>
    </xf>
    <xf numFmtId="0" fontId="4" fillId="0" borderId="15" xfId="0" applyFont="1" applyBorder="1" applyAlignment="1" applyProtection="1">
      <alignment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U108"/>
  <sheetViews>
    <sheetView workbookViewId="0" topLeftCell="A1">
      <pane ySplit="15" topLeftCell="BM16" activePane="bottomLeft" state="frozen"/>
      <selection pane="topLeft" activeCell="A1" sqref="A1"/>
      <selection pane="bottomLeft" activeCell="C16" sqref="C16"/>
    </sheetView>
  </sheetViews>
  <sheetFormatPr defaultColWidth="9.00390625" defaultRowHeight="15"/>
  <cols>
    <col min="1" max="1" width="8.875" style="22" customWidth="1"/>
    <col min="2" max="2" width="20.50390625" style="22" customWidth="1"/>
    <col min="3" max="3" width="15.375" style="22" customWidth="1"/>
    <col min="4" max="4" width="15.625" style="22" customWidth="1"/>
    <col min="5" max="5" width="17.375" style="22" customWidth="1"/>
    <col min="6" max="6" width="17.875" style="22" customWidth="1"/>
    <col min="7" max="8" width="18.25390625" style="22" customWidth="1"/>
    <col min="9" max="9" width="15.50390625" style="22" customWidth="1"/>
    <col min="10" max="10" width="28.625" style="22" customWidth="1"/>
    <col min="11" max="11" width="15.875" style="22" hidden="1" customWidth="1"/>
    <col min="12" max="12" width="14.125" style="22" hidden="1" customWidth="1"/>
    <col min="13" max="13" width="13.00390625" style="22" hidden="1" customWidth="1"/>
    <col min="14" max="14" width="16.25390625" style="22" hidden="1" customWidth="1"/>
    <col min="15" max="16" width="13.75390625" style="22" hidden="1" customWidth="1"/>
    <col min="17" max="18" width="12.00390625" style="22" hidden="1" customWidth="1"/>
    <col min="19" max="19" width="9.00390625" style="22" hidden="1" customWidth="1"/>
    <col min="20" max="20" width="11.125" style="22" hidden="1" customWidth="1"/>
    <col min="21" max="21" width="9.00390625" style="22" customWidth="1"/>
    <col min="22" max="22" width="13.125" style="22" customWidth="1"/>
    <col min="23" max="23" width="13.50390625" style="22" customWidth="1"/>
    <col min="24" max="16384" width="9.00390625" style="22" customWidth="1"/>
  </cols>
  <sheetData>
    <row r="1" ht="12.75"/>
    <row r="2" ht="12.75"/>
    <row r="3" ht="12.75">
      <c r="B3" s="60"/>
    </row>
    <row r="4" spans="2:10" ht="19.5">
      <c r="B4" s="61" t="s">
        <v>27</v>
      </c>
      <c r="D4" s="22" t="s">
        <v>75</v>
      </c>
      <c r="F4" s="58" t="s">
        <v>40</v>
      </c>
      <c r="G4" s="59">
        <v>2007</v>
      </c>
      <c r="J4" s="62" t="s">
        <v>209</v>
      </c>
    </row>
    <row r="5" ht="12.75">
      <c r="B5" s="63"/>
    </row>
    <row r="6" ht="12.75">
      <c r="B6" s="64" t="s">
        <v>57</v>
      </c>
    </row>
    <row r="7" ht="12.75">
      <c r="B7" s="64" t="s">
        <v>58</v>
      </c>
    </row>
    <row r="8" ht="12.75">
      <c r="B8" s="64" t="s">
        <v>76</v>
      </c>
    </row>
    <row r="9" ht="12.75">
      <c r="B9" s="64" t="s">
        <v>90</v>
      </c>
    </row>
    <row r="10" ht="12.75">
      <c r="B10" s="64"/>
    </row>
    <row r="11" ht="12.75">
      <c r="B11" s="64" t="s">
        <v>206</v>
      </c>
    </row>
    <row r="12" ht="12.75">
      <c r="B12" s="64" t="s">
        <v>202</v>
      </c>
    </row>
    <row r="13" ht="12.75">
      <c r="B13" s="64"/>
    </row>
    <row r="14" spans="5:15" ht="12.75">
      <c r="E14" s="65" t="s">
        <v>91</v>
      </c>
      <c r="F14" s="106" t="s">
        <v>92</v>
      </c>
      <c r="G14" s="107"/>
      <c r="H14" s="108"/>
      <c r="O14" s="22" t="s">
        <v>93</v>
      </c>
    </row>
    <row r="15" spans="2:21" ht="56.25" customHeight="1">
      <c r="B15" s="4" t="s">
        <v>0</v>
      </c>
      <c r="C15" s="4" t="s">
        <v>4</v>
      </c>
      <c r="D15" s="4" t="s">
        <v>5</v>
      </c>
      <c r="E15" s="4" t="s">
        <v>50</v>
      </c>
      <c r="F15" s="4" t="s">
        <v>51</v>
      </c>
      <c r="G15" s="4" t="s">
        <v>52</v>
      </c>
      <c r="H15" s="4" t="s">
        <v>53</v>
      </c>
      <c r="I15" s="66" t="s">
        <v>6</v>
      </c>
      <c r="J15" s="4" t="s">
        <v>36</v>
      </c>
      <c r="O15" s="22" t="s">
        <v>166</v>
      </c>
      <c r="P15" s="23" t="s">
        <v>204</v>
      </c>
      <c r="Q15" s="23" t="s">
        <v>181</v>
      </c>
      <c r="R15" s="23" t="s">
        <v>198</v>
      </c>
      <c r="S15" s="23" t="s">
        <v>182</v>
      </c>
      <c r="T15" s="23" t="s">
        <v>205</v>
      </c>
      <c r="U15" s="23"/>
    </row>
    <row r="16" spans="1:20" s="23" customFormat="1" ht="12.75">
      <c r="A16" s="23">
        <v>1</v>
      </c>
      <c r="B16" s="3"/>
      <c r="C16" s="3"/>
      <c r="D16" s="3"/>
      <c r="E16" s="104"/>
      <c r="F16" s="104"/>
      <c r="G16" s="104"/>
      <c r="H16" s="104"/>
      <c r="I16" s="3" t="s">
        <v>85</v>
      </c>
      <c r="J16" s="3" t="s">
        <v>8</v>
      </c>
      <c r="K16" s="43" t="s">
        <v>8</v>
      </c>
      <c r="L16" s="4" t="s">
        <v>49</v>
      </c>
      <c r="M16" s="4">
        <v>2007</v>
      </c>
      <c r="O16" s="23">
        <f>IF(Input_Output_Info!$E25&lt;&gt;0,IF(ISBLANK(B16),1,0),0)</f>
        <v>0</v>
      </c>
      <c r="P16" s="23">
        <f>IF(Input_Output_Info!$E25&lt;&gt;0,IF(AND(ISBLANK(Generator_Info!C16),ISBLANK(Generator_Info!D16)),1,0),0)</f>
        <v>0</v>
      </c>
      <c r="Q16" s="23">
        <f>IF(Input_Output_Info!$E25&lt;&gt;0,IF(J16="Please answer",1,0),0)</f>
        <v>0</v>
      </c>
      <c r="R16" s="23">
        <v>0</v>
      </c>
      <c r="S16" s="23">
        <f>ROW(B16)</f>
        <v>16</v>
      </c>
      <c r="T16" s="23" t="str">
        <f>IF(ISBLANK(B16),"Station "&amp;A16,B16)</f>
        <v>Station 1</v>
      </c>
    </row>
    <row r="17" spans="1:20" s="23" customFormat="1" ht="12.75">
      <c r="A17" s="23">
        <v>2</v>
      </c>
      <c r="B17" s="3"/>
      <c r="C17" s="3"/>
      <c r="D17" s="3"/>
      <c r="E17" s="104"/>
      <c r="F17" s="104"/>
      <c r="G17" s="104"/>
      <c r="H17" s="104"/>
      <c r="I17" s="3" t="s">
        <v>85</v>
      </c>
      <c r="J17" s="3" t="s">
        <v>8</v>
      </c>
      <c r="K17" s="43" t="s">
        <v>54</v>
      </c>
      <c r="L17" s="4" t="s">
        <v>37</v>
      </c>
      <c r="M17" s="4">
        <v>2008</v>
      </c>
      <c r="O17" s="23">
        <f>IF(Input_Output_Info!E26&lt;&gt;0,IF(ISBLANK(B17),O16+1,0),0)</f>
        <v>0</v>
      </c>
      <c r="P17" s="23">
        <f>IF(Input_Output_Info!$E26&lt;&gt;0,IF(AND(ISBLANK(Generator_Info!C17),ISBLANK(Generator_Info!D17)),P16+1,0),0)</f>
        <v>0</v>
      </c>
      <c r="Q17" s="23">
        <f>IF(Input_Output_Info!$E26&lt;&gt;0,IF(J17="Please answer",Q16+1,0),0)</f>
        <v>0</v>
      </c>
      <c r="R17" s="23">
        <v>0</v>
      </c>
      <c r="S17" s="23">
        <f aca="true" t="shared" si="0" ref="S17:S80">ROW(B17)</f>
        <v>17</v>
      </c>
      <c r="T17" s="23" t="str">
        <f aca="true" t="shared" si="1" ref="T17:T80">IF(ISBLANK(B17),"Station "&amp;A17,B17)</f>
        <v>Station 2</v>
      </c>
    </row>
    <row r="18" spans="1:20" s="23" customFormat="1" ht="12.75">
      <c r="A18" s="23">
        <v>3</v>
      </c>
      <c r="B18" s="3"/>
      <c r="C18" s="3"/>
      <c r="D18" s="3"/>
      <c r="E18" s="104"/>
      <c r="F18" s="104"/>
      <c r="G18" s="104"/>
      <c r="H18" s="104"/>
      <c r="I18" s="3" t="s">
        <v>85</v>
      </c>
      <c r="J18" s="3" t="s">
        <v>8</v>
      </c>
      <c r="K18" s="43" t="s">
        <v>56</v>
      </c>
      <c r="L18" s="4" t="s">
        <v>38</v>
      </c>
      <c r="M18" s="4">
        <v>2009</v>
      </c>
      <c r="O18" s="23">
        <f>IF(Input_Output_Info!E27&lt;&gt;0,IF(ISBLANK(B18),SUM($O$16:O17)+1,0),0)</f>
        <v>0</v>
      </c>
      <c r="P18" s="23">
        <f>IF(Input_Output_Info!$E27&lt;&gt;0,IF(AND(ISBLANK(Generator_Info!C18),ISBLANK(Generator_Info!D18)),SUM(P16:P17)+1,0),0)</f>
        <v>0</v>
      </c>
      <c r="Q18" s="23">
        <f>IF(Input_Output_Info!$E27&lt;&gt;0,IF(J18="Please answer",SUM($Q$16:Q17)+1,0),0)</f>
        <v>0</v>
      </c>
      <c r="R18" s="23">
        <v>0</v>
      </c>
      <c r="S18" s="23">
        <f t="shared" si="0"/>
        <v>18</v>
      </c>
      <c r="T18" s="23" t="str">
        <f t="shared" si="1"/>
        <v>Station 3</v>
      </c>
    </row>
    <row r="19" spans="1:20" s="23" customFormat="1" ht="12.75">
      <c r="A19" s="23">
        <v>4</v>
      </c>
      <c r="B19" s="3"/>
      <c r="C19" s="3"/>
      <c r="D19" s="3"/>
      <c r="E19" s="104"/>
      <c r="F19" s="104"/>
      <c r="G19" s="104"/>
      <c r="H19" s="104"/>
      <c r="I19" s="3" t="s">
        <v>85</v>
      </c>
      <c r="J19" s="3" t="s">
        <v>8</v>
      </c>
      <c r="K19" s="43" t="s">
        <v>208</v>
      </c>
      <c r="L19" s="4" t="s">
        <v>39</v>
      </c>
      <c r="M19" s="4">
        <v>2010</v>
      </c>
      <c r="O19" s="23">
        <f>IF(Input_Output_Info!E28&lt;&gt;0,IF(ISBLANK(B19),SUM($O$16:O18)+1,0),0)</f>
        <v>0</v>
      </c>
      <c r="P19" s="23">
        <f>IF(Input_Output_Info!$E28&lt;&gt;0,IF(AND(ISBLANK(Generator_Info!C19),ISBLANK(Generator_Info!D19)),SUM(P17:P18)+1,0),0)</f>
        <v>0</v>
      </c>
      <c r="Q19" s="23">
        <f>IF(Input_Output_Info!$E28&lt;&gt;0,IF(J19="Please answer",SUM($Q$16:Q18)+1,0),0)</f>
        <v>0</v>
      </c>
      <c r="R19" s="23">
        <v>0</v>
      </c>
      <c r="S19" s="23">
        <f t="shared" si="0"/>
        <v>19</v>
      </c>
      <c r="T19" s="23" t="str">
        <f t="shared" si="1"/>
        <v>Station 4</v>
      </c>
    </row>
    <row r="20" spans="1:20" s="23" customFormat="1" ht="12.75">
      <c r="A20" s="23">
        <v>5</v>
      </c>
      <c r="B20" s="3"/>
      <c r="C20" s="3"/>
      <c r="D20" s="3"/>
      <c r="E20" s="104"/>
      <c r="F20" s="104"/>
      <c r="G20" s="104"/>
      <c r="H20" s="104"/>
      <c r="I20" s="3" t="s">
        <v>85</v>
      </c>
      <c r="J20" s="3" t="s">
        <v>8</v>
      </c>
      <c r="K20" s="43" t="s">
        <v>55</v>
      </c>
      <c r="L20" s="4" t="s">
        <v>40</v>
      </c>
      <c r="M20" s="4">
        <v>2011</v>
      </c>
      <c r="O20" s="23">
        <f>IF(Input_Output_Info!E29&lt;&gt;0,IF(ISBLANK(B20),SUM($O$16:O19)+1,0),0)</f>
        <v>0</v>
      </c>
      <c r="P20" s="23">
        <f>IF(Input_Output_Info!$E29&lt;&gt;0,IF(AND(ISBLANK(Generator_Info!C20),ISBLANK(Generator_Info!D20)),SUM(P18:P19)+1,0),0)</f>
        <v>0</v>
      </c>
      <c r="Q20" s="23">
        <f>IF(Input_Output_Info!$E29&lt;&gt;0,IF(J20="Please answer",SUM($Q$16:Q19)+1,0),0)</f>
        <v>0</v>
      </c>
      <c r="R20" s="23">
        <v>0</v>
      </c>
      <c r="S20" s="23">
        <f t="shared" si="0"/>
        <v>20</v>
      </c>
      <c r="T20" s="23" t="str">
        <f t="shared" si="1"/>
        <v>Station 5</v>
      </c>
    </row>
    <row r="21" spans="1:20" s="23" customFormat="1" ht="12.75">
      <c r="A21" s="23">
        <v>6</v>
      </c>
      <c r="B21" s="3"/>
      <c r="C21" s="3"/>
      <c r="D21" s="3"/>
      <c r="E21" s="104"/>
      <c r="F21" s="104"/>
      <c r="G21" s="104"/>
      <c r="H21" s="104"/>
      <c r="I21" s="3" t="s">
        <v>85</v>
      </c>
      <c r="J21" s="3" t="s">
        <v>8</v>
      </c>
      <c r="L21" s="4" t="s">
        <v>41</v>
      </c>
      <c r="M21" s="4">
        <v>2012</v>
      </c>
      <c r="N21" s="43"/>
      <c r="O21" s="23">
        <f>IF(Input_Output_Info!E30&lt;&gt;0,IF(ISBLANK(B21),SUM($O$16:O20)+1,0),0)</f>
        <v>0</v>
      </c>
      <c r="P21" s="23">
        <f>IF(Input_Output_Info!$E30&lt;&gt;0,IF(AND(ISBLANK(Generator_Info!C21),ISBLANK(Generator_Info!D21)),SUM(P19:P20)+1,0),0)</f>
        <v>0</v>
      </c>
      <c r="Q21" s="23">
        <f>IF(Input_Output_Info!$E30&lt;&gt;0,IF(J21="Please answer",SUM($Q$16:Q20)+1,0),0)</f>
        <v>0</v>
      </c>
      <c r="R21" s="23">
        <v>0</v>
      </c>
      <c r="S21" s="23">
        <f t="shared" si="0"/>
        <v>21</v>
      </c>
      <c r="T21" s="23" t="str">
        <f t="shared" si="1"/>
        <v>Station 6</v>
      </c>
    </row>
    <row r="22" spans="1:20" s="23" customFormat="1" ht="12.75">
      <c r="A22" s="23">
        <v>7</v>
      </c>
      <c r="B22" s="3"/>
      <c r="C22" s="3"/>
      <c r="D22" s="3"/>
      <c r="E22" s="104"/>
      <c r="F22" s="104"/>
      <c r="G22" s="104"/>
      <c r="H22" s="104"/>
      <c r="I22" s="3" t="s">
        <v>85</v>
      </c>
      <c r="J22" s="3" t="s">
        <v>8</v>
      </c>
      <c r="L22" s="4" t="s">
        <v>42</v>
      </c>
      <c r="M22" s="4">
        <v>2013</v>
      </c>
      <c r="N22" s="43"/>
      <c r="O22" s="23">
        <f>IF(Input_Output_Info!E31&lt;&gt;0,IF(ISBLANK(B22),SUM($O$16:O21)+1,0),0)</f>
        <v>0</v>
      </c>
      <c r="P22" s="23">
        <f>IF(Input_Output_Info!$E31&lt;&gt;0,IF(AND(ISBLANK(Generator_Info!C22),ISBLANK(Generator_Info!D22)),SUM(P20:P21)+1,0),0)</f>
        <v>0</v>
      </c>
      <c r="Q22" s="23">
        <f>IF(Input_Output_Info!$E31&lt;&gt;0,IF(J22="Please answer",SUM($Q$16:Q21)+1,0),0)</f>
        <v>0</v>
      </c>
      <c r="R22" s="23">
        <v>0</v>
      </c>
      <c r="S22" s="23">
        <f t="shared" si="0"/>
        <v>22</v>
      </c>
      <c r="T22" s="23" t="str">
        <f t="shared" si="1"/>
        <v>Station 7</v>
      </c>
    </row>
    <row r="23" spans="1:20" s="23" customFormat="1" ht="12.75">
      <c r="A23" s="23">
        <v>8</v>
      </c>
      <c r="B23" s="3"/>
      <c r="C23" s="3"/>
      <c r="D23" s="3"/>
      <c r="E23" s="104"/>
      <c r="F23" s="104"/>
      <c r="G23" s="104"/>
      <c r="H23" s="104"/>
      <c r="I23" s="3" t="s">
        <v>85</v>
      </c>
      <c r="J23" s="3" t="s">
        <v>8</v>
      </c>
      <c r="L23" s="4" t="s">
        <v>43</v>
      </c>
      <c r="M23" s="4">
        <v>2014</v>
      </c>
      <c r="O23" s="23">
        <f>IF(Input_Output_Info!E32&lt;&gt;0,IF(ISBLANK(B23),SUM($O$16:O22)+1,0),0)</f>
        <v>0</v>
      </c>
      <c r="P23" s="23">
        <f>IF(Input_Output_Info!$E32&lt;&gt;0,IF(AND(ISBLANK(Generator_Info!C23),ISBLANK(Generator_Info!D23)),SUM(P21:P22)+1,0),0)</f>
        <v>0</v>
      </c>
      <c r="Q23" s="23">
        <f>IF(Input_Output_Info!$E32&lt;&gt;0,IF(J23="Please answer",SUM($Q$16:Q22)+1,0),0)</f>
        <v>0</v>
      </c>
      <c r="R23" s="23">
        <v>0</v>
      </c>
      <c r="S23" s="23">
        <f t="shared" si="0"/>
        <v>23</v>
      </c>
      <c r="T23" s="23" t="str">
        <f t="shared" si="1"/>
        <v>Station 8</v>
      </c>
    </row>
    <row r="24" spans="1:20" s="23" customFormat="1" ht="12.75">
      <c r="A24" s="23">
        <v>9</v>
      </c>
      <c r="B24" s="3"/>
      <c r="C24" s="3"/>
      <c r="D24" s="3"/>
      <c r="E24" s="104"/>
      <c r="F24" s="104"/>
      <c r="G24" s="104"/>
      <c r="H24" s="104"/>
      <c r="I24" s="3" t="s">
        <v>85</v>
      </c>
      <c r="J24" s="3" t="s">
        <v>8</v>
      </c>
      <c r="L24" s="4" t="s">
        <v>44</v>
      </c>
      <c r="M24" s="4">
        <v>2015</v>
      </c>
      <c r="O24" s="23">
        <f>IF(Input_Output_Info!E33&lt;&gt;0,IF(ISBLANK(B24),SUM($O$16:O23)+1,0),0)</f>
        <v>0</v>
      </c>
      <c r="P24" s="23">
        <f>IF(Input_Output_Info!$E33&lt;&gt;0,IF(AND(ISBLANK(Generator_Info!C24),ISBLANK(Generator_Info!D24)),SUM(P22:P23)+1,0),0)</f>
        <v>0</v>
      </c>
      <c r="Q24" s="23">
        <f>IF(Input_Output_Info!$E33&lt;&gt;0,IF(J24="Please answer",SUM($Q$16:Q23)+1,0),0)</f>
        <v>0</v>
      </c>
      <c r="R24" s="23">
        <v>0</v>
      </c>
      <c r="S24" s="23">
        <f t="shared" si="0"/>
        <v>24</v>
      </c>
      <c r="T24" s="23" t="str">
        <f t="shared" si="1"/>
        <v>Station 9</v>
      </c>
    </row>
    <row r="25" spans="1:20" s="23" customFormat="1" ht="12.75">
      <c r="A25" s="23">
        <v>10</v>
      </c>
      <c r="B25" s="3"/>
      <c r="C25" s="3"/>
      <c r="D25" s="3"/>
      <c r="E25" s="104"/>
      <c r="F25" s="104"/>
      <c r="G25" s="104"/>
      <c r="H25" s="104"/>
      <c r="I25" s="3" t="s">
        <v>85</v>
      </c>
      <c r="J25" s="3" t="s">
        <v>8</v>
      </c>
      <c r="L25" s="4" t="s">
        <v>45</v>
      </c>
      <c r="M25" s="4">
        <v>2016</v>
      </c>
      <c r="O25" s="23">
        <f>IF(Input_Output_Info!E34&lt;&gt;0,IF(ISBLANK(B25),SUM($O$16:O24)+1,0),0)</f>
        <v>0</v>
      </c>
      <c r="P25" s="23">
        <f>IF(Input_Output_Info!$E34&lt;&gt;0,IF(AND(ISBLANK(Generator_Info!C25),ISBLANK(Generator_Info!D25)),SUM(P23:P24)+1,0),0)</f>
        <v>0</v>
      </c>
      <c r="Q25" s="23">
        <f>IF(Input_Output_Info!$E34&lt;&gt;0,IF(J25="Please answer",SUM($Q$16:Q24)+1,0),0)</f>
        <v>0</v>
      </c>
      <c r="R25" s="23">
        <v>0</v>
      </c>
      <c r="S25" s="23">
        <f t="shared" si="0"/>
        <v>25</v>
      </c>
      <c r="T25" s="23" t="str">
        <f t="shared" si="1"/>
        <v>Station 10</v>
      </c>
    </row>
    <row r="26" spans="1:20" s="23" customFormat="1" ht="12.75">
      <c r="A26" s="23">
        <v>11</v>
      </c>
      <c r="B26" s="3"/>
      <c r="C26" s="3"/>
      <c r="D26" s="3"/>
      <c r="E26" s="104"/>
      <c r="F26" s="104"/>
      <c r="G26" s="104"/>
      <c r="H26" s="104"/>
      <c r="I26" s="3" t="s">
        <v>85</v>
      </c>
      <c r="J26" s="3" t="s">
        <v>8</v>
      </c>
      <c r="L26" s="4" t="s">
        <v>46</v>
      </c>
      <c r="M26" s="4">
        <v>2017</v>
      </c>
      <c r="O26" s="23">
        <f>IF(Input_Output_Info!E35&lt;&gt;0,IF(ISBLANK(B26),SUM($O$16:O25)+1,0),0)</f>
        <v>0</v>
      </c>
      <c r="P26" s="23">
        <f>IF(Input_Output_Info!$E35&lt;&gt;0,IF(AND(ISBLANK(Generator_Info!C26),ISBLANK(Generator_Info!D26)),SUM(P24:P25)+1,0),0)</f>
        <v>0</v>
      </c>
      <c r="Q26" s="23">
        <f>IF(Input_Output_Info!$E35&lt;&gt;0,IF(J26="Please answer",SUM($Q$16:Q25)+1,0),0)</f>
        <v>0</v>
      </c>
      <c r="R26" s="23">
        <f>IF(OR(Input_Output_Info!AW35="b",Input_Output_Info!AW35="n"),1,0)</f>
        <v>0</v>
      </c>
      <c r="S26" s="23">
        <f t="shared" si="0"/>
        <v>26</v>
      </c>
      <c r="T26" s="23" t="str">
        <f t="shared" si="1"/>
        <v>Station 11</v>
      </c>
    </row>
    <row r="27" spans="1:20" s="23" customFormat="1" ht="12.75">
      <c r="A27" s="23">
        <v>12</v>
      </c>
      <c r="B27" s="3"/>
      <c r="C27" s="3"/>
      <c r="D27" s="3"/>
      <c r="E27" s="104"/>
      <c r="F27" s="104"/>
      <c r="G27" s="104"/>
      <c r="H27" s="104"/>
      <c r="I27" s="3" t="s">
        <v>85</v>
      </c>
      <c r="J27" s="3" t="s">
        <v>8</v>
      </c>
      <c r="L27" s="4" t="s">
        <v>47</v>
      </c>
      <c r="M27" s="4">
        <v>2018</v>
      </c>
      <c r="O27" s="23">
        <f>IF(Input_Output_Info!E36&lt;&gt;0,IF(ISBLANK(B27),SUM($O$16:O26)+1,0),0)</f>
        <v>0</v>
      </c>
      <c r="P27" s="23">
        <f>IF(Input_Output_Info!$E36&lt;&gt;0,IF(AND(ISBLANK(Generator_Info!C27),ISBLANK(Generator_Info!D27)),SUM(P25:P26)+1,0),0)</f>
        <v>0</v>
      </c>
      <c r="Q27" s="23">
        <f>IF(Input_Output_Info!$E36&lt;&gt;0,IF(J27="Please answer",SUM($Q$16:Q26)+1,0),0)</f>
        <v>0</v>
      </c>
      <c r="R27" s="23">
        <f>IF(OR(Input_Output_Info!AW36="b",Input_Output_Info!AW36="n"),R26+1,0)</f>
        <v>0</v>
      </c>
      <c r="S27" s="23">
        <f t="shared" si="0"/>
        <v>27</v>
      </c>
      <c r="T27" s="23" t="str">
        <f t="shared" si="1"/>
        <v>Station 12</v>
      </c>
    </row>
    <row r="28" spans="1:20" s="23" customFormat="1" ht="12.75">
      <c r="A28" s="23">
        <v>13</v>
      </c>
      <c r="B28" s="3"/>
      <c r="C28" s="3"/>
      <c r="D28" s="3"/>
      <c r="E28" s="104"/>
      <c r="F28" s="104"/>
      <c r="G28" s="104"/>
      <c r="H28" s="104"/>
      <c r="I28" s="3" t="s">
        <v>85</v>
      </c>
      <c r="J28" s="3" t="s">
        <v>8</v>
      </c>
      <c r="L28" s="4" t="s">
        <v>48</v>
      </c>
      <c r="M28" s="4">
        <v>2019</v>
      </c>
      <c r="O28" s="23">
        <f>IF(Input_Output_Info!E37&lt;&gt;0,IF(ISBLANK(B28),SUM($O$16:O27)+1,0),0)</f>
        <v>0</v>
      </c>
      <c r="P28" s="23">
        <f>IF(Input_Output_Info!$E37&lt;&gt;0,IF(AND(ISBLANK(Generator_Info!C28),ISBLANK(Generator_Info!D28)),SUM(P26:P27)+1,0),0)</f>
        <v>0</v>
      </c>
      <c r="Q28" s="23">
        <f>IF(Input_Output_Info!$E37&lt;&gt;0,IF(J28="Please answer",SUM($Q$16:Q27)+1,0),0)</f>
        <v>0</v>
      </c>
      <c r="R28" s="23">
        <f>IF(OR(Input_Output_Info!AW37="b",Input_Output_Info!AW37="n"),SUM($R$16:R27)+1,0)</f>
        <v>0</v>
      </c>
      <c r="S28" s="23">
        <f t="shared" si="0"/>
        <v>28</v>
      </c>
      <c r="T28" s="23" t="str">
        <f t="shared" si="1"/>
        <v>Station 13</v>
      </c>
    </row>
    <row r="29" spans="1:20" s="23" customFormat="1" ht="12.75">
      <c r="A29" s="23">
        <v>14</v>
      </c>
      <c r="B29" s="3"/>
      <c r="C29" s="3"/>
      <c r="D29" s="3"/>
      <c r="E29" s="104"/>
      <c r="F29" s="104"/>
      <c r="G29" s="104"/>
      <c r="H29" s="104"/>
      <c r="I29" s="3" t="s">
        <v>85</v>
      </c>
      <c r="J29" s="3" t="s">
        <v>8</v>
      </c>
      <c r="L29" s="4"/>
      <c r="M29" s="4">
        <v>2020</v>
      </c>
      <c r="O29" s="23">
        <f>IF(Input_Output_Info!E38&lt;&gt;0,IF(ISBLANK(B29),SUM($O$16:O28)+1,0),0)</f>
        <v>0</v>
      </c>
      <c r="P29" s="23">
        <f>IF(Input_Output_Info!$E38&lt;&gt;0,IF(AND(ISBLANK(Generator_Info!C29),ISBLANK(Generator_Info!D29)),SUM(P27:P28)+1,0),0)</f>
        <v>0</v>
      </c>
      <c r="Q29" s="23">
        <f>IF(Input_Output_Info!$E38&lt;&gt;0,IF(J29="Please answer",SUM($Q$16:Q28)+1,0),0)</f>
        <v>0</v>
      </c>
      <c r="R29" s="23">
        <f>IF(OR(Input_Output_Info!AW38="b",Input_Output_Info!AW38="n"),SUM($R$16:R28)+1,0)</f>
        <v>0</v>
      </c>
      <c r="S29" s="23">
        <f t="shared" si="0"/>
        <v>29</v>
      </c>
      <c r="T29" s="23" t="str">
        <f t="shared" si="1"/>
        <v>Station 14</v>
      </c>
    </row>
    <row r="30" spans="1:20" s="23" customFormat="1" ht="12.75">
      <c r="A30" s="23">
        <v>15</v>
      </c>
      <c r="B30" s="3"/>
      <c r="C30" s="3"/>
      <c r="D30" s="3"/>
      <c r="E30" s="104"/>
      <c r="F30" s="104"/>
      <c r="G30" s="104"/>
      <c r="H30" s="104"/>
      <c r="I30" s="3" t="s">
        <v>85</v>
      </c>
      <c r="J30" s="3" t="s">
        <v>8</v>
      </c>
      <c r="L30" s="4"/>
      <c r="M30" s="4">
        <v>2021</v>
      </c>
      <c r="O30" s="23">
        <f>IF(Input_Output_Info!E39&lt;&gt;0,IF(ISBLANK(B30),SUM($O$16:O29)+1,0),0)</f>
        <v>0</v>
      </c>
      <c r="P30" s="23">
        <f>IF(Input_Output_Info!$E39&lt;&gt;0,IF(AND(ISBLANK(Generator_Info!C30),ISBLANK(Generator_Info!D30)),SUM(P28:P29)+1,0),0)</f>
        <v>0</v>
      </c>
      <c r="Q30" s="23">
        <f>IF(Input_Output_Info!$E39&lt;&gt;0,IF(J30="Please answer",SUM($Q$16:Q29)+1,0),0)</f>
        <v>0</v>
      </c>
      <c r="R30" s="23">
        <f>IF(OR(Input_Output_Info!AW39="b",Input_Output_Info!AW39="n"),SUM($R$16:R29)+1,0)</f>
        <v>0</v>
      </c>
      <c r="S30" s="23">
        <f t="shared" si="0"/>
        <v>30</v>
      </c>
      <c r="T30" s="23" t="str">
        <f t="shared" si="1"/>
        <v>Station 15</v>
      </c>
    </row>
    <row r="31" spans="1:20" s="23" customFormat="1" ht="12.75">
      <c r="A31" s="23">
        <v>16</v>
      </c>
      <c r="B31" s="3"/>
      <c r="C31" s="3"/>
      <c r="D31" s="3"/>
      <c r="E31" s="104"/>
      <c r="F31" s="104"/>
      <c r="G31" s="104"/>
      <c r="H31" s="104"/>
      <c r="I31" s="3" t="s">
        <v>85</v>
      </c>
      <c r="J31" s="3" t="s">
        <v>8</v>
      </c>
      <c r="L31" s="4"/>
      <c r="M31" s="4">
        <v>2022</v>
      </c>
      <c r="O31" s="23">
        <f>IF(Input_Output_Info!E40&lt;&gt;0,IF(ISBLANK(B31),SUM($O$16:O30)+1,0),0)</f>
        <v>0</v>
      </c>
      <c r="P31" s="23">
        <f>IF(Input_Output_Info!$E40&lt;&gt;0,IF(AND(ISBLANK(Generator_Info!C31),ISBLANK(Generator_Info!D31)),SUM(P29:P30)+1,0),0)</f>
        <v>0</v>
      </c>
      <c r="Q31" s="23">
        <f>IF(Input_Output_Info!$E40&lt;&gt;0,IF(J31="Please answer",SUM($Q$16:Q30)+1,0),0)</f>
        <v>0</v>
      </c>
      <c r="R31" s="23">
        <f>IF(OR(Input_Output_Info!AW40="b",Input_Output_Info!AW40="n"),SUM($R$16:R30)+1,0)</f>
        <v>0</v>
      </c>
      <c r="S31" s="23">
        <f t="shared" si="0"/>
        <v>31</v>
      </c>
      <c r="T31" s="23" t="str">
        <f t="shared" si="1"/>
        <v>Station 16</v>
      </c>
    </row>
    <row r="32" spans="1:20" s="23" customFormat="1" ht="12.75">
      <c r="A32" s="23">
        <v>17</v>
      </c>
      <c r="B32" s="3"/>
      <c r="C32" s="3"/>
      <c r="D32" s="3"/>
      <c r="E32" s="104"/>
      <c r="F32" s="104"/>
      <c r="G32" s="104"/>
      <c r="H32" s="104"/>
      <c r="I32" s="3" t="s">
        <v>85</v>
      </c>
      <c r="J32" s="3" t="s">
        <v>8</v>
      </c>
      <c r="L32" s="4"/>
      <c r="M32" s="4">
        <v>2023</v>
      </c>
      <c r="O32" s="23">
        <f>IF(Input_Output_Info!E41&lt;&gt;0,IF(ISBLANK(B32),SUM($O$16:O31)+1,0),0)</f>
        <v>0</v>
      </c>
      <c r="P32" s="23">
        <f>IF(Input_Output_Info!$E41&lt;&gt;0,IF(AND(ISBLANK(Generator_Info!C32),ISBLANK(Generator_Info!D32)),SUM(P30:P31)+1,0),0)</f>
        <v>0</v>
      </c>
      <c r="Q32" s="23">
        <f>IF(Input_Output_Info!$E41&lt;&gt;0,IF(J32="Please answer",SUM($Q$16:Q31)+1,0),0)</f>
        <v>0</v>
      </c>
      <c r="R32" s="23">
        <f>IF(OR(Input_Output_Info!AW41="b",Input_Output_Info!AW41="n"),SUM($R$16:R31)+1,0)</f>
        <v>0</v>
      </c>
      <c r="S32" s="23">
        <f t="shared" si="0"/>
        <v>32</v>
      </c>
      <c r="T32" s="23" t="str">
        <f t="shared" si="1"/>
        <v>Station 17</v>
      </c>
    </row>
    <row r="33" spans="1:20" s="23" customFormat="1" ht="12.75">
      <c r="A33" s="23">
        <v>18</v>
      </c>
      <c r="B33" s="3"/>
      <c r="C33" s="3"/>
      <c r="D33" s="3"/>
      <c r="E33" s="104"/>
      <c r="F33" s="104"/>
      <c r="G33" s="104"/>
      <c r="H33" s="104"/>
      <c r="I33" s="3" t="s">
        <v>85</v>
      </c>
      <c r="J33" s="3" t="s">
        <v>8</v>
      </c>
      <c r="L33" s="4"/>
      <c r="M33" s="4">
        <v>2024</v>
      </c>
      <c r="O33" s="23">
        <f>IF(Input_Output_Info!E42&lt;&gt;0,IF(ISBLANK(B33),SUM($O$16:O32)+1,0),0)</f>
        <v>0</v>
      </c>
      <c r="P33" s="23">
        <f>IF(Input_Output_Info!$E42&lt;&gt;0,IF(AND(ISBLANK(Generator_Info!C33),ISBLANK(Generator_Info!D33)),SUM(P31:P32)+1,0),0)</f>
        <v>0</v>
      </c>
      <c r="Q33" s="23">
        <f>IF(Input_Output_Info!$E42&lt;&gt;0,IF(J33="Please answer",SUM($Q$16:Q32)+1,0),0)</f>
        <v>0</v>
      </c>
      <c r="R33" s="23">
        <f>IF(OR(Input_Output_Info!AW42="b",Input_Output_Info!AW42="n"),SUM($R$16:R32)+1,0)</f>
        <v>0</v>
      </c>
      <c r="S33" s="23">
        <f t="shared" si="0"/>
        <v>33</v>
      </c>
      <c r="T33" s="23" t="str">
        <f t="shared" si="1"/>
        <v>Station 18</v>
      </c>
    </row>
    <row r="34" spans="1:20" s="23" customFormat="1" ht="12.75">
      <c r="A34" s="23">
        <v>19</v>
      </c>
      <c r="B34" s="3"/>
      <c r="C34" s="3"/>
      <c r="D34" s="3"/>
      <c r="E34" s="104"/>
      <c r="F34" s="104"/>
      <c r="G34" s="104"/>
      <c r="H34" s="104"/>
      <c r="I34" s="3" t="s">
        <v>85</v>
      </c>
      <c r="J34" s="3" t="s">
        <v>8</v>
      </c>
      <c r="L34" s="4"/>
      <c r="M34" s="4">
        <v>2025</v>
      </c>
      <c r="O34" s="23">
        <f>IF(Input_Output_Info!E43&lt;&gt;0,IF(ISBLANK(B34),SUM($O$16:O33)+1,0),0)</f>
        <v>0</v>
      </c>
      <c r="P34" s="23">
        <f>IF(Input_Output_Info!$E43&lt;&gt;0,IF(AND(ISBLANK(Generator_Info!C34),ISBLANK(Generator_Info!D34)),SUM(P32:P33)+1,0),0)</f>
        <v>0</v>
      </c>
      <c r="Q34" s="23">
        <f>IF(Input_Output_Info!$E43&lt;&gt;0,IF(J34="Please answer",SUM($Q$16:Q33)+1,0),0)</f>
        <v>0</v>
      </c>
      <c r="R34" s="23">
        <f>IF(OR(Input_Output_Info!AW43="b",Input_Output_Info!AW43="n"),SUM($R$16:R33)+1,0)</f>
        <v>0</v>
      </c>
      <c r="S34" s="23">
        <f t="shared" si="0"/>
        <v>34</v>
      </c>
      <c r="T34" s="23" t="str">
        <f t="shared" si="1"/>
        <v>Station 19</v>
      </c>
    </row>
    <row r="35" spans="1:20" s="23" customFormat="1" ht="12.75">
      <c r="A35" s="23">
        <v>20</v>
      </c>
      <c r="B35" s="3"/>
      <c r="C35" s="3"/>
      <c r="D35" s="3"/>
      <c r="E35" s="104"/>
      <c r="F35" s="104"/>
      <c r="G35" s="104"/>
      <c r="H35" s="104"/>
      <c r="I35" s="3" t="s">
        <v>85</v>
      </c>
      <c r="J35" s="3" t="s">
        <v>8</v>
      </c>
      <c r="L35" s="4"/>
      <c r="M35" s="4">
        <v>2026</v>
      </c>
      <c r="O35" s="23">
        <f>IF(Input_Output_Info!E44&lt;&gt;0,IF(ISBLANK(B35),SUM($O$16:O34)+1,0),0)</f>
        <v>0</v>
      </c>
      <c r="P35" s="23">
        <f>IF(Input_Output_Info!$E44&lt;&gt;0,IF(AND(ISBLANK(Generator_Info!C35),ISBLANK(Generator_Info!D35)),SUM(P33:P34)+1,0),0)</f>
        <v>0</v>
      </c>
      <c r="Q35" s="23">
        <f>IF(Input_Output_Info!$E44&lt;&gt;0,IF(J35="Please answer",SUM($Q$16:Q34)+1,0),0)</f>
        <v>0</v>
      </c>
      <c r="R35" s="23">
        <f>IF(OR(Input_Output_Info!AW44="b",Input_Output_Info!AW44="n"),SUM($R$16:R34)+1,0)</f>
        <v>0</v>
      </c>
      <c r="S35" s="23">
        <f t="shared" si="0"/>
        <v>35</v>
      </c>
      <c r="T35" s="23" t="str">
        <f t="shared" si="1"/>
        <v>Station 20</v>
      </c>
    </row>
    <row r="36" spans="1:20" s="23" customFormat="1" ht="12.75">
      <c r="A36" s="23">
        <v>21</v>
      </c>
      <c r="B36" s="3"/>
      <c r="C36" s="3"/>
      <c r="D36" s="3"/>
      <c r="E36" s="104"/>
      <c r="F36" s="104"/>
      <c r="G36" s="104"/>
      <c r="H36" s="104"/>
      <c r="I36" s="3" t="s">
        <v>85</v>
      </c>
      <c r="J36" s="3" t="s">
        <v>8</v>
      </c>
      <c r="L36" s="4"/>
      <c r="M36" s="4">
        <v>2027</v>
      </c>
      <c r="O36" s="23">
        <f>IF(Input_Output_Info!E45&lt;&gt;0,IF(ISBLANK(B36),SUM($O$16:O35)+1,0),0)</f>
        <v>0</v>
      </c>
      <c r="P36" s="23">
        <f>IF(Input_Output_Info!$E45&lt;&gt;0,IF(AND(ISBLANK(Generator_Info!C36),ISBLANK(Generator_Info!D36)),SUM(P34:P35)+1,0),0)</f>
        <v>0</v>
      </c>
      <c r="Q36" s="23">
        <f>IF(Input_Output_Info!$E45&lt;&gt;0,IF(J36="Please answer",SUM($Q$16:Q35)+1,0),0)</f>
        <v>0</v>
      </c>
      <c r="R36" s="23">
        <f>IF(OR(Input_Output_Info!AW45="b",Input_Output_Info!AW45="n"),SUM($R$16:R35)+1,0)</f>
        <v>0</v>
      </c>
      <c r="S36" s="23">
        <f t="shared" si="0"/>
        <v>36</v>
      </c>
      <c r="T36" s="23" t="str">
        <f t="shared" si="1"/>
        <v>Station 21</v>
      </c>
    </row>
    <row r="37" spans="1:20" s="23" customFormat="1" ht="12.75">
      <c r="A37" s="23">
        <v>22</v>
      </c>
      <c r="B37" s="3"/>
      <c r="C37" s="3"/>
      <c r="D37" s="3"/>
      <c r="E37" s="104"/>
      <c r="F37" s="104"/>
      <c r="G37" s="104"/>
      <c r="H37" s="104"/>
      <c r="I37" s="3" t="s">
        <v>85</v>
      </c>
      <c r="J37" s="3" t="s">
        <v>8</v>
      </c>
      <c r="O37" s="23">
        <f>IF(Input_Output_Info!E46&lt;&gt;0,IF(ISBLANK(B37),SUM($O$16:O36)+1,0),0)</f>
        <v>0</v>
      </c>
      <c r="P37" s="23">
        <f>IF(Input_Output_Info!$E46&lt;&gt;0,IF(AND(ISBLANK(Generator_Info!C37),ISBLANK(Generator_Info!D37)),SUM(P35:P36)+1,0),0)</f>
        <v>0</v>
      </c>
      <c r="Q37" s="23">
        <f>IF(Input_Output_Info!$E46&lt;&gt;0,IF(J37="Please answer",SUM($Q$16:Q36)+1,0),0)</f>
        <v>0</v>
      </c>
      <c r="R37" s="23">
        <f>IF(OR(Input_Output_Info!AW46="b",Input_Output_Info!AW46="n"),SUM($R$16:R36)+1,0)</f>
        <v>0</v>
      </c>
      <c r="S37" s="23">
        <f t="shared" si="0"/>
        <v>37</v>
      </c>
      <c r="T37" s="23" t="str">
        <f t="shared" si="1"/>
        <v>Station 22</v>
      </c>
    </row>
    <row r="38" spans="1:20" s="23" customFormat="1" ht="12.75">
      <c r="A38" s="23">
        <v>23</v>
      </c>
      <c r="B38" s="3"/>
      <c r="C38" s="3"/>
      <c r="D38" s="3"/>
      <c r="E38" s="104"/>
      <c r="F38" s="104"/>
      <c r="G38" s="104"/>
      <c r="H38" s="104"/>
      <c r="I38" s="3" t="s">
        <v>85</v>
      </c>
      <c r="J38" s="3" t="s">
        <v>8</v>
      </c>
      <c r="O38" s="23">
        <f>IF(Input_Output_Info!E47&lt;&gt;0,IF(ISBLANK(B38),SUM($O$16:O37)+1,0),0)</f>
        <v>0</v>
      </c>
      <c r="P38" s="23">
        <f>IF(Input_Output_Info!$E47&lt;&gt;0,IF(AND(ISBLANK(Generator_Info!C38),ISBLANK(Generator_Info!D38)),SUM(P36:P37)+1,0),0)</f>
        <v>0</v>
      </c>
      <c r="Q38" s="23">
        <f>IF(Input_Output_Info!$E47&lt;&gt;0,IF(J38="Please answer",SUM($Q$16:Q37)+1,0),0)</f>
        <v>0</v>
      </c>
      <c r="R38" s="23">
        <f>IF(OR(Input_Output_Info!AW47="b",Input_Output_Info!AW47="n"),SUM($R$16:R37)+1,0)</f>
        <v>0</v>
      </c>
      <c r="S38" s="23">
        <f t="shared" si="0"/>
        <v>38</v>
      </c>
      <c r="T38" s="23" t="str">
        <f t="shared" si="1"/>
        <v>Station 23</v>
      </c>
    </row>
    <row r="39" spans="1:20" s="23" customFormat="1" ht="12.75">
      <c r="A39" s="23">
        <v>24</v>
      </c>
      <c r="B39" s="3"/>
      <c r="C39" s="3"/>
      <c r="D39" s="3"/>
      <c r="E39" s="104"/>
      <c r="F39" s="104"/>
      <c r="G39" s="104"/>
      <c r="H39" s="104"/>
      <c r="I39" s="3" t="s">
        <v>85</v>
      </c>
      <c r="J39" s="3" t="s">
        <v>8</v>
      </c>
      <c r="O39" s="23">
        <f>IF(Input_Output_Info!E48&lt;&gt;0,IF(ISBLANK(B39),SUM($O$16:O38)+1,0),0)</f>
        <v>0</v>
      </c>
      <c r="P39" s="23">
        <f>IF(Input_Output_Info!$E48&lt;&gt;0,IF(AND(ISBLANK(Generator_Info!C39),ISBLANK(Generator_Info!D39)),SUM(P37:P38)+1,0),0)</f>
        <v>0</v>
      </c>
      <c r="Q39" s="23">
        <f>IF(Input_Output_Info!$E48&lt;&gt;0,IF(J39="Please answer",SUM($Q$16:Q38)+1,0),0)</f>
        <v>0</v>
      </c>
      <c r="R39" s="23">
        <f>IF(OR(Input_Output_Info!AW48="b",Input_Output_Info!AW48="n"),SUM($R$16:R38)+1,0)</f>
        <v>0</v>
      </c>
      <c r="S39" s="23">
        <f t="shared" si="0"/>
        <v>39</v>
      </c>
      <c r="T39" s="23" t="str">
        <f t="shared" si="1"/>
        <v>Station 24</v>
      </c>
    </row>
    <row r="40" spans="1:20" s="23" customFormat="1" ht="12.75">
      <c r="A40" s="23">
        <v>25</v>
      </c>
      <c r="B40" s="3"/>
      <c r="C40" s="3"/>
      <c r="D40" s="3"/>
      <c r="E40" s="104"/>
      <c r="F40" s="104"/>
      <c r="G40" s="104"/>
      <c r="H40" s="104"/>
      <c r="I40" s="3" t="s">
        <v>85</v>
      </c>
      <c r="J40" s="3" t="s">
        <v>8</v>
      </c>
      <c r="O40" s="23">
        <f>IF(Input_Output_Info!E49&lt;&gt;0,IF(ISBLANK(B40),SUM($O$16:O39)+1,0),0)</f>
        <v>0</v>
      </c>
      <c r="P40" s="23">
        <f>IF(Input_Output_Info!$E49&lt;&gt;0,IF(AND(ISBLANK(Generator_Info!C40),ISBLANK(Generator_Info!D40)),SUM(P38:P39)+1,0),0)</f>
        <v>0</v>
      </c>
      <c r="Q40" s="23">
        <f>IF(Input_Output_Info!$E49&lt;&gt;0,IF(J40="Please answer",SUM($Q$16:Q39)+1,0),0)</f>
        <v>0</v>
      </c>
      <c r="R40" s="23">
        <f>IF(OR(Input_Output_Info!AW49="b",Input_Output_Info!AW49="n"),SUM($R$16:R39)+1,0)</f>
        <v>0</v>
      </c>
      <c r="S40" s="23">
        <f t="shared" si="0"/>
        <v>40</v>
      </c>
      <c r="T40" s="23" t="str">
        <f t="shared" si="1"/>
        <v>Station 25</v>
      </c>
    </row>
    <row r="41" spans="1:20" s="23" customFormat="1" ht="12.75">
      <c r="A41" s="23">
        <v>26</v>
      </c>
      <c r="B41" s="3"/>
      <c r="C41" s="3"/>
      <c r="D41" s="3"/>
      <c r="E41" s="104"/>
      <c r="F41" s="104"/>
      <c r="G41" s="104"/>
      <c r="H41" s="104"/>
      <c r="I41" s="3" t="s">
        <v>85</v>
      </c>
      <c r="J41" s="3" t="s">
        <v>8</v>
      </c>
      <c r="O41" s="23">
        <f>IF(Input_Output_Info!E50&lt;&gt;0,IF(ISBLANK(B41),SUM($O$16:O40)+1,0),0)</f>
        <v>0</v>
      </c>
      <c r="P41" s="23">
        <f>IF(Input_Output_Info!$E50&lt;&gt;0,IF(AND(ISBLANK(Generator_Info!C41),ISBLANK(Generator_Info!D41)),SUM(P39:P40)+1,0),0)</f>
        <v>0</v>
      </c>
      <c r="Q41" s="23">
        <f>IF(Input_Output_Info!$E50&lt;&gt;0,IF(J41="Please answer",SUM($Q$16:Q40)+1,0),0)</f>
        <v>0</v>
      </c>
      <c r="R41" s="23">
        <f>IF(OR(Input_Output_Info!AW50="b",Input_Output_Info!AW50="n"),SUM($R$16:R40)+1,0)</f>
        <v>0</v>
      </c>
      <c r="S41" s="23">
        <f t="shared" si="0"/>
        <v>41</v>
      </c>
      <c r="T41" s="23" t="str">
        <f t="shared" si="1"/>
        <v>Station 26</v>
      </c>
    </row>
    <row r="42" spans="1:20" s="23" customFormat="1" ht="12.75">
      <c r="A42" s="23">
        <v>27</v>
      </c>
      <c r="B42" s="3"/>
      <c r="C42" s="3"/>
      <c r="D42" s="3"/>
      <c r="E42" s="104"/>
      <c r="F42" s="104"/>
      <c r="G42" s="104"/>
      <c r="H42" s="104"/>
      <c r="I42" s="3" t="s">
        <v>85</v>
      </c>
      <c r="J42" s="3" t="s">
        <v>8</v>
      </c>
      <c r="O42" s="23">
        <f>IF(Input_Output_Info!E51&lt;&gt;0,IF(ISBLANK(B42),SUM($O$16:O41)+1,0),0)</f>
        <v>0</v>
      </c>
      <c r="P42" s="23">
        <f>IF(Input_Output_Info!$E51&lt;&gt;0,IF(AND(ISBLANK(Generator_Info!C42),ISBLANK(Generator_Info!D42)),SUM(P40:P41)+1,0),0)</f>
        <v>0</v>
      </c>
      <c r="Q42" s="23">
        <f>IF(Input_Output_Info!$E51&lt;&gt;0,IF(J42="Please answer",SUM($Q$16:Q41)+1,0),0)</f>
        <v>0</v>
      </c>
      <c r="R42" s="23">
        <f>IF(OR(Input_Output_Info!AW51="b",Input_Output_Info!AW51="n"),SUM($R$16:R41)+1,0)</f>
        <v>0</v>
      </c>
      <c r="S42" s="23">
        <f t="shared" si="0"/>
        <v>42</v>
      </c>
      <c r="T42" s="23" t="str">
        <f t="shared" si="1"/>
        <v>Station 27</v>
      </c>
    </row>
    <row r="43" spans="1:20" s="23" customFormat="1" ht="12.75">
      <c r="A43" s="23">
        <v>28</v>
      </c>
      <c r="B43" s="3"/>
      <c r="C43" s="3"/>
      <c r="D43" s="3"/>
      <c r="E43" s="104"/>
      <c r="F43" s="104"/>
      <c r="G43" s="104"/>
      <c r="H43" s="104"/>
      <c r="I43" s="3" t="s">
        <v>85</v>
      </c>
      <c r="J43" s="3" t="s">
        <v>8</v>
      </c>
      <c r="O43" s="23">
        <f>IF(Input_Output_Info!E52&lt;&gt;0,IF(ISBLANK(B43),SUM($O$16:O42)+1,0),0)</f>
        <v>0</v>
      </c>
      <c r="P43" s="23">
        <f>IF(Input_Output_Info!$E52&lt;&gt;0,IF(AND(ISBLANK(Generator_Info!C43),ISBLANK(Generator_Info!D43)),SUM(P41:P42)+1,0),0)</f>
        <v>0</v>
      </c>
      <c r="Q43" s="23">
        <f>IF(Input_Output_Info!$E52&lt;&gt;0,IF(J43="Please answer",SUM($Q$16:Q42)+1,0),0)</f>
        <v>0</v>
      </c>
      <c r="R43" s="23">
        <f>IF(OR(Input_Output_Info!AW52="b",Input_Output_Info!AW52="n"),SUM($R$16:R42)+1,0)</f>
        <v>0</v>
      </c>
      <c r="S43" s="23">
        <f t="shared" si="0"/>
        <v>43</v>
      </c>
      <c r="T43" s="23" t="str">
        <f t="shared" si="1"/>
        <v>Station 28</v>
      </c>
    </row>
    <row r="44" spans="1:20" s="23" customFormat="1" ht="12.75">
      <c r="A44" s="23">
        <v>29</v>
      </c>
      <c r="B44" s="3"/>
      <c r="C44" s="3"/>
      <c r="D44" s="3"/>
      <c r="E44" s="104"/>
      <c r="F44" s="104"/>
      <c r="G44" s="104"/>
      <c r="H44" s="104"/>
      <c r="I44" s="3" t="s">
        <v>85</v>
      </c>
      <c r="J44" s="3" t="s">
        <v>8</v>
      </c>
      <c r="O44" s="23">
        <f>IF(Input_Output_Info!E53&lt;&gt;0,IF(ISBLANK(B44),SUM($O$16:O43)+1,0),0)</f>
        <v>0</v>
      </c>
      <c r="P44" s="23">
        <f>IF(Input_Output_Info!$E53&lt;&gt;0,IF(AND(ISBLANK(Generator_Info!C44),ISBLANK(Generator_Info!D44)),SUM(P42:P43)+1,0),0)</f>
        <v>0</v>
      </c>
      <c r="Q44" s="23">
        <f>IF(Input_Output_Info!$E53&lt;&gt;0,IF(J44="Please answer",SUM($Q$16:Q43)+1,0),0)</f>
        <v>0</v>
      </c>
      <c r="R44" s="23">
        <f>IF(OR(Input_Output_Info!AW53="b",Input_Output_Info!AW53="n"),SUM($R$16:R43)+1,0)</f>
        <v>0</v>
      </c>
      <c r="S44" s="23">
        <f t="shared" si="0"/>
        <v>44</v>
      </c>
      <c r="T44" s="23" t="str">
        <f t="shared" si="1"/>
        <v>Station 29</v>
      </c>
    </row>
    <row r="45" spans="1:20" s="23" customFormat="1" ht="12.75">
      <c r="A45" s="23">
        <v>30</v>
      </c>
      <c r="B45" s="3"/>
      <c r="C45" s="3"/>
      <c r="D45" s="3"/>
      <c r="E45" s="104"/>
      <c r="F45" s="104"/>
      <c r="G45" s="104"/>
      <c r="H45" s="104"/>
      <c r="I45" s="3" t="s">
        <v>85</v>
      </c>
      <c r="J45" s="3" t="s">
        <v>8</v>
      </c>
      <c r="O45" s="23">
        <f>IF(Input_Output_Info!E54&lt;&gt;0,IF(ISBLANK(B45),SUM($O$16:O44)+1,0),0)</f>
        <v>0</v>
      </c>
      <c r="P45" s="23">
        <f>IF(Input_Output_Info!$E54&lt;&gt;0,IF(AND(ISBLANK(Generator_Info!C45),ISBLANK(Generator_Info!D45)),SUM(P43:P44)+1,0),0)</f>
        <v>0</v>
      </c>
      <c r="Q45" s="23">
        <f>IF(Input_Output_Info!$E54&lt;&gt;0,IF(J45="Please answer",SUM($Q$16:Q44)+1,0),0)</f>
        <v>0</v>
      </c>
      <c r="R45" s="23">
        <f>IF(OR(Input_Output_Info!AW54="b",Input_Output_Info!AW54="n"),SUM($R$16:R44)+1,0)</f>
        <v>0</v>
      </c>
      <c r="S45" s="23">
        <f t="shared" si="0"/>
        <v>45</v>
      </c>
      <c r="T45" s="23" t="str">
        <f t="shared" si="1"/>
        <v>Station 30</v>
      </c>
    </row>
    <row r="46" spans="1:20" s="23" customFormat="1" ht="12.75">
      <c r="A46" s="23">
        <v>31</v>
      </c>
      <c r="B46" s="3"/>
      <c r="C46" s="3"/>
      <c r="D46" s="3"/>
      <c r="E46" s="104"/>
      <c r="F46" s="104"/>
      <c r="G46" s="104"/>
      <c r="H46" s="104"/>
      <c r="I46" s="3" t="s">
        <v>85</v>
      </c>
      <c r="J46" s="3" t="s">
        <v>8</v>
      </c>
      <c r="O46" s="23">
        <f>IF(Input_Output_Info!E55&lt;&gt;0,IF(ISBLANK(B46),SUM($O$16:O45)+1,0),0)</f>
        <v>0</v>
      </c>
      <c r="P46" s="23">
        <f>IF(Input_Output_Info!$E55&lt;&gt;0,IF(AND(ISBLANK(Generator_Info!C46),ISBLANK(Generator_Info!D46)),SUM(P44:P45)+1,0),0)</f>
        <v>0</v>
      </c>
      <c r="Q46" s="23">
        <f>IF(Input_Output_Info!$E55&lt;&gt;0,IF(J46="Please answer",SUM($Q$16:Q45)+1,0),0)</f>
        <v>0</v>
      </c>
      <c r="R46" s="23">
        <f>IF(OR(Input_Output_Info!AW55="b",Input_Output_Info!AW55="n"),SUM($R$16:R45)+1,0)</f>
        <v>0</v>
      </c>
      <c r="S46" s="23">
        <f t="shared" si="0"/>
        <v>46</v>
      </c>
      <c r="T46" s="23" t="str">
        <f t="shared" si="1"/>
        <v>Station 31</v>
      </c>
    </row>
    <row r="47" spans="1:20" s="23" customFormat="1" ht="12.75">
      <c r="A47" s="23">
        <v>32</v>
      </c>
      <c r="B47" s="3"/>
      <c r="C47" s="3"/>
      <c r="D47" s="3"/>
      <c r="E47" s="104"/>
      <c r="F47" s="104"/>
      <c r="G47" s="104"/>
      <c r="H47" s="104"/>
      <c r="I47" s="3" t="s">
        <v>85</v>
      </c>
      <c r="J47" s="3" t="s">
        <v>8</v>
      </c>
      <c r="O47" s="23">
        <f>IF(Input_Output_Info!E56&lt;&gt;0,IF(ISBLANK(B47),SUM($O$16:O46)+1,0),0)</f>
        <v>0</v>
      </c>
      <c r="P47" s="23">
        <f>IF(Input_Output_Info!$E56&lt;&gt;0,IF(AND(ISBLANK(Generator_Info!C47),ISBLANK(Generator_Info!D47)),SUM(P45:P46)+1,0),0)</f>
        <v>0</v>
      </c>
      <c r="Q47" s="23">
        <f>IF(Input_Output_Info!$E56&lt;&gt;0,IF(J47="Please answer",SUM($Q$16:Q46)+1,0),0)</f>
        <v>0</v>
      </c>
      <c r="R47" s="23">
        <f>IF(OR(Input_Output_Info!AW56="b",Input_Output_Info!AW56="n"),SUM($R$16:R46)+1,0)</f>
        <v>0</v>
      </c>
      <c r="S47" s="23">
        <f t="shared" si="0"/>
        <v>47</v>
      </c>
      <c r="T47" s="23" t="str">
        <f t="shared" si="1"/>
        <v>Station 32</v>
      </c>
    </row>
    <row r="48" spans="1:20" s="23" customFormat="1" ht="12.75">
      <c r="A48" s="23">
        <v>33</v>
      </c>
      <c r="B48" s="3"/>
      <c r="C48" s="3"/>
      <c r="D48" s="3"/>
      <c r="E48" s="104"/>
      <c r="F48" s="104"/>
      <c r="G48" s="104"/>
      <c r="H48" s="104"/>
      <c r="I48" s="3" t="s">
        <v>85</v>
      </c>
      <c r="J48" s="3" t="s">
        <v>8</v>
      </c>
      <c r="O48" s="23">
        <f>IF(Input_Output_Info!E57&lt;&gt;0,IF(ISBLANK(B48),SUM($O$16:O47)+1,0),0)</f>
        <v>0</v>
      </c>
      <c r="P48" s="23">
        <f>IF(Input_Output_Info!$E57&lt;&gt;0,IF(AND(ISBLANK(Generator_Info!C48),ISBLANK(Generator_Info!D48)),SUM(P46:P47)+1,0),0)</f>
        <v>0</v>
      </c>
      <c r="Q48" s="23">
        <f>IF(Input_Output_Info!$E57&lt;&gt;0,IF(J48="Please answer",SUM($Q$16:Q47)+1,0),0)</f>
        <v>0</v>
      </c>
      <c r="R48" s="23">
        <f>IF(OR(Input_Output_Info!AW57="b",Input_Output_Info!AW57="n"),SUM($R$16:R47)+1,0)</f>
        <v>0</v>
      </c>
      <c r="S48" s="23">
        <f t="shared" si="0"/>
        <v>48</v>
      </c>
      <c r="T48" s="23" t="str">
        <f t="shared" si="1"/>
        <v>Station 33</v>
      </c>
    </row>
    <row r="49" spans="1:20" s="23" customFormat="1" ht="12.75">
      <c r="A49" s="23">
        <v>34</v>
      </c>
      <c r="B49" s="3"/>
      <c r="C49" s="3"/>
      <c r="D49" s="3"/>
      <c r="E49" s="104"/>
      <c r="F49" s="104"/>
      <c r="G49" s="104"/>
      <c r="H49" s="104"/>
      <c r="I49" s="3" t="s">
        <v>85</v>
      </c>
      <c r="J49" s="3" t="s">
        <v>8</v>
      </c>
      <c r="O49" s="23">
        <f>IF(Input_Output_Info!E58&lt;&gt;0,IF(ISBLANK(B49),SUM($O$16:O48)+1,0),0)</f>
        <v>0</v>
      </c>
      <c r="P49" s="23">
        <f>IF(Input_Output_Info!$E58&lt;&gt;0,IF(AND(ISBLANK(Generator_Info!C49),ISBLANK(Generator_Info!D49)),SUM(P47:P48)+1,0),0)</f>
        <v>0</v>
      </c>
      <c r="Q49" s="23">
        <f>IF(Input_Output_Info!$E58&lt;&gt;0,IF(J49="Please answer",SUM($Q$16:Q48)+1,0),0)</f>
        <v>0</v>
      </c>
      <c r="R49" s="23">
        <f>IF(OR(Input_Output_Info!AW58="b",Input_Output_Info!AW58="n"),SUM($R$16:R48)+1,0)</f>
        <v>0</v>
      </c>
      <c r="S49" s="23">
        <f t="shared" si="0"/>
        <v>49</v>
      </c>
      <c r="T49" s="23" t="str">
        <f t="shared" si="1"/>
        <v>Station 34</v>
      </c>
    </row>
    <row r="50" spans="1:20" s="23" customFormat="1" ht="12.75">
      <c r="A50" s="23">
        <v>35</v>
      </c>
      <c r="B50" s="3"/>
      <c r="C50" s="3"/>
      <c r="D50" s="3"/>
      <c r="E50" s="104"/>
      <c r="F50" s="104"/>
      <c r="G50" s="104"/>
      <c r="H50" s="104"/>
      <c r="I50" s="3" t="s">
        <v>85</v>
      </c>
      <c r="J50" s="3" t="s">
        <v>8</v>
      </c>
      <c r="O50" s="23">
        <f>IF(Input_Output_Info!E59&lt;&gt;0,IF(ISBLANK(B50),SUM($O$16:O49)+1,0),0)</f>
        <v>0</v>
      </c>
      <c r="P50" s="23">
        <f>IF(Input_Output_Info!$E59&lt;&gt;0,IF(AND(ISBLANK(Generator_Info!C50),ISBLANK(Generator_Info!D50)),SUM(P48:P49)+1,0),0)</f>
        <v>0</v>
      </c>
      <c r="Q50" s="23">
        <f>IF(Input_Output_Info!$E59&lt;&gt;0,IF(J50="Please answer",SUM($Q$16:Q49)+1,0),0)</f>
        <v>0</v>
      </c>
      <c r="R50" s="23">
        <f>IF(OR(Input_Output_Info!AW59="b",Input_Output_Info!AW59="n"),SUM($R$16:R49)+1,0)</f>
        <v>0</v>
      </c>
      <c r="S50" s="23">
        <f t="shared" si="0"/>
        <v>50</v>
      </c>
      <c r="T50" s="23" t="str">
        <f t="shared" si="1"/>
        <v>Station 35</v>
      </c>
    </row>
    <row r="51" spans="1:20" s="23" customFormat="1" ht="12.75">
      <c r="A51" s="23">
        <v>36</v>
      </c>
      <c r="B51" s="3"/>
      <c r="C51" s="3"/>
      <c r="D51" s="3"/>
      <c r="E51" s="104"/>
      <c r="F51" s="104"/>
      <c r="G51" s="104"/>
      <c r="H51" s="104"/>
      <c r="I51" s="3" t="s">
        <v>85</v>
      </c>
      <c r="J51" s="3" t="s">
        <v>8</v>
      </c>
      <c r="O51" s="23">
        <f>IF(Input_Output_Info!E60&lt;&gt;0,IF(ISBLANK(B51),SUM($O$16:O50)+1,0),0)</f>
        <v>0</v>
      </c>
      <c r="P51" s="23">
        <f>IF(Input_Output_Info!$E60&lt;&gt;0,IF(AND(ISBLANK(Generator_Info!C51),ISBLANK(Generator_Info!D51)),SUM(P49:P50)+1,0),0)</f>
        <v>0</v>
      </c>
      <c r="Q51" s="23">
        <f>IF(Input_Output_Info!$E60&lt;&gt;0,IF(J51="Please answer",SUM($Q$16:Q50)+1,0),0)</f>
        <v>0</v>
      </c>
      <c r="R51" s="23">
        <f>IF(OR(Input_Output_Info!AW60="b",Input_Output_Info!AW60="n"),SUM($R$16:R50)+1,0)</f>
        <v>0</v>
      </c>
      <c r="S51" s="23">
        <f t="shared" si="0"/>
        <v>51</v>
      </c>
      <c r="T51" s="23" t="str">
        <f t="shared" si="1"/>
        <v>Station 36</v>
      </c>
    </row>
    <row r="52" spans="1:20" s="23" customFormat="1" ht="12.75">
      <c r="A52" s="23">
        <v>37</v>
      </c>
      <c r="B52" s="3"/>
      <c r="C52" s="3"/>
      <c r="D52" s="3"/>
      <c r="E52" s="104"/>
      <c r="F52" s="104"/>
      <c r="G52" s="104"/>
      <c r="H52" s="104"/>
      <c r="I52" s="3" t="s">
        <v>85</v>
      </c>
      <c r="J52" s="3" t="s">
        <v>8</v>
      </c>
      <c r="O52" s="23">
        <f>IF(Input_Output_Info!E61&lt;&gt;0,IF(ISBLANK(B52),SUM($O$16:O51)+1,0),0)</f>
        <v>0</v>
      </c>
      <c r="P52" s="23">
        <f>IF(Input_Output_Info!$E61&lt;&gt;0,IF(AND(ISBLANK(Generator_Info!C52),ISBLANK(Generator_Info!D52)),SUM(P50:P51)+1,0),0)</f>
        <v>0</v>
      </c>
      <c r="Q52" s="23">
        <f>IF(Input_Output_Info!$E61&lt;&gt;0,IF(J52="Please answer",SUM($Q$16:Q51)+1,0),0)</f>
        <v>0</v>
      </c>
      <c r="R52" s="23">
        <f>IF(OR(Input_Output_Info!AW61="b",Input_Output_Info!AW61="n"),SUM($R$16:R51)+1,0)</f>
        <v>0</v>
      </c>
      <c r="S52" s="23">
        <f t="shared" si="0"/>
        <v>52</v>
      </c>
      <c r="T52" s="23" t="str">
        <f t="shared" si="1"/>
        <v>Station 37</v>
      </c>
    </row>
    <row r="53" spans="1:20" s="23" customFormat="1" ht="12.75">
      <c r="A53" s="23">
        <v>38</v>
      </c>
      <c r="B53" s="3"/>
      <c r="C53" s="3"/>
      <c r="D53" s="3"/>
      <c r="E53" s="104"/>
      <c r="F53" s="104"/>
      <c r="G53" s="104"/>
      <c r="H53" s="104"/>
      <c r="I53" s="3" t="s">
        <v>85</v>
      </c>
      <c r="J53" s="3" t="s">
        <v>8</v>
      </c>
      <c r="O53" s="23">
        <f>IF(Input_Output_Info!E62&lt;&gt;0,IF(ISBLANK(B53),SUM($O$16:O52)+1,0),0)</f>
        <v>0</v>
      </c>
      <c r="P53" s="23">
        <f>IF(Input_Output_Info!$E62&lt;&gt;0,IF(AND(ISBLANK(Generator_Info!C53),ISBLANK(Generator_Info!D53)),SUM(P51:P52)+1,0),0)</f>
        <v>0</v>
      </c>
      <c r="Q53" s="23">
        <f>IF(Input_Output_Info!$E62&lt;&gt;0,IF(J53="Please answer",SUM($Q$16:Q52)+1,0),0)</f>
        <v>0</v>
      </c>
      <c r="R53" s="23">
        <f>IF(OR(Input_Output_Info!AW62="b",Input_Output_Info!AW62="n"),SUM($R$16:R52)+1,0)</f>
        <v>0</v>
      </c>
      <c r="S53" s="23">
        <f t="shared" si="0"/>
        <v>53</v>
      </c>
      <c r="T53" s="23" t="str">
        <f t="shared" si="1"/>
        <v>Station 38</v>
      </c>
    </row>
    <row r="54" spans="1:20" s="23" customFormat="1" ht="12.75">
      <c r="A54" s="23">
        <v>39</v>
      </c>
      <c r="B54" s="3"/>
      <c r="C54" s="3"/>
      <c r="D54" s="3"/>
      <c r="E54" s="104"/>
      <c r="F54" s="104"/>
      <c r="G54" s="104"/>
      <c r="H54" s="104"/>
      <c r="I54" s="3" t="s">
        <v>85</v>
      </c>
      <c r="J54" s="3" t="s">
        <v>8</v>
      </c>
      <c r="O54" s="23">
        <f>IF(Input_Output_Info!E63&lt;&gt;0,IF(ISBLANK(B54),SUM($O$16:O53)+1,0),0)</f>
        <v>0</v>
      </c>
      <c r="P54" s="23">
        <f>IF(Input_Output_Info!$E63&lt;&gt;0,IF(AND(ISBLANK(Generator_Info!C54),ISBLANK(Generator_Info!D54)),SUM(P52:P53)+1,0),0)</f>
        <v>0</v>
      </c>
      <c r="Q54" s="23">
        <f>IF(Input_Output_Info!$E63&lt;&gt;0,IF(J54="Please answer",SUM($Q$16:Q53)+1,0),0)</f>
        <v>0</v>
      </c>
      <c r="R54" s="23">
        <f>IF(OR(Input_Output_Info!AW63="b",Input_Output_Info!AW63="n"),SUM($R$16:R53)+1,0)</f>
        <v>0</v>
      </c>
      <c r="S54" s="23">
        <f t="shared" si="0"/>
        <v>54</v>
      </c>
      <c r="T54" s="23" t="str">
        <f t="shared" si="1"/>
        <v>Station 39</v>
      </c>
    </row>
    <row r="55" spans="1:20" s="23" customFormat="1" ht="12.75">
      <c r="A55" s="23">
        <v>40</v>
      </c>
      <c r="B55" s="3"/>
      <c r="C55" s="3"/>
      <c r="D55" s="3"/>
      <c r="E55" s="104"/>
      <c r="F55" s="104"/>
      <c r="G55" s="104"/>
      <c r="H55" s="104"/>
      <c r="I55" s="3" t="s">
        <v>85</v>
      </c>
      <c r="J55" s="3" t="s">
        <v>8</v>
      </c>
      <c r="O55" s="23">
        <f>IF(Input_Output_Info!E64&lt;&gt;0,IF(ISBLANK(B55),SUM($O$16:O54)+1,0),0)</f>
        <v>0</v>
      </c>
      <c r="P55" s="23">
        <f>IF(Input_Output_Info!$E64&lt;&gt;0,IF(AND(ISBLANK(Generator_Info!C55),ISBLANK(Generator_Info!D55)),SUM(P53:P54)+1,0),0)</f>
        <v>0</v>
      </c>
      <c r="Q55" s="23">
        <f>IF(Input_Output_Info!$E64&lt;&gt;0,IF(J55="Please answer",SUM($Q$16:Q54)+1,0),0)</f>
        <v>0</v>
      </c>
      <c r="R55" s="23">
        <f>IF(OR(Input_Output_Info!AW64="b",Input_Output_Info!AW64="n"),SUM($R$16:R54)+1,0)</f>
        <v>0</v>
      </c>
      <c r="S55" s="23">
        <f t="shared" si="0"/>
        <v>55</v>
      </c>
      <c r="T55" s="23" t="str">
        <f t="shared" si="1"/>
        <v>Station 40</v>
      </c>
    </row>
    <row r="56" spans="1:20" ht="12.75">
      <c r="A56" s="23">
        <v>41</v>
      </c>
      <c r="B56" s="3"/>
      <c r="C56" s="3"/>
      <c r="D56" s="3"/>
      <c r="E56" s="104"/>
      <c r="F56" s="104"/>
      <c r="G56" s="104"/>
      <c r="H56" s="104"/>
      <c r="I56" s="3" t="s">
        <v>85</v>
      </c>
      <c r="J56" s="3" t="s">
        <v>8</v>
      </c>
      <c r="O56" s="23">
        <f>IF(Input_Output_Info!E65&lt;&gt;0,IF(ISBLANK(B56),SUM($O$16:O55)+1,0),0)</f>
        <v>0</v>
      </c>
      <c r="P56" s="23">
        <f>IF(Input_Output_Info!$E65&lt;&gt;0,IF(AND(ISBLANK(Generator_Info!C56),ISBLANK(Generator_Info!D56)),SUM(P54:P55)+1,0),0)</f>
        <v>0</v>
      </c>
      <c r="Q56" s="23">
        <f>IF(Input_Output_Info!$E65&lt;&gt;0,IF(J56="Please answer",SUM($Q$16:Q55)+1,0),0)</f>
        <v>0</v>
      </c>
      <c r="R56" s="23">
        <f>IF(OR(Input_Output_Info!AW65="b",Input_Output_Info!AW65="n"),SUM($R$16:R55)+1,0)</f>
        <v>0</v>
      </c>
      <c r="S56" s="23">
        <f t="shared" si="0"/>
        <v>56</v>
      </c>
      <c r="T56" s="23" t="str">
        <f t="shared" si="1"/>
        <v>Station 41</v>
      </c>
    </row>
    <row r="57" spans="1:20" ht="12.75">
      <c r="A57" s="23">
        <v>42</v>
      </c>
      <c r="B57" s="3"/>
      <c r="C57" s="3"/>
      <c r="D57" s="3"/>
      <c r="E57" s="104"/>
      <c r="F57" s="104"/>
      <c r="G57" s="104"/>
      <c r="H57" s="104"/>
      <c r="I57" s="3" t="s">
        <v>85</v>
      </c>
      <c r="J57" s="3" t="s">
        <v>8</v>
      </c>
      <c r="O57" s="23">
        <f>IF(Input_Output_Info!E66&lt;&gt;0,IF(ISBLANK(B57),SUM($O$16:O56)+1,0),0)</f>
        <v>0</v>
      </c>
      <c r="P57" s="23">
        <f>IF(Input_Output_Info!$E66&lt;&gt;0,IF(AND(ISBLANK(Generator_Info!C57),ISBLANK(Generator_Info!D57)),SUM(P55:P56)+1,0),0)</f>
        <v>0</v>
      </c>
      <c r="Q57" s="23">
        <f>IF(Input_Output_Info!$E66&lt;&gt;0,IF(J57="Please answer",SUM($Q$16:Q56)+1,0),0)</f>
        <v>0</v>
      </c>
      <c r="R57" s="23">
        <f>IF(OR(Input_Output_Info!AW66="b",Input_Output_Info!AW66="n"),SUM($R$16:R56)+1,0)</f>
        <v>0</v>
      </c>
      <c r="S57" s="23">
        <f t="shared" si="0"/>
        <v>57</v>
      </c>
      <c r="T57" s="23" t="str">
        <f t="shared" si="1"/>
        <v>Station 42</v>
      </c>
    </row>
    <row r="58" spans="1:20" ht="12.75">
      <c r="A58" s="23">
        <v>43</v>
      </c>
      <c r="B58" s="3"/>
      <c r="C58" s="3"/>
      <c r="D58" s="3"/>
      <c r="E58" s="104"/>
      <c r="F58" s="104"/>
      <c r="G58" s="104"/>
      <c r="H58" s="104"/>
      <c r="I58" s="3" t="s">
        <v>85</v>
      </c>
      <c r="J58" s="3" t="s">
        <v>8</v>
      </c>
      <c r="O58" s="23">
        <f>IF(Input_Output_Info!E67&lt;&gt;0,IF(ISBLANK(B58),SUM($O$16:O57)+1,0),0)</f>
        <v>0</v>
      </c>
      <c r="P58" s="23">
        <f>IF(Input_Output_Info!$E67&lt;&gt;0,IF(AND(ISBLANK(Generator_Info!C58),ISBLANK(Generator_Info!D58)),SUM(P56:P57)+1,0),0)</f>
        <v>0</v>
      </c>
      <c r="Q58" s="23">
        <f>IF(Input_Output_Info!$E67&lt;&gt;0,IF(J58="Please answer",SUM($Q$16:Q57)+1,0),0)</f>
        <v>0</v>
      </c>
      <c r="R58" s="23">
        <f>IF(OR(Input_Output_Info!AW67="b",Input_Output_Info!AW67="n"),SUM($R$16:R57)+1,0)</f>
        <v>0</v>
      </c>
      <c r="S58" s="23">
        <f t="shared" si="0"/>
        <v>58</v>
      </c>
      <c r="T58" s="23" t="str">
        <f t="shared" si="1"/>
        <v>Station 43</v>
      </c>
    </row>
    <row r="59" spans="1:20" ht="12.75">
      <c r="A59" s="23">
        <v>44</v>
      </c>
      <c r="B59" s="3"/>
      <c r="C59" s="3"/>
      <c r="D59" s="3"/>
      <c r="E59" s="104"/>
      <c r="F59" s="104"/>
      <c r="G59" s="104"/>
      <c r="H59" s="104"/>
      <c r="I59" s="3" t="s">
        <v>85</v>
      </c>
      <c r="J59" s="3" t="s">
        <v>8</v>
      </c>
      <c r="O59" s="23">
        <f>IF(Input_Output_Info!E68&lt;&gt;0,IF(ISBLANK(B59),SUM($O$16:O58)+1,0),0)</f>
        <v>0</v>
      </c>
      <c r="P59" s="23">
        <f>IF(Input_Output_Info!$E68&lt;&gt;0,IF(AND(ISBLANK(Generator_Info!C59),ISBLANK(Generator_Info!D59)),SUM(P57:P58)+1,0),0)</f>
        <v>0</v>
      </c>
      <c r="Q59" s="23">
        <f>IF(Input_Output_Info!$E68&lt;&gt;0,IF(J59="Please answer",SUM($Q$16:Q58)+1,0),0)</f>
        <v>0</v>
      </c>
      <c r="R59" s="23">
        <f>IF(OR(Input_Output_Info!AW68="b",Input_Output_Info!AW68="n"),SUM($R$16:R58)+1,0)</f>
        <v>0</v>
      </c>
      <c r="S59" s="23">
        <f t="shared" si="0"/>
        <v>59</v>
      </c>
      <c r="T59" s="23" t="str">
        <f t="shared" si="1"/>
        <v>Station 44</v>
      </c>
    </row>
    <row r="60" spans="1:20" ht="12.75">
      <c r="A60" s="23">
        <v>45</v>
      </c>
      <c r="B60" s="3"/>
      <c r="C60" s="3"/>
      <c r="D60" s="3"/>
      <c r="E60" s="104"/>
      <c r="F60" s="104"/>
      <c r="G60" s="104"/>
      <c r="H60" s="104"/>
      <c r="I60" s="3" t="s">
        <v>85</v>
      </c>
      <c r="J60" s="3" t="s">
        <v>8</v>
      </c>
      <c r="O60" s="23">
        <f>IF(Input_Output_Info!E69&lt;&gt;0,IF(ISBLANK(B60),SUM($O$16:O59)+1,0),0)</f>
        <v>0</v>
      </c>
      <c r="P60" s="23">
        <f>IF(Input_Output_Info!$E69&lt;&gt;0,IF(AND(ISBLANK(Generator_Info!C60),ISBLANK(Generator_Info!D60)),SUM(P58:P59)+1,0),0)</f>
        <v>0</v>
      </c>
      <c r="Q60" s="23">
        <f>IF(Input_Output_Info!$E69&lt;&gt;0,IF(J60="Please answer",SUM($Q$16:Q59)+1,0),0)</f>
        <v>0</v>
      </c>
      <c r="R60" s="23">
        <f>IF(OR(Input_Output_Info!AW69="b",Input_Output_Info!AW69="n"),SUM($R$16:R59)+1,0)</f>
        <v>0</v>
      </c>
      <c r="S60" s="23">
        <f t="shared" si="0"/>
        <v>60</v>
      </c>
      <c r="T60" s="23" t="str">
        <f t="shared" si="1"/>
        <v>Station 45</v>
      </c>
    </row>
    <row r="61" spans="1:20" ht="12.75">
      <c r="A61" s="23">
        <v>46</v>
      </c>
      <c r="B61" s="3"/>
      <c r="C61" s="3"/>
      <c r="D61" s="3"/>
      <c r="E61" s="104"/>
      <c r="F61" s="104"/>
      <c r="G61" s="104"/>
      <c r="H61" s="104"/>
      <c r="I61" s="3" t="s">
        <v>85</v>
      </c>
      <c r="J61" s="3" t="s">
        <v>8</v>
      </c>
      <c r="O61" s="23">
        <f>IF(Input_Output_Info!E70&lt;&gt;0,IF(ISBLANK(B61),SUM($O$16:O60)+1,0),0)</f>
        <v>0</v>
      </c>
      <c r="P61" s="23">
        <f>IF(Input_Output_Info!$E70&lt;&gt;0,IF(AND(ISBLANK(Generator_Info!C61),ISBLANK(Generator_Info!D61)),SUM(P59:P60)+1,0),0)</f>
        <v>0</v>
      </c>
      <c r="Q61" s="23">
        <f>IF(Input_Output_Info!$E70&lt;&gt;0,IF(J61="Please answer",SUM($Q$16:Q60)+1,0),0)</f>
        <v>0</v>
      </c>
      <c r="R61" s="23">
        <f>IF(OR(Input_Output_Info!AW70="b",Input_Output_Info!AW70="n"),SUM($R$16:R60)+1,0)</f>
        <v>0</v>
      </c>
      <c r="S61" s="23">
        <f t="shared" si="0"/>
        <v>61</v>
      </c>
      <c r="T61" s="23" t="str">
        <f t="shared" si="1"/>
        <v>Station 46</v>
      </c>
    </row>
    <row r="62" spans="1:20" ht="12.75">
      <c r="A62" s="23">
        <v>47</v>
      </c>
      <c r="B62" s="3"/>
      <c r="C62" s="3"/>
      <c r="D62" s="3"/>
      <c r="E62" s="104"/>
      <c r="F62" s="104"/>
      <c r="G62" s="104"/>
      <c r="H62" s="104"/>
      <c r="I62" s="3" t="s">
        <v>85</v>
      </c>
      <c r="J62" s="3" t="s">
        <v>8</v>
      </c>
      <c r="O62" s="23">
        <f>IF(Input_Output_Info!E71&lt;&gt;0,IF(ISBLANK(B62),SUM($O$16:O61)+1,0),0)</f>
        <v>0</v>
      </c>
      <c r="P62" s="23">
        <f>IF(Input_Output_Info!$E71&lt;&gt;0,IF(AND(ISBLANK(Generator_Info!C62),ISBLANK(Generator_Info!D62)),SUM(P60:P61)+1,0),0)</f>
        <v>0</v>
      </c>
      <c r="Q62" s="23">
        <f>IF(Input_Output_Info!$E71&lt;&gt;0,IF(J62="Please answer",SUM($Q$16:Q61)+1,0),0)</f>
        <v>0</v>
      </c>
      <c r="R62" s="23">
        <f>IF(OR(Input_Output_Info!AW71="b",Input_Output_Info!AW71="n"),SUM($R$16:R61)+1,0)</f>
        <v>0</v>
      </c>
      <c r="S62" s="23">
        <f t="shared" si="0"/>
        <v>62</v>
      </c>
      <c r="T62" s="23" t="str">
        <f t="shared" si="1"/>
        <v>Station 47</v>
      </c>
    </row>
    <row r="63" spans="1:20" ht="12.75">
      <c r="A63" s="23">
        <v>48</v>
      </c>
      <c r="B63" s="3"/>
      <c r="C63" s="3"/>
      <c r="D63" s="3"/>
      <c r="E63" s="104"/>
      <c r="F63" s="104"/>
      <c r="G63" s="104"/>
      <c r="H63" s="104"/>
      <c r="I63" s="3" t="s">
        <v>85</v>
      </c>
      <c r="J63" s="3" t="s">
        <v>8</v>
      </c>
      <c r="O63" s="23">
        <f>IF(Input_Output_Info!E72&lt;&gt;0,IF(ISBLANK(B63),SUM($O$16:O62)+1,0),0)</f>
        <v>0</v>
      </c>
      <c r="P63" s="23">
        <f>IF(Input_Output_Info!$E72&lt;&gt;0,IF(AND(ISBLANK(Generator_Info!C63),ISBLANK(Generator_Info!D63)),SUM(P61:P62)+1,0),0)</f>
        <v>0</v>
      </c>
      <c r="Q63" s="23">
        <f>IF(Input_Output_Info!$E72&lt;&gt;0,IF(J63="Please answer",SUM($Q$16:Q62)+1,0),0)</f>
        <v>0</v>
      </c>
      <c r="R63" s="23">
        <f>IF(OR(Input_Output_Info!AW72="b",Input_Output_Info!AW72="n"),SUM($R$16:R62)+1,0)</f>
        <v>0</v>
      </c>
      <c r="S63" s="23">
        <f t="shared" si="0"/>
        <v>63</v>
      </c>
      <c r="T63" s="23" t="str">
        <f t="shared" si="1"/>
        <v>Station 48</v>
      </c>
    </row>
    <row r="64" spans="1:20" ht="12.75">
      <c r="A64" s="23">
        <v>49</v>
      </c>
      <c r="B64" s="3"/>
      <c r="C64" s="3"/>
      <c r="D64" s="3"/>
      <c r="E64" s="104"/>
      <c r="F64" s="104"/>
      <c r="G64" s="104"/>
      <c r="H64" s="104"/>
      <c r="I64" s="3" t="s">
        <v>85</v>
      </c>
      <c r="J64" s="3" t="s">
        <v>8</v>
      </c>
      <c r="O64" s="23">
        <f>IF(Input_Output_Info!E73&lt;&gt;0,IF(ISBLANK(B64),SUM($O$16:O63)+1,0),0)</f>
        <v>0</v>
      </c>
      <c r="P64" s="23">
        <f>IF(Input_Output_Info!$E73&lt;&gt;0,IF(AND(ISBLANK(Generator_Info!C64),ISBLANK(Generator_Info!D64)),SUM(P62:P63)+1,0),0)</f>
        <v>0</v>
      </c>
      <c r="Q64" s="23">
        <f>IF(Input_Output_Info!$E73&lt;&gt;0,IF(J64="Please answer",SUM($Q$16:Q63)+1,0),0)</f>
        <v>0</v>
      </c>
      <c r="R64" s="23">
        <f>IF(OR(Input_Output_Info!AW73="b",Input_Output_Info!AW73="n"),SUM($R$16:R63)+1,0)</f>
        <v>0</v>
      </c>
      <c r="S64" s="23">
        <f t="shared" si="0"/>
        <v>64</v>
      </c>
      <c r="T64" s="23" t="str">
        <f t="shared" si="1"/>
        <v>Station 49</v>
      </c>
    </row>
    <row r="65" spans="1:20" ht="12.75">
      <c r="A65" s="23">
        <v>50</v>
      </c>
      <c r="B65" s="3"/>
      <c r="C65" s="3"/>
      <c r="D65" s="3"/>
      <c r="E65" s="104"/>
      <c r="F65" s="104"/>
      <c r="G65" s="104"/>
      <c r="H65" s="104"/>
      <c r="I65" s="3" t="s">
        <v>85</v>
      </c>
      <c r="J65" s="3" t="s">
        <v>8</v>
      </c>
      <c r="O65" s="23">
        <f>IF(Input_Output_Info!E74&lt;&gt;0,IF(ISBLANK(B65),SUM($O$16:O64)+1,0),0)</f>
        <v>0</v>
      </c>
      <c r="P65" s="23">
        <f>IF(Input_Output_Info!$E74&lt;&gt;0,IF(AND(ISBLANK(Generator_Info!C65),ISBLANK(Generator_Info!D65)),SUM(P63:P64)+1,0),0)</f>
        <v>0</v>
      </c>
      <c r="Q65" s="23">
        <f>IF(Input_Output_Info!$E74&lt;&gt;0,IF(J65="Please answer",SUM($Q$16:Q64)+1,0),0)</f>
        <v>0</v>
      </c>
      <c r="R65" s="23">
        <f>IF(OR(Input_Output_Info!AW74="b",Input_Output_Info!AW74="n"),SUM($R$16:R64)+1,0)</f>
        <v>0</v>
      </c>
      <c r="S65" s="23">
        <f t="shared" si="0"/>
        <v>65</v>
      </c>
      <c r="T65" s="23" t="str">
        <f t="shared" si="1"/>
        <v>Station 50</v>
      </c>
    </row>
    <row r="66" spans="1:20" ht="12.75">
      <c r="A66" s="23">
        <v>51</v>
      </c>
      <c r="B66" s="3"/>
      <c r="C66" s="3"/>
      <c r="D66" s="3"/>
      <c r="E66" s="104"/>
      <c r="F66" s="104"/>
      <c r="G66" s="104"/>
      <c r="H66" s="104"/>
      <c r="I66" s="3" t="s">
        <v>85</v>
      </c>
      <c r="J66" s="3" t="s">
        <v>8</v>
      </c>
      <c r="O66" s="23">
        <f>IF(Input_Output_Info!E75&lt;&gt;0,IF(ISBLANK(B66),SUM($O$16:O65)+1,0),0)</f>
        <v>0</v>
      </c>
      <c r="P66" s="23">
        <f>IF(Input_Output_Info!$E75&lt;&gt;0,IF(AND(ISBLANK(Generator_Info!C66),ISBLANK(Generator_Info!D66)),SUM(P64:P65)+1,0),0)</f>
        <v>0</v>
      </c>
      <c r="Q66" s="23">
        <f>IF(Input_Output_Info!$E75&lt;&gt;0,IF(J66="Please answer",SUM($Q$16:Q65)+1,0),0)</f>
        <v>0</v>
      </c>
      <c r="R66" s="23">
        <f>IF(OR(Input_Output_Info!AW75="b",Input_Output_Info!AW75="n"),SUM($R$16:R65)+1,0)</f>
        <v>0</v>
      </c>
      <c r="S66" s="23">
        <f t="shared" si="0"/>
        <v>66</v>
      </c>
      <c r="T66" s="23" t="str">
        <f t="shared" si="1"/>
        <v>Station 51</v>
      </c>
    </row>
    <row r="67" spans="1:20" ht="12.75">
      <c r="A67" s="23">
        <v>52</v>
      </c>
      <c r="B67" s="3"/>
      <c r="C67" s="3"/>
      <c r="D67" s="3"/>
      <c r="E67" s="104"/>
      <c r="F67" s="104"/>
      <c r="G67" s="104"/>
      <c r="H67" s="104"/>
      <c r="I67" s="3" t="s">
        <v>85</v>
      </c>
      <c r="J67" s="3" t="s">
        <v>8</v>
      </c>
      <c r="O67" s="23">
        <f>IF(Input_Output_Info!E76&lt;&gt;0,IF(ISBLANK(B67),SUM($O$16:O66)+1,0),0)</f>
        <v>0</v>
      </c>
      <c r="P67" s="23">
        <f>IF(Input_Output_Info!$E76&lt;&gt;0,IF(AND(ISBLANK(Generator_Info!C67),ISBLANK(Generator_Info!D67)),SUM(P65:P66)+1,0),0)</f>
        <v>0</v>
      </c>
      <c r="Q67" s="23">
        <f>IF(Input_Output_Info!$E76&lt;&gt;0,IF(J67="Please answer",SUM($Q$16:Q66)+1,0),0)</f>
        <v>0</v>
      </c>
      <c r="R67" s="23">
        <f>IF(OR(Input_Output_Info!AW76="b",Input_Output_Info!AW76="n"),SUM($R$16:R66)+1,0)</f>
        <v>0</v>
      </c>
      <c r="S67" s="23">
        <f t="shared" si="0"/>
        <v>67</v>
      </c>
      <c r="T67" s="23" t="str">
        <f t="shared" si="1"/>
        <v>Station 52</v>
      </c>
    </row>
    <row r="68" spans="1:20" ht="12.75">
      <c r="A68" s="23">
        <v>53</v>
      </c>
      <c r="B68" s="3"/>
      <c r="C68" s="3"/>
      <c r="D68" s="3"/>
      <c r="E68" s="104"/>
      <c r="F68" s="104"/>
      <c r="G68" s="104"/>
      <c r="H68" s="104"/>
      <c r="I68" s="3" t="s">
        <v>85</v>
      </c>
      <c r="J68" s="3" t="s">
        <v>8</v>
      </c>
      <c r="O68" s="23">
        <f>IF(Input_Output_Info!E77&lt;&gt;0,IF(ISBLANK(B68),SUM($O$16:O67)+1,0),0)</f>
        <v>0</v>
      </c>
      <c r="P68" s="23">
        <f>IF(Input_Output_Info!$E77&lt;&gt;0,IF(AND(ISBLANK(Generator_Info!C68),ISBLANK(Generator_Info!D68)),SUM(P66:P67)+1,0),0)</f>
        <v>0</v>
      </c>
      <c r="Q68" s="23">
        <f>IF(Input_Output_Info!$E77&lt;&gt;0,IF(J68="Please answer",SUM($Q$16:Q67)+1,0),0)</f>
        <v>0</v>
      </c>
      <c r="R68" s="23">
        <f>IF(OR(Input_Output_Info!AW77="b",Input_Output_Info!AW77="n"),SUM($R$16:R67)+1,0)</f>
        <v>0</v>
      </c>
      <c r="S68" s="23">
        <f t="shared" si="0"/>
        <v>68</v>
      </c>
      <c r="T68" s="23" t="str">
        <f t="shared" si="1"/>
        <v>Station 53</v>
      </c>
    </row>
    <row r="69" spans="1:20" ht="12.75">
      <c r="A69" s="23">
        <v>54</v>
      </c>
      <c r="B69" s="3"/>
      <c r="C69" s="3"/>
      <c r="D69" s="3"/>
      <c r="E69" s="104"/>
      <c r="F69" s="104"/>
      <c r="G69" s="104"/>
      <c r="H69" s="104"/>
      <c r="I69" s="3" t="s">
        <v>85</v>
      </c>
      <c r="J69" s="3" t="s">
        <v>8</v>
      </c>
      <c r="O69" s="23">
        <f>IF(Input_Output_Info!E78&lt;&gt;0,IF(ISBLANK(B69),SUM($O$16:O68)+1,0),0)</f>
        <v>0</v>
      </c>
      <c r="P69" s="23">
        <f>IF(Input_Output_Info!$E78&lt;&gt;0,IF(AND(ISBLANK(Generator_Info!C69),ISBLANK(Generator_Info!D69)),SUM(P67:P68)+1,0),0)</f>
        <v>0</v>
      </c>
      <c r="Q69" s="23">
        <f>IF(Input_Output_Info!$E78&lt;&gt;0,IF(J69="Please answer",SUM($Q$16:Q68)+1,0),0)</f>
        <v>0</v>
      </c>
      <c r="R69" s="23">
        <f>IF(OR(Input_Output_Info!AW78="b",Input_Output_Info!AW78="n"),SUM($R$16:R68)+1,0)</f>
        <v>0</v>
      </c>
      <c r="S69" s="23">
        <f t="shared" si="0"/>
        <v>69</v>
      </c>
      <c r="T69" s="23" t="str">
        <f t="shared" si="1"/>
        <v>Station 54</v>
      </c>
    </row>
    <row r="70" spans="1:20" ht="12.75">
      <c r="A70" s="23">
        <v>55</v>
      </c>
      <c r="B70" s="3"/>
      <c r="C70" s="3"/>
      <c r="D70" s="3"/>
      <c r="E70" s="104"/>
      <c r="F70" s="104"/>
      <c r="G70" s="104"/>
      <c r="H70" s="104"/>
      <c r="I70" s="3" t="s">
        <v>85</v>
      </c>
      <c r="J70" s="3" t="s">
        <v>8</v>
      </c>
      <c r="O70" s="23">
        <f>IF(Input_Output_Info!E79&lt;&gt;0,IF(ISBLANK(B70),SUM($O$16:O69)+1,0),0)</f>
        <v>0</v>
      </c>
      <c r="P70" s="23">
        <f>IF(Input_Output_Info!$E79&lt;&gt;0,IF(AND(ISBLANK(Generator_Info!C70),ISBLANK(Generator_Info!D70)),SUM(P68:P69)+1,0),0)</f>
        <v>0</v>
      </c>
      <c r="Q70" s="23">
        <f>IF(Input_Output_Info!$E79&lt;&gt;0,IF(J70="Please answer",SUM($Q$16:Q69)+1,0),0)</f>
        <v>0</v>
      </c>
      <c r="R70" s="23">
        <f>IF(OR(Input_Output_Info!AW79="b",Input_Output_Info!AW79="n"),SUM($R$16:R69)+1,0)</f>
        <v>0</v>
      </c>
      <c r="S70" s="23">
        <f t="shared" si="0"/>
        <v>70</v>
      </c>
      <c r="T70" s="23" t="str">
        <f t="shared" si="1"/>
        <v>Station 55</v>
      </c>
    </row>
    <row r="71" spans="1:20" ht="12.75">
      <c r="A71" s="23">
        <v>56</v>
      </c>
      <c r="B71" s="3"/>
      <c r="C71" s="3"/>
      <c r="D71" s="3"/>
      <c r="E71" s="104"/>
      <c r="F71" s="104"/>
      <c r="G71" s="104"/>
      <c r="H71" s="104"/>
      <c r="I71" s="3" t="s">
        <v>85</v>
      </c>
      <c r="J71" s="3" t="s">
        <v>8</v>
      </c>
      <c r="O71" s="23">
        <f>IF(Input_Output_Info!E80&lt;&gt;0,IF(ISBLANK(B71),SUM($O$16:O70)+1,0),0)</f>
        <v>0</v>
      </c>
      <c r="P71" s="23">
        <f>IF(Input_Output_Info!$E80&lt;&gt;0,IF(AND(ISBLANK(Generator_Info!C71),ISBLANK(Generator_Info!D71)),SUM(P69:P70)+1,0),0)</f>
        <v>0</v>
      </c>
      <c r="Q71" s="23">
        <f>IF(Input_Output_Info!$E80&lt;&gt;0,IF(J71="Please answer",SUM($Q$16:Q70)+1,0),0)</f>
        <v>0</v>
      </c>
      <c r="R71" s="23">
        <f>IF(OR(Input_Output_Info!AW80="b",Input_Output_Info!AW80="n"),SUM($R$16:R70)+1,0)</f>
        <v>0</v>
      </c>
      <c r="S71" s="23">
        <f t="shared" si="0"/>
        <v>71</v>
      </c>
      <c r="T71" s="23" t="str">
        <f t="shared" si="1"/>
        <v>Station 56</v>
      </c>
    </row>
    <row r="72" spans="1:20" ht="12.75">
      <c r="A72" s="23">
        <v>57</v>
      </c>
      <c r="B72" s="3"/>
      <c r="C72" s="3"/>
      <c r="D72" s="3"/>
      <c r="E72" s="104"/>
      <c r="F72" s="104"/>
      <c r="G72" s="104"/>
      <c r="H72" s="104"/>
      <c r="I72" s="3" t="s">
        <v>85</v>
      </c>
      <c r="J72" s="3" t="s">
        <v>8</v>
      </c>
      <c r="O72" s="23">
        <f>IF(Input_Output_Info!E81&lt;&gt;0,IF(ISBLANK(B72),SUM($O$16:O71)+1,0),0)</f>
        <v>0</v>
      </c>
      <c r="P72" s="23">
        <f>IF(Input_Output_Info!$E81&lt;&gt;0,IF(AND(ISBLANK(Generator_Info!C72),ISBLANK(Generator_Info!D72)),SUM(P70:P71)+1,0),0)</f>
        <v>0</v>
      </c>
      <c r="Q72" s="23">
        <f>IF(Input_Output_Info!$E81&lt;&gt;0,IF(J72="Please answer",SUM($Q$16:Q71)+1,0),0)</f>
        <v>0</v>
      </c>
      <c r="R72" s="23">
        <f>IF(OR(Input_Output_Info!AW81="b",Input_Output_Info!AW81="n"),SUM($R$16:R71)+1,0)</f>
        <v>0</v>
      </c>
      <c r="S72" s="23">
        <f t="shared" si="0"/>
        <v>72</v>
      </c>
      <c r="T72" s="23" t="str">
        <f t="shared" si="1"/>
        <v>Station 57</v>
      </c>
    </row>
    <row r="73" spans="1:20" ht="12.75">
      <c r="A73" s="23">
        <v>58</v>
      </c>
      <c r="B73" s="3"/>
      <c r="C73" s="3"/>
      <c r="D73" s="3"/>
      <c r="E73" s="104"/>
      <c r="F73" s="104"/>
      <c r="G73" s="104"/>
      <c r="H73" s="104"/>
      <c r="I73" s="3" t="s">
        <v>85</v>
      </c>
      <c r="J73" s="3" t="s">
        <v>8</v>
      </c>
      <c r="O73" s="23">
        <f>IF(Input_Output_Info!E82&lt;&gt;0,IF(ISBLANK(B73),SUM($O$16:O72)+1,0),0)</f>
        <v>0</v>
      </c>
      <c r="P73" s="23">
        <f>IF(Input_Output_Info!$E82&lt;&gt;0,IF(AND(ISBLANK(Generator_Info!C73),ISBLANK(Generator_Info!D73)),SUM(P71:P72)+1,0),0)</f>
        <v>0</v>
      </c>
      <c r="Q73" s="23">
        <f>IF(Input_Output_Info!$E82&lt;&gt;0,IF(J73="Please answer",SUM($Q$16:Q72)+1,0),0)</f>
        <v>0</v>
      </c>
      <c r="R73" s="23">
        <f>IF(OR(Input_Output_Info!AW82="b",Input_Output_Info!AW82="n"),SUM($R$16:R72)+1,0)</f>
        <v>0</v>
      </c>
      <c r="S73" s="23">
        <f t="shared" si="0"/>
        <v>73</v>
      </c>
      <c r="T73" s="23" t="str">
        <f t="shared" si="1"/>
        <v>Station 58</v>
      </c>
    </row>
    <row r="74" spans="1:20" ht="12.75">
      <c r="A74" s="23">
        <v>59</v>
      </c>
      <c r="B74" s="3"/>
      <c r="C74" s="3"/>
      <c r="D74" s="3"/>
      <c r="E74" s="104"/>
      <c r="F74" s="104"/>
      <c r="G74" s="104"/>
      <c r="H74" s="104"/>
      <c r="I74" s="3" t="s">
        <v>85</v>
      </c>
      <c r="J74" s="3" t="s">
        <v>8</v>
      </c>
      <c r="O74" s="23">
        <f>IF(Input_Output_Info!E83&lt;&gt;0,IF(ISBLANK(B74),SUM($O$16:O73)+1,0),0)</f>
        <v>0</v>
      </c>
      <c r="P74" s="23">
        <f>IF(Input_Output_Info!$E83&lt;&gt;0,IF(AND(ISBLANK(Generator_Info!C74),ISBLANK(Generator_Info!D74)),SUM(P72:P73)+1,0),0)</f>
        <v>0</v>
      </c>
      <c r="Q74" s="23">
        <f>IF(Input_Output_Info!$E83&lt;&gt;0,IF(J74="Please answer",SUM($Q$16:Q73)+1,0),0)</f>
        <v>0</v>
      </c>
      <c r="R74" s="23">
        <f>IF(OR(Input_Output_Info!AW83="b",Input_Output_Info!AW83="n"),SUM($R$16:R73)+1,0)</f>
        <v>0</v>
      </c>
      <c r="S74" s="23">
        <f t="shared" si="0"/>
        <v>74</v>
      </c>
      <c r="T74" s="23" t="str">
        <f t="shared" si="1"/>
        <v>Station 59</v>
      </c>
    </row>
    <row r="75" spans="1:20" ht="12.75">
      <c r="A75" s="23">
        <v>60</v>
      </c>
      <c r="B75" s="3"/>
      <c r="C75" s="3"/>
      <c r="D75" s="3"/>
      <c r="E75" s="104"/>
      <c r="F75" s="104"/>
      <c r="G75" s="104"/>
      <c r="H75" s="104"/>
      <c r="I75" s="3" t="s">
        <v>85</v>
      </c>
      <c r="J75" s="3" t="s">
        <v>8</v>
      </c>
      <c r="O75" s="23">
        <f>IF(Input_Output_Info!E84&lt;&gt;0,IF(ISBLANK(B75),SUM($O$16:O74)+1,0),0)</f>
        <v>0</v>
      </c>
      <c r="P75" s="23">
        <f>IF(Input_Output_Info!$E84&lt;&gt;0,IF(AND(ISBLANK(Generator_Info!C75),ISBLANK(Generator_Info!D75)),SUM(P73:P74)+1,0),0)</f>
        <v>0</v>
      </c>
      <c r="Q75" s="23">
        <f>IF(Input_Output_Info!$E84&lt;&gt;0,IF(J75="Please answer",SUM($Q$16:Q74)+1,0),0)</f>
        <v>0</v>
      </c>
      <c r="R75" s="23">
        <f>IF(OR(Input_Output_Info!AW84="b",Input_Output_Info!AW84="n"),SUM($R$16:R74)+1,0)</f>
        <v>0</v>
      </c>
      <c r="S75" s="23">
        <f t="shared" si="0"/>
        <v>75</v>
      </c>
      <c r="T75" s="23" t="str">
        <f t="shared" si="1"/>
        <v>Station 60</v>
      </c>
    </row>
    <row r="76" spans="1:20" ht="12.75">
      <c r="A76" s="23">
        <v>61</v>
      </c>
      <c r="B76" s="3"/>
      <c r="C76" s="3"/>
      <c r="D76" s="3"/>
      <c r="E76" s="104"/>
      <c r="F76" s="104"/>
      <c r="G76" s="104"/>
      <c r="H76" s="104"/>
      <c r="I76" s="3" t="s">
        <v>85</v>
      </c>
      <c r="J76" s="3" t="s">
        <v>8</v>
      </c>
      <c r="O76" s="23">
        <f>IF(Input_Output_Info!E85&lt;&gt;0,IF(ISBLANK(B76),SUM($O$16:O75)+1,0),0)</f>
        <v>0</v>
      </c>
      <c r="P76" s="23">
        <f>IF(Input_Output_Info!$E85&lt;&gt;0,IF(AND(ISBLANK(Generator_Info!C76),ISBLANK(Generator_Info!D76)),SUM(P74:P75)+1,0),0)</f>
        <v>0</v>
      </c>
      <c r="Q76" s="23">
        <f>IF(Input_Output_Info!$E85&lt;&gt;0,IF(J76="Please answer",SUM($Q$16:Q75)+1,0),0)</f>
        <v>0</v>
      </c>
      <c r="R76" s="23">
        <f>IF(OR(Input_Output_Info!AW85="b",Input_Output_Info!AW85="n"),SUM($R$16:R75)+1,0)</f>
        <v>0</v>
      </c>
      <c r="S76" s="23">
        <f t="shared" si="0"/>
        <v>76</v>
      </c>
      <c r="T76" s="23" t="str">
        <f t="shared" si="1"/>
        <v>Station 61</v>
      </c>
    </row>
    <row r="77" spans="1:20" ht="12.75">
      <c r="A77" s="23">
        <v>62</v>
      </c>
      <c r="B77" s="3"/>
      <c r="C77" s="3"/>
      <c r="D77" s="3"/>
      <c r="E77" s="104"/>
      <c r="F77" s="104"/>
      <c r="G77" s="104"/>
      <c r="H77" s="104"/>
      <c r="I77" s="3" t="s">
        <v>85</v>
      </c>
      <c r="J77" s="3" t="s">
        <v>8</v>
      </c>
      <c r="O77" s="23">
        <f>IF(Input_Output_Info!E86&lt;&gt;0,IF(ISBLANK(B77),SUM($O$16:O76)+1,0),0)</f>
        <v>0</v>
      </c>
      <c r="P77" s="23">
        <f>IF(Input_Output_Info!$E86&lt;&gt;0,IF(AND(ISBLANK(Generator_Info!C77),ISBLANK(Generator_Info!D77)),SUM(P75:P76)+1,0),0)</f>
        <v>0</v>
      </c>
      <c r="Q77" s="23">
        <f>IF(Input_Output_Info!$E86&lt;&gt;0,IF(J77="Please answer",SUM($Q$16:Q76)+1,0),0)</f>
        <v>0</v>
      </c>
      <c r="R77" s="23">
        <f>IF(OR(Input_Output_Info!AW86="b",Input_Output_Info!AW86="n"),SUM($R$16:R76)+1,0)</f>
        <v>0</v>
      </c>
      <c r="S77" s="23">
        <f t="shared" si="0"/>
        <v>77</v>
      </c>
      <c r="T77" s="23" t="str">
        <f t="shared" si="1"/>
        <v>Station 62</v>
      </c>
    </row>
    <row r="78" spans="1:20" ht="12.75">
      <c r="A78" s="23">
        <v>63</v>
      </c>
      <c r="B78" s="3"/>
      <c r="C78" s="3"/>
      <c r="D78" s="3"/>
      <c r="E78" s="104"/>
      <c r="F78" s="104"/>
      <c r="G78" s="104"/>
      <c r="H78" s="104"/>
      <c r="I78" s="3" t="s">
        <v>85</v>
      </c>
      <c r="J78" s="3" t="s">
        <v>8</v>
      </c>
      <c r="O78" s="23">
        <f>IF(Input_Output_Info!E87&lt;&gt;0,IF(ISBLANK(B78),SUM($O$16:O77)+1,0),0)</f>
        <v>0</v>
      </c>
      <c r="P78" s="23">
        <f>IF(Input_Output_Info!$E87&lt;&gt;0,IF(AND(ISBLANK(Generator_Info!C78),ISBLANK(Generator_Info!D78)),SUM(P76:P77)+1,0),0)</f>
        <v>0</v>
      </c>
      <c r="Q78" s="23">
        <f>IF(Input_Output_Info!$E87&lt;&gt;0,IF(J78="Please answer",SUM($Q$16:Q77)+1,0),0)</f>
        <v>0</v>
      </c>
      <c r="R78" s="23">
        <f>IF(OR(Input_Output_Info!AW87="b",Input_Output_Info!AW87="n"),SUM($R$16:R77)+1,0)</f>
        <v>0</v>
      </c>
      <c r="S78" s="23">
        <f t="shared" si="0"/>
        <v>78</v>
      </c>
      <c r="T78" s="23" t="str">
        <f t="shared" si="1"/>
        <v>Station 63</v>
      </c>
    </row>
    <row r="79" spans="1:20" ht="12.75">
      <c r="A79" s="23">
        <v>64</v>
      </c>
      <c r="B79" s="3"/>
      <c r="C79" s="3"/>
      <c r="D79" s="3"/>
      <c r="E79" s="104"/>
      <c r="F79" s="104"/>
      <c r="G79" s="104"/>
      <c r="H79" s="104"/>
      <c r="I79" s="3" t="s">
        <v>85</v>
      </c>
      <c r="J79" s="3" t="s">
        <v>8</v>
      </c>
      <c r="O79" s="23">
        <f>IF(Input_Output_Info!E88&lt;&gt;0,IF(ISBLANK(B79),SUM($O$16:O78)+1,0),0)</f>
        <v>0</v>
      </c>
      <c r="P79" s="23">
        <f>IF(Input_Output_Info!$E88&lt;&gt;0,IF(AND(ISBLANK(Generator_Info!C79),ISBLANK(Generator_Info!D79)),SUM(P77:P78)+1,0),0)</f>
        <v>0</v>
      </c>
      <c r="Q79" s="23">
        <f>IF(Input_Output_Info!$E88&lt;&gt;0,IF(J79="Please answer",SUM($Q$16:Q78)+1,0),0)</f>
        <v>0</v>
      </c>
      <c r="R79" s="23">
        <f>IF(OR(Input_Output_Info!AW88="b",Input_Output_Info!AW88="n"),SUM($R$16:R78)+1,0)</f>
        <v>0</v>
      </c>
      <c r="S79" s="23">
        <f t="shared" si="0"/>
        <v>79</v>
      </c>
      <c r="T79" s="23" t="str">
        <f t="shared" si="1"/>
        <v>Station 64</v>
      </c>
    </row>
    <row r="80" spans="1:20" ht="12.75">
      <c r="A80" s="23">
        <v>65</v>
      </c>
      <c r="B80" s="3"/>
      <c r="C80" s="3"/>
      <c r="D80" s="3"/>
      <c r="E80" s="104"/>
      <c r="F80" s="104"/>
      <c r="G80" s="104"/>
      <c r="H80" s="104"/>
      <c r="I80" s="3" t="s">
        <v>85</v>
      </c>
      <c r="J80" s="3" t="s">
        <v>8</v>
      </c>
      <c r="O80" s="23">
        <f>IF(Input_Output_Info!E89&lt;&gt;0,IF(ISBLANK(B80),SUM($O$16:O79)+1,0),0)</f>
        <v>0</v>
      </c>
      <c r="P80" s="23">
        <f>IF(Input_Output_Info!$E89&lt;&gt;0,IF(AND(ISBLANK(Generator_Info!C80),ISBLANK(Generator_Info!D80)),SUM(P78:P79)+1,0),0)</f>
        <v>0</v>
      </c>
      <c r="Q80" s="23">
        <f>IF(Input_Output_Info!$E89&lt;&gt;0,IF(J80="Please answer",SUM($Q$16:Q79)+1,0),0)</f>
        <v>0</v>
      </c>
      <c r="R80" s="23">
        <f>IF(OR(Input_Output_Info!AW89="b",Input_Output_Info!AW89="n"),SUM($R$16:R79)+1,0)</f>
        <v>0</v>
      </c>
      <c r="S80" s="23">
        <f t="shared" si="0"/>
        <v>80</v>
      </c>
      <c r="T80" s="23" t="str">
        <f t="shared" si="1"/>
        <v>Station 65</v>
      </c>
    </row>
    <row r="81" spans="1:20" ht="12.75">
      <c r="A81" s="23">
        <v>66</v>
      </c>
      <c r="B81" s="3"/>
      <c r="C81" s="3"/>
      <c r="D81" s="3"/>
      <c r="E81" s="104"/>
      <c r="F81" s="104"/>
      <c r="G81" s="104"/>
      <c r="H81" s="104"/>
      <c r="I81" s="3" t="s">
        <v>85</v>
      </c>
      <c r="J81" s="3" t="s">
        <v>8</v>
      </c>
      <c r="O81" s="23">
        <f>IF(Input_Output_Info!E90&lt;&gt;0,IF(ISBLANK(B81),SUM($O$16:O80)+1,0),0)</f>
        <v>0</v>
      </c>
      <c r="P81" s="23">
        <f>IF(Input_Output_Info!$E90&lt;&gt;0,IF(AND(ISBLANK(Generator_Info!C81),ISBLANK(Generator_Info!D81)),SUM(P79:P80)+1,0),0)</f>
        <v>0</v>
      </c>
      <c r="Q81" s="23">
        <f>IF(Input_Output_Info!$E90&lt;&gt;0,IF(J81="Please answer",SUM($Q$16:Q80)+1,0),0)</f>
        <v>0</v>
      </c>
      <c r="R81" s="23">
        <f>IF(OR(Input_Output_Info!AW90="b",Input_Output_Info!AW90="n"),SUM($R$16:R80)+1,0)</f>
        <v>0</v>
      </c>
      <c r="S81" s="23">
        <f aca="true" t="shared" si="2" ref="S81:S95">ROW(B81)</f>
        <v>81</v>
      </c>
      <c r="T81" s="23" t="str">
        <f aca="true" t="shared" si="3" ref="T81:T95">IF(ISBLANK(B81),"Station "&amp;A81,B81)</f>
        <v>Station 66</v>
      </c>
    </row>
    <row r="82" spans="1:20" ht="12.75">
      <c r="A82" s="23">
        <v>67</v>
      </c>
      <c r="B82" s="3"/>
      <c r="C82" s="3"/>
      <c r="D82" s="3"/>
      <c r="E82" s="104"/>
      <c r="F82" s="104"/>
      <c r="G82" s="104"/>
      <c r="H82" s="104"/>
      <c r="I82" s="3" t="s">
        <v>85</v>
      </c>
      <c r="J82" s="3" t="s">
        <v>8</v>
      </c>
      <c r="O82" s="23">
        <f>IF(Input_Output_Info!E91&lt;&gt;0,IF(ISBLANK(B82),SUM($O$16:O81)+1,0),0)</f>
        <v>0</v>
      </c>
      <c r="P82" s="23">
        <f>IF(Input_Output_Info!$E91&lt;&gt;0,IF(AND(ISBLANK(Generator_Info!C82),ISBLANK(Generator_Info!D82)),SUM(P80:P81)+1,0),0)</f>
        <v>0</v>
      </c>
      <c r="Q82" s="23">
        <f>IF(Input_Output_Info!$E91&lt;&gt;0,IF(J82="Please answer",SUM($Q$16:Q81)+1,0),0)</f>
        <v>0</v>
      </c>
      <c r="R82" s="23">
        <f>IF(OR(Input_Output_Info!AW91="b",Input_Output_Info!AW91="n"),SUM($R$16:R81)+1,0)</f>
        <v>0</v>
      </c>
      <c r="S82" s="23">
        <f t="shared" si="2"/>
        <v>82</v>
      </c>
      <c r="T82" s="23" t="str">
        <f t="shared" si="3"/>
        <v>Station 67</v>
      </c>
    </row>
    <row r="83" spans="1:20" ht="12.75">
      <c r="A83" s="23">
        <v>68</v>
      </c>
      <c r="B83" s="3"/>
      <c r="C83" s="3"/>
      <c r="D83" s="3"/>
      <c r="E83" s="104"/>
      <c r="F83" s="104"/>
      <c r="G83" s="104"/>
      <c r="H83" s="104"/>
      <c r="I83" s="3" t="s">
        <v>85</v>
      </c>
      <c r="J83" s="3" t="s">
        <v>8</v>
      </c>
      <c r="O83" s="23">
        <f>IF(Input_Output_Info!E92&lt;&gt;0,IF(ISBLANK(B83),SUM($O$16:O82)+1,0),0)</f>
        <v>0</v>
      </c>
      <c r="P83" s="23">
        <f>IF(Input_Output_Info!$E92&lt;&gt;0,IF(AND(ISBLANK(Generator_Info!C83),ISBLANK(Generator_Info!D83)),SUM(P81:P82)+1,0),0)</f>
        <v>0</v>
      </c>
      <c r="Q83" s="23">
        <f>IF(Input_Output_Info!$E92&lt;&gt;0,IF(J83="Please answer",SUM($Q$16:Q82)+1,0),0)</f>
        <v>0</v>
      </c>
      <c r="R83" s="23">
        <f>IF(OR(Input_Output_Info!AW92="b",Input_Output_Info!AW92="n"),SUM($R$16:R82)+1,0)</f>
        <v>0</v>
      </c>
      <c r="S83" s="23">
        <f t="shared" si="2"/>
        <v>83</v>
      </c>
      <c r="T83" s="23" t="str">
        <f t="shared" si="3"/>
        <v>Station 68</v>
      </c>
    </row>
    <row r="84" spans="1:20" ht="12.75">
      <c r="A84" s="23">
        <v>69</v>
      </c>
      <c r="B84" s="3"/>
      <c r="C84" s="3"/>
      <c r="D84" s="3"/>
      <c r="E84" s="104"/>
      <c r="F84" s="104"/>
      <c r="G84" s="104"/>
      <c r="H84" s="104"/>
      <c r="I84" s="3" t="s">
        <v>85</v>
      </c>
      <c r="J84" s="3" t="s">
        <v>8</v>
      </c>
      <c r="O84" s="23">
        <f>IF(Input_Output_Info!E93&lt;&gt;0,IF(ISBLANK(B84),SUM($O$16:O83)+1,0),0)</f>
        <v>0</v>
      </c>
      <c r="P84" s="23">
        <f>IF(Input_Output_Info!$E93&lt;&gt;0,IF(AND(ISBLANK(Generator_Info!C84),ISBLANK(Generator_Info!D84)),SUM(P82:P83)+1,0),0)</f>
        <v>0</v>
      </c>
      <c r="Q84" s="23">
        <f>IF(Input_Output_Info!$E93&lt;&gt;0,IF(J84="Please answer",SUM($Q$16:Q83)+1,0),0)</f>
        <v>0</v>
      </c>
      <c r="R84" s="23">
        <f>IF(OR(Input_Output_Info!AW93="b",Input_Output_Info!AW93="n"),SUM($R$16:R83)+1,0)</f>
        <v>0</v>
      </c>
      <c r="S84" s="23">
        <f t="shared" si="2"/>
        <v>84</v>
      </c>
      <c r="T84" s="23" t="str">
        <f t="shared" si="3"/>
        <v>Station 69</v>
      </c>
    </row>
    <row r="85" spans="1:20" ht="12.75">
      <c r="A85" s="23">
        <v>70</v>
      </c>
      <c r="B85" s="3"/>
      <c r="C85" s="3"/>
      <c r="D85" s="3"/>
      <c r="E85" s="104"/>
      <c r="F85" s="104"/>
      <c r="G85" s="104"/>
      <c r="H85" s="104"/>
      <c r="I85" s="3" t="s">
        <v>85</v>
      </c>
      <c r="J85" s="3" t="s">
        <v>8</v>
      </c>
      <c r="O85" s="23">
        <f>IF(Input_Output_Info!E94&lt;&gt;0,IF(ISBLANK(B85),SUM($O$16:O84)+1,0),0)</f>
        <v>0</v>
      </c>
      <c r="P85" s="23">
        <f>IF(Input_Output_Info!$E94&lt;&gt;0,IF(AND(ISBLANK(Generator_Info!C85),ISBLANK(Generator_Info!D85)),SUM(P83:P84)+1,0),0)</f>
        <v>0</v>
      </c>
      <c r="Q85" s="23">
        <f>IF(Input_Output_Info!$E94&lt;&gt;0,IF(J85="Please answer",SUM($Q$16:Q84)+1,0),0)</f>
        <v>0</v>
      </c>
      <c r="R85" s="23">
        <f>IF(OR(Input_Output_Info!AW94="b",Input_Output_Info!AW94="n"),SUM($R$16:R84)+1,0)</f>
        <v>0</v>
      </c>
      <c r="S85" s="23">
        <f t="shared" si="2"/>
        <v>85</v>
      </c>
      <c r="T85" s="23" t="str">
        <f t="shared" si="3"/>
        <v>Station 70</v>
      </c>
    </row>
    <row r="86" spans="1:20" ht="12.75">
      <c r="A86" s="23">
        <v>71</v>
      </c>
      <c r="B86" s="3"/>
      <c r="C86" s="3"/>
      <c r="D86" s="3"/>
      <c r="E86" s="104"/>
      <c r="F86" s="104"/>
      <c r="G86" s="104"/>
      <c r="H86" s="104"/>
      <c r="I86" s="3" t="s">
        <v>85</v>
      </c>
      <c r="J86" s="3" t="s">
        <v>8</v>
      </c>
      <c r="O86" s="23">
        <f>IF(Input_Output_Info!E95&lt;&gt;0,IF(ISBLANK(B86),SUM($O$16:O85)+1,0),0)</f>
        <v>0</v>
      </c>
      <c r="P86" s="23">
        <f>IF(Input_Output_Info!$E95&lt;&gt;0,IF(AND(ISBLANK(Generator_Info!C86),ISBLANK(Generator_Info!D86)),SUM(P84:P85)+1,0),0)</f>
        <v>0</v>
      </c>
      <c r="Q86" s="23">
        <f>IF(Input_Output_Info!$E95&lt;&gt;0,IF(J86="Please answer",SUM($Q$16:Q85)+1,0),0)</f>
        <v>0</v>
      </c>
      <c r="R86" s="23">
        <f>IF(OR(Input_Output_Info!AW95="b",Input_Output_Info!AW95="n"),SUM($R$16:R85)+1,0)</f>
        <v>0</v>
      </c>
      <c r="S86" s="23">
        <f t="shared" si="2"/>
        <v>86</v>
      </c>
      <c r="T86" s="23" t="str">
        <f t="shared" si="3"/>
        <v>Station 71</v>
      </c>
    </row>
    <row r="87" spans="1:20" ht="12.75">
      <c r="A87" s="23">
        <v>72</v>
      </c>
      <c r="B87" s="3"/>
      <c r="C87" s="3"/>
      <c r="D87" s="3"/>
      <c r="E87" s="104"/>
      <c r="F87" s="104"/>
      <c r="G87" s="104"/>
      <c r="H87" s="104"/>
      <c r="I87" s="3" t="s">
        <v>85</v>
      </c>
      <c r="J87" s="3" t="s">
        <v>8</v>
      </c>
      <c r="O87" s="23">
        <f>IF(Input_Output_Info!E96&lt;&gt;0,IF(ISBLANK(B87),SUM($O$16:O86)+1,0),0)</f>
        <v>0</v>
      </c>
      <c r="P87" s="23">
        <f>IF(Input_Output_Info!$E96&lt;&gt;0,IF(AND(ISBLANK(Generator_Info!C87),ISBLANK(Generator_Info!D87)),SUM(P85:P86)+1,0),0)</f>
        <v>0</v>
      </c>
      <c r="Q87" s="23">
        <f>IF(Input_Output_Info!$E96&lt;&gt;0,IF(J87="Please answer",SUM($Q$16:Q86)+1,0),0)</f>
        <v>0</v>
      </c>
      <c r="R87" s="23">
        <f>IF(OR(Input_Output_Info!AW96="b",Input_Output_Info!AW96="n"),SUM($R$16:R86)+1,0)</f>
        <v>0</v>
      </c>
      <c r="S87" s="23">
        <f t="shared" si="2"/>
        <v>87</v>
      </c>
      <c r="T87" s="23" t="str">
        <f t="shared" si="3"/>
        <v>Station 72</v>
      </c>
    </row>
    <row r="88" spans="1:20" ht="12.75">
      <c r="A88" s="23">
        <v>73</v>
      </c>
      <c r="B88" s="3"/>
      <c r="C88" s="3"/>
      <c r="D88" s="3"/>
      <c r="E88" s="104"/>
      <c r="F88" s="104"/>
      <c r="G88" s="104"/>
      <c r="H88" s="104"/>
      <c r="I88" s="3" t="s">
        <v>85</v>
      </c>
      <c r="J88" s="3" t="s">
        <v>8</v>
      </c>
      <c r="O88" s="23">
        <f>IF(Input_Output_Info!E97&lt;&gt;0,IF(ISBLANK(B88),SUM($O$16:O87)+1,0),0)</f>
        <v>0</v>
      </c>
      <c r="P88" s="23">
        <f>IF(Input_Output_Info!$E97&lt;&gt;0,IF(AND(ISBLANK(Generator_Info!C88),ISBLANK(Generator_Info!D88)),SUM(P86:P87)+1,0),0)</f>
        <v>0</v>
      </c>
      <c r="Q88" s="23">
        <f>IF(Input_Output_Info!$E97&lt;&gt;0,IF(J88="Please answer",SUM($Q$16:Q87)+1,0),0)</f>
        <v>0</v>
      </c>
      <c r="R88" s="23">
        <f>IF(OR(Input_Output_Info!AW97="b",Input_Output_Info!AW97="n"),SUM($R$16:R87)+1,0)</f>
        <v>0</v>
      </c>
      <c r="S88" s="23">
        <f t="shared" si="2"/>
        <v>88</v>
      </c>
      <c r="T88" s="23" t="str">
        <f t="shared" si="3"/>
        <v>Station 73</v>
      </c>
    </row>
    <row r="89" spans="1:20" ht="12.75">
      <c r="A89" s="23">
        <v>74</v>
      </c>
      <c r="B89" s="3"/>
      <c r="C89" s="3"/>
      <c r="D89" s="3"/>
      <c r="E89" s="104"/>
      <c r="F89" s="104"/>
      <c r="G89" s="104"/>
      <c r="H89" s="104"/>
      <c r="I89" s="3" t="s">
        <v>85</v>
      </c>
      <c r="J89" s="3" t="s">
        <v>8</v>
      </c>
      <c r="O89" s="23">
        <f>IF(Input_Output_Info!E98&lt;&gt;0,IF(ISBLANK(B89),SUM($O$16:O88)+1,0),0)</f>
        <v>0</v>
      </c>
      <c r="P89" s="23">
        <f>IF(Input_Output_Info!$E98&lt;&gt;0,IF(AND(ISBLANK(Generator_Info!C89),ISBLANK(Generator_Info!D89)),SUM(P87:P88)+1,0),0)</f>
        <v>0</v>
      </c>
      <c r="Q89" s="23">
        <f>IF(Input_Output_Info!$E98&lt;&gt;0,IF(J89="Please answer",SUM($Q$16:Q88)+1,0),0)</f>
        <v>0</v>
      </c>
      <c r="R89" s="23">
        <f>IF(OR(Input_Output_Info!AW98="b",Input_Output_Info!AW98="n"),SUM($R$16:R88)+1,0)</f>
        <v>0</v>
      </c>
      <c r="S89" s="23">
        <f t="shared" si="2"/>
        <v>89</v>
      </c>
      <c r="T89" s="23" t="str">
        <f t="shared" si="3"/>
        <v>Station 74</v>
      </c>
    </row>
    <row r="90" spans="1:20" ht="12.75">
      <c r="A90" s="23">
        <v>75</v>
      </c>
      <c r="B90" s="3"/>
      <c r="C90" s="3"/>
      <c r="D90" s="3"/>
      <c r="E90" s="104"/>
      <c r="F90" s="104"/>
      <c r="G90" s="104"/>
      <c r="H90" s="104"/>
      <c r="I90" s="3" t="s">
        <v>85</v>
      </c>
      <c r="J90" s="3" t="s">
        <v>8</v>
      </c>
      <c r="O90" s="23">
        <f>IF(Input_Output_Info!E99&lt;&gt;0,IF(ISBLANK(B90),SUM($O$16:O89)+1,0),0)</f>
        <v>0</v>
      </c>
      <c r="P90" s="23">
        <f>IF(Input_Output_Info!$E99&lt;&gt;0,IF(AND(ISBLANK(Generator_Info!C90),ISBLANK(Generator_Info!D90)),SUM(P88:P89)+1,0),0)</f>
        <v>0</v>
      </c>
      <c r="Q90" s="23">
        <f>IF(Input_Output_Info!$E99&lt;&gt;0,IF(J90="Please answer",SUM($Q$16:Q89)+1,0),0)</f>
        <v>0</v>
      </c>
      <c r="R90" s="23">
        <f>IF(OR(Input_Output_Info!AW99="b",Input_Output_Info!AW99="n"),SUM($R$16:R89)+1,0)</f>
        <v>0</v>
      </c>
      <c r="S90" s="23">
        <f t="shared" si="2"/>
        <v>90</v>
      </c>
      <c r="T90" s="23" t="str">
        <f t="shared" si="3"/>
        <v>Station 75</v>
      </c>
    </row>
    <row r="91" spans="1:20" ht="12.75">
      <c r="A91" s="23">
        <v>76</v>
      </c>
      <c r="B91" s="3"/>
      <c r="C91" s="3"/>
      <c r="D91" s="3"/>
      <c r="E91" s="104"/>
      <c r="F91" s="104"/>
      <c r="G91" s="104"/>
      <c r="H91" s="104"/>
      <c r="I91" s="3" t="s">
        <v>85</v>
      </c>
      <c r="J91" s="3" t="s">
        <v>8</v>
      </c>
      <c r="O91" s="23">
        <f>IF(Input_Output_Info!E100&lt;&gt;0,IF(ISBLANK(B91),SUM($O$16:O90)+1,0),0)</f>
        <v>0</v>
      </c>
      <c r="P91" s="23">
        <f>IF(Input_Output_Info!$E100&lt;&gt;0,IF(AND(ISBLANK(Generator_Info!C91),ISBLANK(Generator_Info!D91)),SUM(P89:P90)+1,0),0)</f>
        <v>0</v>
      </c>
      <c r="Q91" s="23">
        <f>IF(Input_Output_Info!$E100&lt;&gt;0,IF(J91="Please answer",SUM($Q$16:Q90)+1,0),0)</f>
        <v>0</v>
      </c>
      <c r="R91" s="23">
        <f>IF(OR(Input_Output_Info!AW100="b",Input_Output_Info!AW100="n"),SUM($R$16:R90)+1,0)</f>
        <v>0</v>
      </c>
      <c r="S91" s="23">
        <f t="shared" si="2"/>
        <v>91</v>
      </c>
      <c r="T91" s="23" t="str">
        <f t="shared" si="3"/>
        <v>Station 76</v>
      </c>
    </row>
    <row r="92" spans="1:20" ht="12.75">
      <c r="A92" s="23">
        <v>77</v>
      </c>
      <c r="B92" s="3"/>
      <c r="C92" s="3"/>
      <c r="D92" s="3"/>
      <c r="E92" s="104"/>
      <c r="F92" s="104"/>
      <c r="G92" s="104"/>
      <c r="H92" s="104"/>
      <c r="I92" s="3" t="s">
        <v>85</v>
      </c>
      <c r="J92" s="3" t="s">
        <v>8</v>
      </c>
      <c r="O92" s="23">
        <f>IF(Input_Output_Info!E101&lt;&gt;0,IF(ISBLANK(B92),SUM($O$16:O91)+1,0),0)</f>
        <v>0</v>
      </c>
      <c r="P92" s="23">
        <f>IF(Input_Output_Info!$E101&lt;&gt;0,IF(AND(ISBLANK(Generator_Info!C92),ISBLANK(Generator_Info!D92)),SUM(P90:P91)+1,0),0)</f>
        <v>0</v>
      </c>
      <c r="Q92" s="23">
        <f>IF(Input_Output_Info!$E101&lt;&gt;0,IF(J92="Please answer",SUM($Q$16:Q91)+1,0),0)</f>
        <v>0</v>
      </c>
      <c r="R92" s="23">
        <f>IF(OR(Input_Output_Info!AW101="b",Input_Output_Info!AW101="n"),SUM($R$16:R91)+1,0)</f>
        <v>0</v>
      </c>
      <c r="S92" s="23">
        <f t="shared" si="2"/>
        <v>92</v>
      </c>
      <c r="T92" s="23" t="str">
        <f t="shared" si="3"/>
        <v>Station 77</v>
      </c>
    </row>
    <row r="93" spans="1:20" ht="12.75">
      <c r="A93" s="23">
        <v>78</v>
      </c>
      <c r="B93" s="3"/>
      <c r="C93" s="3"/>
      <c r="D93" s="3"/>
      <c r="E93" s="104"/>
      <c r="F93" s="104"/>
      <c r="G93" s="104"/>
      <c r="H93" s="104"/>
      <c r="I93" s="3" t="s">
        <v>85</v>
      </c>
      <c r="J93" s="3" t="s">
        <v>8</v>
      </c>
      <c r="O93" s="23">
        <f>IF(Input_Output_Info!E102&lt;&gt;0,IF(ISBLANK(B93),SUM($O$16:O92)+1,0),0)</f>
        <v>0</v>
      </c>
      <c r="P93" s="23">
        <f>IF(Input_Output_Info!$E102&lt;&gt;0,IF(AND(ISBLANK(Generator_Info!C93),ISBLANK(Generator_Info!D93)),SUM(P91:P92)+1,0),0)</f>
        <v>0</v>
      </c>
      <c r="Q93" s="23">
        <f>IF(Input_Output_Info!$E102&lt;&gt;0,IF(J93="Please answer",SUM($Q$16:Q92)+1,0),0)</f>
        <v>0</v>
      </c>
      <c r="R93" s="23">
        <f>IF(OR(Input_Output_Info!AW102="b",Input_Output_Info!AW102="n"),SUM($R$16:R92)+1,0)</f>
        <v>0</v>
      </c>
      <c r="S93" s="23">
        <f t="shared" si="2"/>
        <v>93</v>
      </c>
      <c r="T93" s="23" t="str">
        <f t="shared" si="3"/>
        <v>Station 78</v>
      </c>
    </row>
    <row r="94" spans="1:20" ht="12.75">
      <c r="A94" s="23">
        <v>79</v>
      </c>
      <c r="B94" s="3"/>
      <c r="C94" s="3"/>
      <c r="D94" s="3"/>
      <c r="E94" s="104"/>
      <c r="F94" s="104"/>
      <c r="G94" s="104"/>
      <c r="H94" s="104"/>
      <c r="I94" s="3" t="s">
        <v>85</v>
      </c>
      <c r="J94" s="3" t="s">
        <v>8</v>
      </c>
      <c r="O94" s="23">
        <f>IF(Input_Output_Info!E103&lt;&gt;0,IF(ISBLANK(B94),SUM($O$16:O93)+1,0),0)</f>
        <v>0</v>
      </c>
      <c r="P94" s="23">
        <f>IF(Input_Output_Info!$E103&lt;&gt;0,IF(AND(ISBLANK(Generator_Info!C94),ISBLANK(Generator_Info!D94)),SUM(P92:P93)+1,0),0)</f>
        <v>0</v>
      </c>
      <c r="Q94" s="23">
        <f>IF(Input_Output_Info!$E103&lt;&gt;0,IF(J94="Please answer",SUM($Q$16:Q93)+1,0),0)</f>
        <v>0</v>
      </c>
      <c r="R94" s="23">
        <f>IF(OR(Input_Output_Info!AW103="b",Input_Output_Info!AW103="n"),SUM($R$16:R93)+1,0)</f>
        <v>0</v>
      </c>
      <c r="S94" s="23">
        <f t="shared" si="2"/>
        <v>94</v>
      </c>
      <c r="T94" s="23" t="str">
        <f t="shared" si="3"/>
        <v>Station 79</v>
      </c>
    </row>
    <row r="95" spans="1:20" ht="12.75">
      <c r="A95" s="23">
        <v>80</v>
      </c>
      <c r="B95" s="3"/>
      <c r="C95" s="3"/>
      <c r="D95" s="3"/>
      <c r="E95" s="104"/>
      <c r="F95" s="104"/>
      <c r="G95" s="104"/>
      <c r="H95" s="104"/>
      <c r="I95" s="3" t="s">
        <v>85</v>
      </c>
      <c r="J95" s="3" t="s">
        <v>8</v>
      </c>
      <c r="O95" s="23">
        <f>IF(Input_Output_Info!E104&lt;&gt;0,IF(ISBLANK(B95),SUM($O$16:O94)+1,0),0)</f>
        <v>0</v>
      </c>
      <c r="P95" s="23">
        <f>IF(Input_Output_Info!$E104&lt;&gt;0,IF(AND(ISBLANK(Generator_Info!C95),ISBLANK(Generator_Info!D95)),SUM(P93:P94)+1,0),0)</f>
        <v>0</v>
      </c>
      <c r="Q95" s="23">
        <f>IF(Input_Output_Info!$E104&lt;&gt;0,IF(J95="Please answer",SUM($Q$16:Q94)+1,0),0)</f>
        <v>0</v>
      </c>
      <c r="R95" s="23">
        <f>IF(OR(Input_Output_Info!AW104="b",Input_Output_Info!AW104="n"),SUM($R$16:R94)+1,0)</f>
        <v>0</v>
      </c>
      <c r="S95" s="23">
        <f t="shared" si="2"/>
        <v>95</v>
      </c>
      <c r="T95" s="23" t="str">
        <f t="shared" si="3"/>
        <v>Station 80</v>
      </c>
    </row>
    <row r="96" spans="14:18" ht="12.75">
      <c r="N96" s="22" t="s">
        <v>183</v>
      </c>
      <c r="O96" s="22">
        <v>5</v>
      </c>
      <c r="P96" s="22">
        <f>O96-1</f>
        <v>4</v>
      </c>
      <c r="Q96" s="22">
        <f>P96-1</f>
        <v>3</v>
      </c>
      <c r="R96" s="22">
        <f>Q96-1</f>
        <v>2</v>
      </c>
    </row>
    <row r="97" spans="14:18" ht="12.75">
      <c r="N97" s="22" t="s">
        <v>184</v>
      </c>
      <c r="O97" s="22" t="s">
        <v>185</v>
      </c>
      <c r="P97" s="22" t="s">
        <v>193</v>
      </c>
      <c r="Q97" s="22" t="s">
        <v>186</v>
      </c>
      <c r="R97" s="22" t="s">
        <v>199</v>
      </c>
    </row>
    <row r="98" spans="15:18" ht="12.75">
      <c r="O98" s="22">
        <f>IF(ISERROR(VLOOKUP(1,$O$16:$S$95,O$96,FALSE)),"",O$97&amp;(VLOOKUP(1,$O$16:$S$95,O$96,FALSE))&amp;" ")</f>
      </c>
      <c r="P98" s="22">
        <f>IF(ISERROR(VLOOKUP(1,$P$16:$S$95,P$96,FALSE)),"",R$97&amp;(VLOOKUP(1,$P$16:$S$95,P$96,FALSE))&amp;" "&amp;P$97&amp;(VLOOKUP(1,$P$16:$S$95,P$96,FALSE))&amp;" ")</f>
      </c>
      <c r="Q98" s="22">
        <f>IF(ISERROR(VLOOKUP(1,$Q$16:$S$95,Q$96,FALSE)),"",Q$97&amp;(VLOOKUP(1,$Q$16:$S$95,Q$96,FALSE))&amp;" ")</f>
      </c>
      <c r="R98" s="22">
        <f>IF(ISERROR(VLOOKUP(1,$R$16:$S$95,R$96,FALSE)),"",R$97&amp;(VLOOKUP(1,$R$16:$S$95,R$96,FALSE))&amp;" ")</f>
      </c>
    </row>
    <row r="99" spans="15:18" ht="12.75">
      <c r="O99" s="22">
        <f>IF(ISERROR(VLOOKUP(2,$O$16:$S$95,O$96,FALSE)),"",O$97&amp;(VLOOKUP(2,$O$16:$S$95,O$96,FALSE))&amp;" ")</f>
      </c>
      <c r="P99" s="22">
        <f>IF(ISERROR(VLOOKUP(2,$P$16:$S$95,P$96,FALSE)),"",R$97&amp;(VLOOKUP(2,$P$16:$S$95,P$96,FALSE))&amp;" "&amp;P$97&amp;(VLOOKUP(2,$P$16:$S$95,P$96,FALSE))&amp;" ")</f>
      </c>
      <c r="Q99" s="22">
        <f>IF(ISERROR(VLOOKUP(2,$Q$16:$S$95,Q$96,FALSE)),"",Q$97&amp;(VLOOKUP(2,$Q$16:$S$95,Q$96,FALSE))&amp;" ")</f>
      </c>
      <c r="R99" s="22">
        <f>IF(ISERROR(VLOOKUP(2,$R$16:$S$95,R$96,FALSE)),"",R$97&amp;(VLOOKUP(2,$R$16:$S$95,R$96,FALSE))&amp;" ")</f>
      </c>
    </row>
    <row r="100" spans="15:18" ht="12.75">
      <c r="O100" s="22">
        <f>IF(ISERROR(VLOOKUP(4,$O$16:$S$95,O$96,FALSE)),"",O$97&amp;(VLOOKUP(4,$O$16:$S$95,O$96,FALSE))&amp;" ")</f>
      </c>
      <c r="P100" s="22">
        <f>IF(ISERROR(VLOOKUP(4,$P$16:$S$95,P$96,FALSE)),"",R$97&amp;(VLOOKUP(4,$P$16:$S$95,P$96,FALSE))&amp;" "&amp;P$97&amp;(VLOOKUP(4,$P$16:$S$95,P$96,FALSE))&amp;" ")</f>
      </c>
      <c r="Q100" s="22">
        <f>IF(ISERROR(VLOOKUP(4,$Q$16:$S$95,Q$96,FALSE)),"",Q$97&amp;(VLOOKUP(4,$Q$16:$S$95,Q$96,FALSE))&amp;" ")</f>
      </c>
      <c r="R100" s="22">
        <f>IF(ISERROR(VLOOKUP(4,$R$16:$S$95,R$96,FALSE)),"",R$97&amp;(VLOOKUP(4,$R$16:$S$95,R$96,FALSE))&amp;" ")</f>
      </c>
    </row>
    <row r="101" spans="15:18" ht="12.75">
      <c r="O101" s="22">
        <f>IF(ISERROR(VLOOKUP(8,$O$16:$S$95,O$96,FALSE)),"",O$97&amp;(VLOOKUP(8,$O$16:$S$95,O$96,FALSE))&amp;" ")</f>
      </c>
      <c r="P101" s="22">
        <f>IF(ISERROR(VLOOKUP(8,$P$16:$S$95,P$96,FALSE)),"",R$97&amp;(VLOOKUP(8,$P$16:$S$95,P$96,FALSE))&amp;" "&amp;P$97&amp;(VLOOKUP(8,$P$16:$S$95,P$96,FALSE))&amp;" ")</f>
      </c>
      <c r="Q101" s="22">
        <f>IF(ISERROR(VLOOKUP(8,$Q$16:$S$95,Q$96,FALSE)),"",Q$97&amp;(VLOOKUP(8,$Q$16:$S$95,Q$96,FALSE))&amp;" ")</f>
      </c>
      <c r="R101" s="22">
        <f>IF(ISERROR(VLOOKUP(8,$R$16:$S$95,R$96,FALSE)),"",R$97&amp;(VLOOKUP(8,$R$16:$S$95,R$96,FALSE))&amp;" ")</f>
      </c>
    </row>
    <row r="102" spans="15:18" ht="12.75">
      <c r="O102" s="22">
        <f>O98&amp;O99&amp;O100&amp;O101</f>
      </c>
      <c r="P102" s="22">
        <f>P98&amp;P99&amp;P100&amp;P101</f>
      </c>
      <c r="Q102" s="22">
        <f>Q98&amp;Q99&amp;Q100&amp;Q101</f>
      </c>
      <c r="R102" s="22">
        <f>R98&amp;R99&amp;R100&amp;R101</f>
      </c>
    </row>
    <row r="103" spans="15:18" ht="12.75">
      <c r="O103" s="22">
        <f>SUM(O16:O95)</f>
        <v>0</v>
      </c>
      <c r="P103" s="22">
        <f>SUM(P16:P95)</f>
        <v>0</v>
      </c>
      <c r="Q103" s="22">
        <f>SUM(Q16:Q95)</f>
        <v>0</v>
      </c>
      <c r="R103" s="22">
        <f>SUM(R16:R95)</f>
        <v>0</v>
      </c>
    </row>
    <row r="104" ht="12.75">
      <c r="P104" s="22">
        <f>IF(ISERROR(VLOOKUP(1,$P$16:$T$95,P$96+1,FALSE)),"",(VLOOKUP(1,$P$16:$T$95,P$96+1,FALSE)))</f>
      </c>
    </row>
    <row r="105" ht="12.75">
      <c r="P105" s="22">
        <f>IF(ISERROR(VLOOKUP(2,$P$16:$T$95,P$96+1,FALSE)),""," and "&amp;(VLOOKUP(2,$P$16:$T$95,P$96+1,FALSE)))</f>
      </c>
    </row>
    <row r="106" ht="12.75">
      <c r="P106" s="22">
        <f>IF(ISERROR(VLOOKUP(4,$P$16:$T$95,P$96+1,FALSE)),""," and "&amp;(VLOOKUP(4,$P$16:$T$95,P$96+1,FALSE)))</f>
      </c>
    </row>
    <row r="107" ht="12.75">
      <c r="P107" s="22">
        <f>IF(ISERROR(VLOOKUP(8,$P$16:$T$95,P$96+1,FALSE)),""," and "&amp;(VLOOKUP(8,$P$16:$T$95,P$96+1,FALSE)))</f>
      </c>
    </row>
    <row r="108" ht="12.75">
      <c r="P108" s="22">
        <f>P104&amp;P105&amp;P106&amp;P107</f>
      </c>
    </row>
  </sheetData>
  <sheetProtection password="8197" sheet="1" objects="1" scenarios="1"/>
  <mergeCells count="1">
    <mergeCell ref="F14:H14"/>
  </mergeCells>
  <dataValidations count="6">
    <dataValidation type="list" allowBlank="1" showInputMessage="1" showErrorMessage="1" sqref="F4">
      <formula1>$L$16:$L$28</formula1>
    </dataValidation>
    <dataValidation type="list" allowBlank="1" showInputMessage="1" showErrorMessage="1" sqref="G4">
      <formula1>$M$16:$M$36</formula1>
    </dataValidation>
    <dataValidation type="list" allowBlank="1" showInputMessage="1" showErrorMessage="1" sqref="J16:J95">
      <formula1>$K$16:$K$20</formula1>
    </dataValidation>
    <dataValidation type="list" allowBlank="1" showInputMessage="1" showErrorMessage="1" sqref="I16:I95">
      <formula1>"Yes, No"</formula1>
    </dataValidation>
    <dataValidation type="textLength" allowBlank="1" showInputMessage="1" showErrorMessage="1" error="This cell will not allow names of longer than 50 characters." sqref="B16:B95">
      <formula1>0</formula1>
      <formula2>50</formula2>
    </dataValidation>
    <dataValidation operator="equal" allowBlank="1" showErrorMessage="1" prompt="&#10;" error="The ID you have entered is not the correct length.  It should be 10 characters long." sqref="C16:D95"/>
  </dataValidations>
  <printOptions/>
  <pageMargins left="0.25" right="0.49" top="0.69" bottom="0.45" header="0.5" footer="0.25"/>
  <pageSetup fitToHeight="4" fitToWidth="1" horizontalDpi="600" verticalDpi="600" orientation="landscape" paperSize="9" scale="73" r:id="rId3"/>
  <headerFooter alignWithMargins="0">
    <oddFooter>&amp;C&amp;F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BW118"/>
  <sheetViews>
    <sheetView tabSelected="1" workbookViewId="0" topLeftCell="P1">
      <pane ySplit="24" topLeftCell="BM25" activePane="bottomLeft" state="frozen"/>
      <selection pane="topLeft" activeCell="A1" sqref="A1"/>
      <selection pane="bottomLeft" activeCell="Q25" sqref="Q25"/>
    </sheetView>
  </sheetViews>
  <sheetFormatPr defaultColWidth="9.00390625" defaultRowHeight="15"/>
  <cols>
    <col min="1" max="1" width="4.875" style="22" customWidth="1"/>
    <col min="2" max="2" width="17.50390625" style="22" customWidth="1"/>
    <col min="3" max="3" width="17.625" style="22" customWidth="1"/>
    <col min="4" max="4" width="14.125" style="22" customWidth="1"/>
    <col min="5" max="5" width="16.75390625" style="22" customWidth="1"/>
    <col min="6" max="7" width="14.875" style="22" customWidth="1"/>
    <col min="8" max="8" width="14.625" style="22" customWidth="1"/>
    <col min="9" max="9" width="15.125" style="22" customWidth="1"/>
    <col min="10" max="10" width="14.875" style="22" customWidth="1"/>
    <col min="11" max="11" width="12.375" style="22" customWidth="1"/>
    <col min="12" max="12" width="13.00390625" style="22" customWidth="1"/>
    <col min="13" max="13" width="14.125" style="22" customWidth="1"/>
    <col min="14" max="14" width="14.50390625" style="22" customWidth="1"/>
    <col min="15" max="15" width="12.625" style="22" customWidth="1"/>
    <col min="16" max="16" width="34.125" style="22" customWidth="1"/>
    <col min="17" max="17" width="18.25390625" style="22" customWidth="1"/>
    <col min="18" max="18" width="12.625" style="22" customWidth="1"/>
    <col min="19" max="19" width="16.25390625" style="22" customWidth="1"/>
    <col min="20" max="20" width="14.50390625" style="22" customWidth="1"/>
    <col min="21" max="21" width="12.625" style="22" customWidth="1"/>
    <col min="22" max="22" width="14.00390625" style="22" customWidth="1"/>
    <col min="23" max="23" width="13.875" style="22" customWidth="1"/>
    <col min="24" max="24" width="12.625" style="22" customWidth="1"/>
    <col min="25" max="25" width="9.00390625" style="22" hidden="1" customWidth="1"/>
    <col min="26" max="26" width="9.625" style="22" hidden="1" customWidth="1"/>
    <col min="27" max="28" width="9.00390625" style="22" hidden="1" customWidth="1"/>
    <col min="29" max="29" width="10.75390625" style="22" hidden="1" customWidth="1"/>
    <col min="30" max="30" width="10.125" style="22" hidden="1" customWidth="1"/>
    <col min="31" max="33" width="9.00390625" style="22" hidden="1" customWidth="1"/>
    <col min="34" max="34" width="13.50390625" style="22" hidden="1" customWidth="1"/>
    <col min="35" max="35" width="37.875" style="22" hidden="1" customWidth="1"/>
    <col min="36" max="46" width="9.00390625" style="22" hidden="1" customWidth="1"/>
    <col min="47" max="47" width="11.375" style="22" hidden="1" customWidth="1"/>
    <col min="48" max="48" width="10.875" style="22" hidden="1" customWidth="1"/>
    <col min="49" max="49" width="10.75390625" style="22" hidden="1" customWidth="1"/>
    <col min="50" max="50" width="10.375" style="22" hidden="1" customWidth="1"/>
    <col min="51" max="54" width="9.00390625" style="22" hidden="1" customWidth="1"/>
    <col min="55" max="55" width="12.25390625" style="22" hidden="1" customWidth="1"/>
    <col min="56" max="56" width="13.25390625" style="22" hidden="1" customWidth="1"/>
    <col min="57" max="57" width="12.625" style="22" hidden="1" customWidth="1"/>
    <col min="58" max="58" width="10.875" style="22" hidden="1" customWidth="1"/>
    <col min="59" max="59" width="12.25390625" style="22" hidden="1" customWidth="1"/>
    <col min="60" max="62" width="11.125" style="22" hidden="1" customWidth="1"/>
    <col min="63" max="63" width="12.625" style="22" hidden="1" customWidth="1"/>
    <col min="64" max="64" width="14.50390625" style="22" hidden="1" customWidth="1"/>
    <col min="65" max="66" width="9.00390625" style="22" hidden="1" customWidth="1"/>
    <col min="67" max="67" width="11.375" style="22" hidden="1" customWidth="1"/>
    <col min="68" max="68" width="10.25390625" style="22" hidden="1" customWidth="1"/>
    <col min="69" max="69" width="11.50390625" style="22" hidden="1" customWidth="1"/>
    <col min="70" max="71" width="12.125" style="22" hidden="1" customWidth="1"/>
    <col min="72" max="72" width="9.00390625" style="22" hidden="1" customWidth="1"/>
    <col min="73" max="73" width="10.375" style="22" hidden="1" customWidth="1"/>
    <col min="74" max="74" width="9.00390625" style="22" hidden="1" customWidth="1"/>
    <col min="75" max="75" width="13.50390625" style="22" hidden="1" customWidth="1"/>
    <col min="76" max="16384" width="9.00390625" style="22" customWidth="1"/>
  </cols>
  <sheetData>
    <row r="1" ht="12.75"/>
    <row r="2" ht="12.75"/>
    <row r="3" spans="2:24" ht="19.5">
      <c r="B3" s="61" t="s">
        <v>30</v>
      </c>
      <c r="C3" s="61"/>
      <c r="E3" s="22" t="s">
        <v>75</v>
      </c>
      <c r="G3" s="58" t="s">
        <v>40</v>
      </c>
      <c r="H3" s="59">
        <v>2007</v>
      </c>
      <c r="N3" s="62" t="s">
        <v>209</v>
      </c>
      <c r="O3" s="67"/>
      <c r="P3" s="67"/>
      <c r="Q3" s="67"/>
      <c r="R3" s="67"/>
      <c r="S3" s="67"/>
      <c r="T3" s="67"/>
      <c r="U3" s="67"/>
      <c r="V3" s="67"/>
      <c r="W3" s="67"/>
      <c r="X3" s="67"/>
    </row>
    <row r="4" ht="12.75"/>
    <row r="5" spans="2:3" ht="12.75">
      <c r="B5" s="64" t="s">
        <v>28</v>
      </c>
      <c r="C5" s="64"/>
    </row>
    <row r="6" spans="2:3" ht="12.75">
      <c r="B6" s="64" t="s">
        <v>58</v>
      </c>
      <c r="C6" s="64"/>
    </row>
    <row r="7" spans="2:3" ht="12.75">
      <c r="B7" s="64" t="s">
        <v>76</v>
      </c>
      <c r="C7" s="64"/>
    </row>
    <row r="8" spans="2:3" ht="12.75">
      <c r="B8" s="64" t="s">
        <v>29</v>
      </c>
      <c r="C8" s="64"/>
    </row>
    <row r="9" spans="2:3" ht="12.75">
      <c r="B9" s="68"/>
      <c r="C9" s="68"/>
    </row>
    <row r="10" spans="2:3" ht="12.75">
      <c r="B10" s="42" t="s">
        <v>211</v>
      </c>
      <c r="C10" s="42"/>
    </row>
    <row r="11" spans="2:3" ht="12.75">
      <c r="B11" s="42" t="s">
        <v>212</v>
      </c>
      <c r="C11" s="42"/>
    </row>
    <row r="12" spans="2:3" ht="12.75">
      <c r="B12" s="41" t="s">
        <v>77</v>
      </c>
      <c r="C12" s="41"/>
    </row>
    <row r="13" ht="12.75">
      <c r="B13" s="22" t="s">
        <v>93</v>
      </c>
    </row>
    <row r="14" spans="2:14" ht="12.75">
      <c r="B14" s="69" t="s">
        <v>94</v>
      </c>
      <c r="C14" s="109" t="s">
        <v>95</v>
      </c>
      <c r="D14" s="110"/>
      <c r="E14" s="70" t="s">
        <v>96</v>
      </c>
      <c r="F14" s="71"/>
      <c r="G14" s="72"/>
      <c r="H14" s="72"/>
      <c r="I14" s="72"/>
      <c r="J14" s="72"/>
      <c r="K14" s="72"/>
      <c r="L14" s="72"/>
      <c r="M14" s="72"/>
      <c r="N14" s="73"/>
    </row>
    <row r="15" spans="2:14" s="78" customFormat="1" ht="16.5" customHeight="1">
      <c r="B15" s="74">
        <f>IF(ISERROR(VLOOKUP(1,$AG$24:$AL$44,2,FALSE)),"",VLOOKUP(1,$AG$24:$AL$44,2,FALSE))</f>
      </c>
      <c r="C15" s="111">
        <f>IF(ISERROR(VLOOKUP(1,$AG$24:$AL$44,5,FALSE)),"",VLOOKUP(1,$AG$24:$AL$44,5,FALSE))</f>
      </c>
      <c r="D15" s="112"/>
      <c r="E15" s="75">
        <f>IF(ISERROR(VLOOKUP(1,$AG$24:$AL$44,6,FALSE)),"",VLOOKUP(1,$AG$24:$AL$44,6,FALSE))</f>
      </c>
      <c r="F15" s="76"/>
      <c r="G15" s="76"/>
      <c r="H15" s="76"/>
      <c r="I15" s="76"/>
      <c r="J15" s="76"/>
      <c r="K15" s="76"/>
      <c r="L15" s="76"/>
      <c r="M15" s="76"/>
      <c r="N15" s="77"/>
    </row>
    <row r="16" spans="2:14" ht="16.5" customHeight="1">
      <c r="B16" s="74">
        <f>IF(ISERROR(VLOOKUP(2,$AG$24:$AL$44,2,FALSE)),"",VLOOKUP(2,$AG$24:$AL$44,2,FALSE))</f>
      </c>
      <c r="C16" s="111">
        <f>IF(ISERROR(VLOOKUP(2,$AG$24:$AL$44,5,FALSE)),"",VLOOKUP(2,$AG$24:$AL$44,5,FALSE))</f>
      </c>
      <c r="D16" s="113"/>
      <c r="E16" s="75">
        <f>IF(ISERROR(VLOOKUP(2,$AG$24:$AL$44,6,FALSE)),"",VLOOKUP(2,$AG$24:$AL$44,6,FALSE))</f>
      </c>
      <c r="F16" s="76"/>
      <c r="G16" s="76"/>
      <c r="H16" s="76"/>
      <c r="I16" s="76"/>
      <c r="J16" s="76"/>
      <c r="K16" s="76"/>
      <c r="L16" s="76"/>
      <c r="M16" s="76"/>
      <c r="N16" s="77"/>
    </row>
    <row r="17" spans="2:14" ht="16.5" customHeight="1">
      <c r="B17" s="74">
        <f>IF(ISERROR(VLOOKUP(3,$AG$24:$AL$44,2,FALSE)),"",VLOOKUP(3,$AG$24:$AL$44,2,FALSE))</f>
      </c>
      <c r="C17" s="111">
        <f>IF(ISERROR(VLOOKUP(3,$AG$24:$AL$44,5,FALSE)),"",VLOOKUP(3,$AG$24:$AL$44,5,FALSE))</f>
      </c>
      <c r="D17" s="113"/>
      <c r="E17" s="75">
        <f>IF(ISERROR(VLOOKUP(3,$AG$24:$AL$44,6,FALSE)),"",VLOOKUP(3,$AG$24:$AL$44,6,FALSE))</f>
      </c>
      <c r="F17" s="76"/>
      <c r="G17" s="76"/>
      <c r="H17" s="76"/>
      <c r="I17" s="76"/>
      <c r="J17" s="76"/>
      <c r="K17" s="76"/>
      <c r="L17" s="76"/>
      <c r="M17" s="76"/>
      <c r="N17" s="77"/>
    </row>
    <row r="18" spans="2:14" ht="16.5" customHeight="1">
      <c r="B18" s="74">
        <f>IF(ISERROR(VLOOKUP(4,$AG$24:$AL$44,2,FALSE)),"",VLOOKUP(4,$AG$24:$AL$44,2,FALSE))</f>
      </c>
      <c r="C18" s="111">
        <f>IF(ISERROR(VLOOKUP(4,$AG$24:$AL$44,5,FALSE)),"",VLOOKUP(4,$AG$24:$AL$44,5,FALSE))</f>
      </c>
      <c r="D18" s="113"/>
      <c r="E18" s="75">
        <f>IF(ISERROR(VLOOKUP(4,$AG$24:$AL$44,6,FALSE)),"",VLOOKUP(4,$AG$24:$AL$44,6,FALSE))</f>
      </c>
      <c r="F18" s="76"/>
      <c r="G18" s="76"/>
      <c r="H18" s="76"/>
      <c r="I18" s="76"/>
      <c r="J18" s="76"/>
      <c r="K18" s="76"/>
      <c r="L18" s="76"/>
      <c r="M18" s="76"/>
      <c r="N18" s="77"/>
    </row>
    <row r="19" spans="2:14" ht="16.5" customHeight="1">
      <c r="B19" s="74">
        <f>IF(ISERROR(VLOOKUP(5,$AG$24:$AL$44,2,FALSE)),"",VLOOKUP(5,$AG$24:$AL$44,2,FALSE))</f>
      </c>
      <c r="C19" s="111">
        <f>IF(ISERROR(VLOOKUP(5,$AG$24:$AL$44,5,FALSE)),"",VLOOKUP(5,$AG$24:$AL$44,5,FALSE))</f>
      </c>
      <c r="D19" s="113"/>
      <c r="E19" s="75">
        <f>IF(ISERROR(VLOOKUP(5,$AG$24:$AL$44,6,FALSE)),"",VLOOKUP(5,$AG$24:$AL$44,6,FALSE))</f>
      </c>
      <c r="F19" s="76"/>
      <c r="G19" s="76"/>
      <c r="H19" s="76"/>
      <c r="I19" s="76"/>
      <c r="J19" s="76"/>
      <c r="K19" s="76"/>
      <c r="L19" s="76"/>
      <c r="M19" s="76"/>
      <c r="N19" s="77"/>
    </row>
    <row r="20" spans="2:14" ht="16.5" customHeight="1">
      <c r="B20" s="79">
        <f>IF(ISERROR(VLOOKUP(6,$AG$24:$AL$44,2,FALSE)),"",VLOOKUP(6,$AG$24:$AL$44,2,FALSE))</f>
      </c>
      <c r="C20" s="117">
        <f>IF(ISERROR(VLOOKUP(6,$AG$24:$AL$44,5,FALSE)),"",VLOOKUP(6,$AG$24:$AL$44,5,FALSE))</f>
      </c>
      <c r="D20" s="118"/>
      <c r="E20" s="80">
        <f>IF(ISERROR(VLOOKUP(6,$AG$24:$AL$44,6,FALSE)),"",VLOOKUP(6,$AG$24:$AL$44,6,FALSE))</f>
      </c>
      <c r="F20" s="81"/>
      <c r="G20" s="81"/>
      <c r="H20" s="81"/>
      <c r="I20" s="81"/>
      <c r="J20" s="81"/>
      <c r="K20" s="81"/>
      <c r="L20" s="81"/>
      <c r="M20" s="81"/>
      <c r="N20" s="82"/>
    </row>
    <row r="21" spans="2:4" ht="12.75">
      <c r="B21" s="83"/>
      <c r="C21" s="83"/>
      <c r="D21" s="83"/>
    </row>
    <row r="22" spans="2:4" ht="12.75">
      <c r="B22" s="83"/>
      <c r="C22" s="83"/>
      <c r="D22" s="83"/>
    </row>
    <row r="23" spans="4:33" ht="12.75">
      <c r="D23" s="106" t="s">
        <v>91</v>
      </c>
      <c r="E23" s="108"/>
      <c r="F23" s="106" t="s">
        <v>92</v>
      </c>
      <c r="G23" s="107"/>
      <c r="H23" s="108"/>
      <c r="N23" s="84">
        <f>AL42</f>
      </c>
      <c r="P23" s="63" t="s">
        <v>207</v>
      </c>
      <c r="W23" s="84" t="str">
        <f>IF(P25="","No co-fired generating stations have been found so this table has been left blank","")</f>
        <v>No co-fired generating stations have been found so this table has been left blank</v>
      </c>
      <c r="AC23" s="22" t="s">
        <v>114</v>
      </c>
      <c r="AG23" s="22" t="s">
        <v>146</v>
      </c>
    </row>
    <row r="24" spans="2:75" ht="45" customHeight="1">
      <c r="B24" s="114" t="s">
        <v>0</v>
      </c>
      <c r="C24" s="115"/>
      <c r="D24" s="4" t="s">
        <v>97</v>
      </c>
      <c r="E24" s="4" t="s">
        <v>98</v>
      </c>
      <c r="F24" s="4" t="s">
        <v>1</v>
      </c>
      <c r="G24" s="4" t="s">
        <v>99</v>
      </c>
      <c r="H24" s="4" t="s">
        <v>2</v>
      </c>
      <c r="I24" s="4" t="s">
        <v>62</v>
      </c>
      <c r="J24" s="4" t="s">
        <v>63</v>
      </c>
      <c r="K24" s="4" t="s">
        <v>101</v>
      </c>
      <c r="L24" s="4" t="s">
        <v>100</v>
      </c>
      <c r="M24" s="46" t="s">
        <v>59</v>
      </c>
      <c r="N24" s="46" t="s">
        <v>60</v>
      </c>
      <c r="O24" s="85"/>
      <c r="P24" s="4" t="s">
        <v>15</v>
      </c>
      <c r="Q24" s="4" t="s">
        <v>200</v>
      </c>
      <c r="R24" s="4" t="s">
        <v>83</v>
      </c>
      <c r="S24" s="4" t="s">
        <v>107</v>
      </c>
      <c r="T24" s="4" t="s">
        <v>108</v>
      </c>
      <c r="U24" s="4" t="s">
        <v>109</v>
      </c>
      <c r="V24" s="4" t="s">
        <v>110</v>
      </c>
      <c r="W24" s="4" t="s">
        <v>111</v>
      </c>
      <c r="X24" s="85"/>
      <c r="AC24" s="4" t="s">
        <v>142</v>
      </c>
      <c r="AD24" s="4" t="s">
        <v>144</v>
      </c>
      <c r="AG24" s="46" t="s">
        <v>147</v>
      </c>
      <c r="AH24" s="47" t="s">
        <v>94</v>
      </c>
      <c r="AI24" s="48" t="s">
        <v>148</v>
      </c>
      <c r="AJ24" s="47" t="s">
        <v>149</v>
      </c>
      <c r="AK24" s="46" t="s">
        <v>150</v>
      </c>
      <c r="AL24" s="47" t="s">
        <v>151</v>
      </c>
      <c r="AV24" s="23" t="s">
        <v>112</v>
      </c>
      <c r="AW24" s="23" t="s">
        <v>113</v>
      </c>
      <c r="AX24" s="23" t="s">
        <v>144</v>
      </c>
      <c r="AY24" s="23" t="s">
        <v>156</v>
      </c>
      <c r="AZ24" s="23" t="s">
        <v>157</v>
      </c>
      <c r="BA24" s="23"/>
      <c r="BB24" s="23" t="s">
        <v>158</v>
      </c>
      <c r="BC24" s="4" t="s">
        <v>83</v>
      </c>
      <c r="BD24" s="4" t="s">
        <v>107</v>
      </c>
      <c r="BE24" s="4" t="s">
        <v>108</v>
      </c>
      <c r="BF24" s="4" t="s">
        <v>109</v>
      </c>
      <c r="BG24" s="4" t="s">
        <v>110</v>
      </c>
      <c r="BH24" s="4" t="s">
        <v>111</v>
      </c>
      <c r="BI24" s="86"/>
      <c r="BJ24" s="86"/>
      <c r="BK24" s="86"/>
      <c r="BL24" s="23"/>
      <c r="BM24" s="23" t="s">
        <v>97</v>
      </c>
      <c r="BN24" s="22" t="s">
        <v>170</v>
      </c>
      <c r="BO24" s="23" t="s">
        <v>187</v>
      </c>
      <c r="BP24" s="23" t="s">
        <v>188</v>
      </c>
      <c r="BQ24" s="23" t="s">
        <v>189</v>
      </c>
      <c r="BR24" s="23" t="s">
        <v>190</v>
      </c>
      <c r="BT24" s="23" t="s">
        <v>191</v>
      </c>
      <c r="BU24" s="23" t="s">
        <v>192</v>
      </c>
      <c r="BV24" s="23" t="s">
        <v>182</v>
      </c>
      <c r="BW24" s="22" t="s">
        <v>15</v>
      </c>
    </row>
    <row r="25" spans="1:75" s="23" customFormat="1" ht="12.75">
      <c r="A25" s="23">
        <v>1</v>
      </c>
      <c r="B25" s="114">
        <f>IF(ISBLANK(Generator_Info!B16),"",Generator_Info!B16)</f>
      </c>
      <c r="C25" s="116"/>
      <c r="D25" s="103" t="s">
        <v>8</v>
      </c>
      <c r="E25" s="44"/>
      <c r="F25" s="44"/>
      <c r="G25" s="44"/>
      <c r="H25" s="44"/>
      <c r="I25" s="87">
        <f>IF(AND(F25+G25+H25&lt;=0.005*E25,Generator_Info!J16&lt;&gt;Generator_Info!$K$19),IF(Generator_Info!I16="No",0,Input_Output_Info!F25),Input_Output_Info!F25+Input_Output_Info!H25+IF(Generator_Info!J16=Generator_Info!$K$18,0,Input_Output_Info!G25))</f>
        <v>0</v>
      </c>
      <c r="J25" s="87">
        <f>IF(Generator_Info!J16=Generator_Info!$K$18,0,Input_Output_Info!G25)+IF(Generator_Info!I16="No",0,Input_Output_Info!F25)</f>
        <v>0</v>
      </c>
      <c r="K25" s="88">
        <f>IF(OR(Fuel_Use!J34=Fuel_Use!$S$25,AND(ISBLANK(Generator_Info!C16),ISBLANK(Generator_Info!B16)=FALSE)),"n/a",IF(SUM(Fuel_Use!D9:H20,Fuel_Use!D27:H30)=0,AX25,Fuel_Use!$J$22))</f>
        <v>1</v>
      </c>
      <c r="L25" s="88">
        <f>IF(OR(AND(ISBLANK(Generator_Info!D16),ISBLANK(Generator_Info!B16)=FALSE),Fuel_Use!J35=Fuel_Use!$S$30,$G$3=$Z$25),"n/a",IF(SUM(Fuel_Use!D9:H20,Fuel_Use!D27:H30)=0,AX25,IF(AND(Fuel_Use!J22&gt;=0.9,Fuel_Use!J35="Yes",Fuel_Use!U21=0),1,Fuel_Use!V21)))</f>
        <v>1</v>
      </c>
      <c r="M25" s="49">
        <f>IF(OR($AJ$43="Yes",Fuel_Use!J34="not claiming ROCs",ISBLANK(Generator_Info!C16)),0,((E25-I25)*IF(K25="n/a",1,K25))/1000)</f>
        <v>0</v>
      </c>
      <c r="N25" s="49">
        <f>IF(OR($G$3=$Z$25,$AJ$44="Yes",Fuel_Use!J35="not claiming LECs",ISBLANK(Generator_Info!D16)),0,((E25-J25)*IF(L25="n/a",1,L25))/1000)</f>
        <v>0</v>
      </c>
      <c r="O25" s="86"/>
      <c r="P25" s="4">
        <f>IF(ISERROR(VLOOKUP(1,$BB$25:$BW$104,22,FALSE)),"",VLOOKUP(1,$BB$25:$BW$104,22,FALSE))</f>
      </c>
      <c r="Q25" s="3"/>
      <c r="R25" s="88">
        <f>IF(ISERROR(VLOOKUP(1,$BB$25:$BN$104,2,FALSE)),"",VLOOKUP(1,$BB$25:$BN$104,2,FALSE))</f>
      </c>
      <c r="S25" s="88">
        <f>IF(ISERROR(VLOOKUP(1,$BB$25:$BN$104,3,FALSE)),"",VLOOKUP(1,$BB$25:$BN$104,3,FALSE))</f>
      </c>
      <c r="T25" s="88">
        <f>IF(ISERROR(VLOOKUP(1,$BB$25:$BN$104,4,FALSE)),"",VLOOKUP(1,$BB$25:$BN$104,4,FALSE))</f>
      </c>
      <c r="U25" s="50">
        <f>IF(ISERROR(VLOOKUP(1,$BB$25:$BN$104,5,FALSE)),"",VLOOKUP(1,$BB$25:$BN$104,5,FALSE))</f>
      </c>
      <c r="V25" s="50">
        <f>IF(ISERROR(VLOOKUP(1,$BB$25:$BN$104,6,FALSE)),"",VLOOKUP(1,$BB$25:$BN$104,6,FALSE))</f>
      </c>
      <c r="W25" s="50">
        <f>IF(ISERROR(VLOOKUP(1,$BB$25:$BN$104,7,FALSE)),"",VLOOKUP(1,$BB$25:$BN$104,7,FALSE))</f>
      </c>
      <c r="X25" s="86"/>
      <c r="Y25" s="43" t="s">
        <v>8</v>
      </c>
      <c r="Z25" s="89" t="s">
        <v>49</v>
      </c>
      <c r="AA25" s="4">
        <v>2007</v>
      </c>
      <c r="AC25" s="4" t="s">
        <v>115</v>
      </c>
      <c r="AD25" s="4">
        <v>1</v>
      </c>
      <c r="AG25" s="90">
        <f>IF(SUM(AG26:AG27)&lt;&gt;0,1,0)</f>
        <v>0</v>
      </c>
      <c r="AH25" s="90" t="s">
        <v>165</v>
      </c>
      <c r="AI25" s="56" t="s">
        <v>173</v>
      </c>
      <c r="AJ25" s="90"/>
      <c r="AK25" s="90">
        <f>IF(OR(AJ26="Many",AJ27="Many"),"Multiple",AK26&amp;AK27)</f>
      </c>
      <c r="AL25" s="90" t="str">
        <f>"Please complete all "&amp;IF(SUM(AG26:AG27)=1,AL26&amp;AL27,IF(SUM(AG26:AG27)=2,AL26&amp;" and "&amp;AL27,""))</f>
        <v>Please complete all </v>
      </c>
      <c r="AV25" s="23">
        <f>RIGHT(Generator_Info!C16,3)</f>
      </c>
      <c r="AW25" s="23" t="str">
        <f>IF(LEN(Generator_Info!C16)=10,LEFT(AV25,1),"Unknown")</f>
        <v>Unknown</v>
      </c>
      <c r="AX25" s="23">
        <f>VLOOKUP(AW25,$AC$25:$AD$51,2)</f>
        <v>1</v>
      </c>
      <c r="AY25" s="23">
        <f>ROUND(M25,0)</f>
        <v>0</v>
      </c>
      <c r="AZ25" s="23">
        <f aca="true" t="shared" si="0" ref="AZ25:AZ88">ROUND(N25,0)</f>
        <v>0</v>
      </c>
      <c r="BB25" s="23">
        <f>IF(OR(AW25="b",AW25="n"),1,0)</f>
        <v>0</v>
      </c>
      <c r="BC25" s="91">
        <f>Fuel_Use!J21</f>
        <v>0</v>
      </c>
      <c r="BD25" s="91">
        <f>BE25-BC25</f>
        <v>1</v>
      </c>
      <c r="BE25" s="91">
        <f aca="true" t="shared" si="1" ref="BE25:BE34">K25</f>
        <v>1</v>
      </c>
      <c r="BF25" s="92">
        <f aca="true" t="shared" si="2" ref="BF25:BF34">IF($AJ$43="yes",0,((E25-I25)*BC25)/1000)</f>
        <v>0</v>
      </c>
      <c r="BG25" s="92">
        <f>ROUND(BH25,0)-ROUND(BF25,0)</f>
        <v>0</v>
      </c>
      <c r="BH25" s="92">
        <f aca="true" t="shared" si="3" ref="BH25:BH34">M25</f>
        <v>0</v>
      </c>
      <c r="BI25" s="92"/>
      <c r="BJ25" s="92"/>
      <c r="BM25" s="23">
        <f>IF($E25&lt;&gt;0,IF(D25="please answer",1,0),0)</f>
        <v>0</v>
      </c>
      <c r="BN25" s="23">
        <f>IF($E25&lt;&gt;0,IF(ISBLANK(F25),1,0),0)</f>
        <v>0</v>
      </c>
      <c r="BO25" s="23">
        <f>IF(AND($E25&lt;&gt;0,ISBLANK(G25)=TRUE,Generator_Info!J16&lt;&gt;Generator_Info!$K$19),1,0)</f>
        <v>0</v>
      </c>
      <c r="BP25" s="23">
        <f>IF($E25&lt;&gt;0,IF(ISBLANK(H25),1,0),0)</f>
        <v>0</v>
      </c>
      <c r="BQ25" s="23">
        <f>IF($E25&lt;I25,1,0)</f>
        <v>0</v>
      </c>
      <c r="BR25" s="23">
        <f>IF($E25&lt;J25,1,0)</f>
        <v>0</v>
      </c>
      <c r="BS25" s="23">
        <v>0</v>
      </c>
      <c r="BT25" s="23">
        <f>IF(AND(SUM(Fuel_Use!$D$9:$H$20,Fuel_Use!$D$27:$H$30)&lt;&gt;0,Fuel_Use!$J$34="please answer",$E25&lt;&gt;0,ISBLANK(Generator_Info!C16)=FALSE),BT$107&amp;ROW(Fuel_Use!J34)&amp;" ","")</f>
      </c>
      <c r="BU25" s="23">
        <f>IF(AND(SUM(Fuel_Use!$D$9:$H$20,Fuel_Use!$D$27:$H$30)&lt;&gt;0,Fuel_Use!$J$35="please answer",$E25&lt;&gt;0,ISBLANK(Generator_Info!D16)=FALSE),BU$107&amp;ROW(Fuel_Use!J35)&amp;" ","")</f>
      </c>
      <c r="BV25" s="23">
        <f>ROW(B25)</f>
        <v>25</v>
      </c>
      <c r="BW25" s="23" t="str">
        <f>IF(ISBLANK(Generator_Info!B16),"Station "&amp;Generator_Info!A16,Generator_Info!B16)</f>
        <v>Station 1</v>
      </c>
    </row>
    <row r="26" spans="1:75" s="23" customFormat="1" ht="12.75">
      <c r="A26" s="23">
        <v>2</v>
      </c>
      <c r="B26" s="114">
        <f>IF(ISBLANK(Generator_Info!B17),"",Generator_Info!B17)</f>
      </c>
      <c r="C26" s="116"/>
      <c r="D26" s="103" t="s">
        <v>8</v>
      </c>
      <c r="E26" s="44"/>
      <c r="F26" s="44"/>
      <c r="G26" s="44"/>
      <c r="H26" s="44"/>
      <c r="I26" s="87">
        <f>IF(AND(F26+G26+H26&lt;=0.005*E26,Generator_Info!J17&lt;&gt;Generator_Info!$K$19),IF(Generator_Info!I17="No",0,Input_Output_Info!F26),Input_Output_Info!F26+Input_Output_Info!H26+IF(Generator_Info!J17=Generator_Info!$K$18,0,Input_Output_Info!G26))</f>
        <v>0</v>
      </c>
      <c r="J26" s="87">
        <f>IF(Generator_Info!J17=Generator_Info!$K$18,0,Input_Output_Info!G26)+IF(Generator_Info!I17="No",0,Input_Output_Info!F26)</f>
        <v>0</v>
      </c>
      <c r="K26" s="88">
        <f>IF(OR(Fuel_Use!J70=Fuel_Use!$S$25,AND(ISBLANK(Generator_Info!C17),ISBLANK(Generator_Info!B17)=FALSE)),"n/a",IF(SUM(Fuel_Use!D45:H56,Fuel_Use!D63:H66)=0,AX26,Fuel_Use!$J$58))</f>
        <v>1</v>
      </c>
      <c r="L26" s="88">
        <f>IF(OR(AND(ISBLANK(Generator_Info!D17),ISBLANK(Generator_Info!B17)=FALSE),Fuel_Use!J71=Fuel_Use!$S$30,$G$3=$Z$25),"n/a",IF(SUM(Fuel_Use!D45:H56,Fuel_Use!D63:H66)=0,AX26,IF(AND(Fuel_Use!J58&gt;=0.9,Fuel_Use!J71="Yes",Fuel_Use!U57=0),1,Fuel_Use!V57)))</f>
        <v>1</v>
      </c>
      <c r="M26" s="49">
        <f>IF(OR($AJ$43="Yes",Fuel_Use!J70="not claiming ROCs",ISBLANK(Generator_Info!C17)),0,((E26-I26)*IF(K26="n/a",1,K26))/1000)</f>
        <v>0</v>
      </c>
      <c r="N26" s="49">
        <f>IF(OR($G$3=$Z$25,$AJ$44="Yes",Fuel_Use!J71="not claiming LECs",ISBLANK(Generator_Info!D17)),0,((E26-J26)*IF(L26="n/a",1,L26))/1000)</f>
        <v>0</v>
      </c>
      <c r="O26" s="86"/>
      <c r="P26" s="4">
        <f>IF(ISERROR(VLOOKUP(2,$BB$25:$BW$104,22,FALSE)),"",VLOOKUP(2,$BB$25:$BW$104,22,FALSE))</f>
      </c>
      <c r="Q26" s="3"/>
      <c r="R26" s="88">
        <f>IF(ISERROR(VLOOKUP(2,$BB$25:$BN$104,2,FALSE)),"",VLOOKUP(2,$BB$25:$BN$104,2,FALSE))</f>
      </c>
      <c r="S26" s="88">
        <f>IF(ISERROR(VLOOKUP(2,$BB$25:$BN$104,3,FALSE)),"",VLOOKUP(2,$BB$25:$BN$104,3,FALSE))</f>
      </c>
      <c r="T26" s="88">
        <f>IF(ISERROR(VLOOKUP(2,$BB$25:$BN$104,4,FALSE)),"",VLOOKUP(2,$BB$25:$BN$104,4,FALSE))</f>
      </c>
      <c r="U26" s="50">
        <f>IF(ISERROR(VLOOKUP(2,$BB$25:$BN$104,5,FALSE)),"",VLOOKUP(2,$BB$25:$BN$104,5,FALSE))</f>
      </c>
      <c r="V26" s="50">
        <f>IF(ISERROR(VLOOKUP(2,$BB$25:$BN$104,6,FALSE)),"",VLOOKUP(2,$BB$25:$BN$104,6,FALSE))</f>
      </c>
      <c r="W26" s="50">
        <f>IF(ISERROR(VLOOKUP(2,$BB$25:$BN$104,7,FALSE)),"",VLOOKUP(2,$BB$25:$BN$104,7,FALSE))</f>
      </c>
      <c r="X26" s="86"/>
      <c r="Y26" s="43" t="s">
        <v>102</v>
      </c>
      <c r="Z26" s="4" t="s">
        <v>37</v>
      </c>
      <c r="AA26" s="4">
        <v>2008</v>
      </c>
      <c r="AC26" s="4" t="s">
        <v>116</v>
      </c>
      <c r="AD26" s="4">
        <v>0</v>
      </c>
      <c r="AG26" s="93">
        <f>IF(AJ26&lt;&gt;"No",1,0)</f>
        <v>0</v>
      </c>
      <c r="AH26" s="89"/>
      <c r="AI26" s="24" t="s">
        <v>166</v>
      </c>
      <c r="AJ26" s="89" t="str">
        <f>IF(Generator_Info!O103=0,"No",IF(Generator_Info!O103&gt;15,"Many","Yes"))</f>
        <v>No</v>
      </c>
      <c r="AK26" s="89">
        <f>Generator_Info!O102</f>
      </c>
      <c r="AL26" s="89">
        <f>IF(AJ26&lt;&gt;"No","generating station names","")</f>
      </c>
      <c r="AV26" s="23">
        <f>RIGHT(Generator_Info!C17,3)</f>
      </c>
      <c r="AW26" s="23" t="str">
        <f>IF(LEN(Generator_Info!C17)=10,LEFT(AV26,1),"Unknown")</f>
        <v>Unknown</v>
      </c>
      <c r="AX26" s="23">
        <f aca="true" t="shared" si="4" ref="AX26:AX89">VLOOKUP(AW26,$AC$25:$AD$51,2)</f>
        <v>1</v>
      </c>
      <c r="AY26" s="23">
        <f aca="true" t="shared" si="5" ref="AY26:AY89">ROUND(M26,0)</f>
        <v>0</v>
      </c>
      <c r="AZ26" s="23">
        <f t="shared" si="0"/>
        <v>0</v>
      </c>
      <c r="BB26" s="23">
        <f>IF(OR(AW26="b",AW26="n"),SUM(BB25)+1,0)</f>
        <v>0</v>
      </c>
      <c r="BC26" s="91">
        <f>Fuel_Use!J57</f>
        <v>0</v>
      </c>
      <c r="BD26" s="91">
        <f aca="true" t="shared" si="6" ref="BD26:BD34">BE26-BC26</f>
        <v>1</v>
      </c>
      <c r="BE26" s="91">
        <f t="shared" si="1"/>
        <v>1</v>
      </c>
      <c r="BF26" s="92">
        <f t="shared" si="2"/>
        <v>0</v>
      </c>
      <c r="BG26" s="92">
        <f aca="true" t="shared" si="7" ref="BG26:BG34">ROUND(BH26,0)-ROUND(BF26,0)</f>
        <v>0</v>
      </c>
      <c r="BH26" s="92">
        <f t="shared" si="3"/>
        <v>0</v>
      </c>
      <c r="BI26" s="92"/>
      <c r="BJ26" s="92"/>
      <c r="BM26" s="23">
        <f>IF(E26&lt;&gt;0,IF(D26="please answer",BM25+1,0),0)</f>
        <v>0</v>
      </c>
      <c r="BN26" s="23">
        <f>IF($E26&lt;&gt;0,IF(ISBLANK(F26),BN25+1,0),0)</f>
        <v>0</v>
      </c>
      <c r="BO26" s="23">
        <f>IF(AND($E26&lt;&gt;0,ISBLANK(G26)=TRUE,Generator_Info!J17&lt;&gt;Generator_Info!$K$19),BO25+1,0)</f>
        <v>0</v>
      </c>
      <c r="BP26" s="23">
        <f>IF($E26&lt;&gt;0,IF(ISBLANK(H26),BP25+1,0),0)</f>
        <v>0</v>
      </c>
      <c r="BQ26" s="23">
        <f>IF($E26&lt;I26,BQ25+1,0)</f>
        <v>0</v>
      </c>
      <c r="BR26" s="23">
        <f>IF($E26&lt;J26,BR25+1,0)</f>
        <v>0</v>
      </c>
      <c r="BS26" s="23">
        <v>0</v>
      </c>
      <c r="BT26" s="23">
        <f>IF(AND(SUM(Fuel_Use!$D$49:$H$56,Fuel_Use!$D$63:$H$66)&lt;&gt;0,Fuel_Use!$J$70="please answer",$E26&lt;&gt;0,ISBLANK(Generator_Info!C17)=FALSE),BT$107&amp;ROW(Fuel_Use!$J$70)&amp;" ","")</f>
      </c>
      <c r="BU26" s="23">
        <f>IF(AND(SUM(Fuel_Use!$D$49:$H$56,Fuel_Use!$D$63:$H$66)&lt;&gt;0,Fuel_Use!$J$71="please answer",$E26&lt;&gt;0,ISBLANK(Generator_Info!D17)=FALSE),BU$107&amp;ROW(Fuel_Use!$J$71)&amp;" ","")</f>
      </c>
      <c r="BV26" s="23">
        <f aca="true" t="shared" si="8" ref="BV26:BV89">ROW(B26)</f>
        <v>26</v>
      </c>
      <c r="BW26" s="23" t="str">
        <f>IF(ISBLANK(Generator_Info!B17),"Station "&amp;Generator_Info!A17,Generator_Info!B17)</f>
        <v>Station 2</v>
      </c>
    </row>
    <row r="27" spans="1:75" s="23" customFormat="1" ht="12.75">
      <c r="A27" s="23">
        <v>3</v>
      </c>
      <c r="B27" s="114">
        <f>IF(ISBLANK(Generator_Info!B18),"",Generator_Info!B18)</f>
      </c>
      <c r="C27" s="116"/>
      <c r="D27" s="103" t="s">
        <v>8</v>
      </c>
      <c r="E27" s="44"/>
      <c r="F27" s="44"/>
      <c r="G27" s="44"/>
      <c r="H27" s="44"/>
      <c r="I27" s="87">
        <f>IF(AND(F27+G27+H27&lt;=0.005*E27,Generator_Info!J18&lt;&gt;Generator_Info!$K$19),IF(Generator_Info!I18="No",0,Input_Output_Info!F27),Input_Output_Info!F27+Input_Output_Info!H27+IF(Generator_Info!J18=Generator_Info!$K$18,0,Input_Output_Info!G27))</f>
        <v>0</v>
      </c>
      <c r="J27" s="87">
        <f>IF(Generator_Info!J18=Generator_Info!$K$18,0,Input_Output_Info!G27)+IF(Generator_Info!I18="No",0,Input_Output_Info!F27)</f>
        <v>0</v>
      </c>
      <c r="K27" s="88">
        <f>IF(OR(AND(ISBLANK(Generator_Info!C18),ISBLANK(Generator_Info!B18)=FALSE),Fuel_Use!J106=Fuel_Use!$S$25),"n/a",IF(SUM(Fuel_Use!D81:H92,Fuel_Use!D99:H102)=0,AX27,Fuel_Use!$J$94))</f>
        <v>1</v>
      </c>
      <c r="L27" s="88">
        <f>IF(OR(AND(ISBLANK(Generator_Info!D18),ISBLANK(Generator_Info!B18)=FALSE),Fuel_Use!J107=Fuel_Use!$S$30,$G$3=$Z$25),"n/a",IF(SUM(Fuel_Use!D81:H92,Fuel_Use!D99:H102)=0,AX27,IF(AND(Fuel_Use!J94&gt;=0.9,Fuel_Use!J107="Yes",Fuel_Use!U93=0),1,Fuel_Use!V93)))</f>
        <v>1</v>
      </c>
      <c r="M27" s="49">
        <f>IF(OR($AJ$43="Yes",Fuel_Use!J106="not claiming ROCs",ISBLANK(Generator_Info!C18)),0,((E27-I27)*IF(K27="n/a",1,K27))/1000)</f>
        <v>0</v>
      </c>
      <c r="N27" s="49">
        <f>IF(OR($G$3=$Z$25,$AJ$44="Yes",Fuel_Use!J107="not claiming LECs",ISBLANK(Generator_Info!D18)),0,((E27-J27)*IF(L27="n/a",1,L27))/1000)</f>
        <v>0</v>
      </c>
      <c r="O27" s="86"/>
      <c r="P27" s="4">
        <f>IF(ISERROR(VLOOKUP(4,$BB$25:$BW$104,22,FALSE)),"",VLOOKUP(4,$BB$25:$BW$104,22,FALSE))</f>
      </c>
      <c r="Q27" s="3"/>
      <c r="R27" s="88">
        <f>IF(ISERROR(VLOOKUP(4,$BB$25:$BN$104,2,FALSE)),"",VLOOKUP(4,$BB$25:$BN$104,2,FALSE))</f>
      </c>
      <c r="S27" s="88">
        <f>IF(ISERROR(VLOOKUP(4,$BB$25:$BN$104,3,FALSE)),"",VLOOKUP(4,$BB$25:$BN$104,3,FALSE))</f>
      </c>
      <c r="T27" s="88">
        <f>IF(ISERROR(VLOOKUP(4,$BB$25:$BN$104,4,FALSE)),"",VLOOKUP(4,$BB$25:$BN$104,4,FALSE))</f>
      </c>
      <c r="U27" s="50">
        <f>IF(ISERROR(VLOOKUP(4,$BB$25:$BN$104,5,FALSE)),"",VLOOKUP(4,$BB$25:$BN$104,5,FALSE))</f>
      </c>
      <c r="V27" s="50">
        <f>IF(ISERROR(VLOOKUP(4,$BB$25:$BN$104,6,FALSE)),"",VLOOKUP(4,$BB$25:$BN$104,6,FALSE))</f>
      </c>
      <c r="W27" s="50">
        <f>IF(ISERROR(VLOOKUP(4,$BB$25:$BN$104,7,FALSE)),"",VLOOKUP(4,$BB$25:$BN$104,7,FALSE))</f>
      </c>
      <c r="X27" s="86"/>
      <c r="Y27" s="43" t="s">
        <v>103</v>
      </c>
      <c r="Z27" s="4" t="s">
        <v>38</v>
      </c>
      <c r="AA27" s="4">
        <v>2009</v>
      </c>
      <c r="AC27" s="4" t="s">
        <v>117</v>
      </c>
      <c r="AD27" s="4">
        <v>1</v>
      </c>
      <c r="AG27" s="93">
        <f>IF(AJ27&lt;&gt;"No",1,0)</f>
        <v>0</v>
      </c>
      <c r="AH27" s="89"/>
      <c r="AI27" s="34" t="s">
        <v>167</v>
      </c>
      <c r="AJ27" s="89" t="str">
        <f>IF(Generator_Info!Q103=0,"No",IF(Generator_Info!Q103&gt;15,"Many","Yes"))</f>
        <v>No</v>
      </c>
      <c r="AK27" s="89">
        <f>Generator_Info!Q102</f>
      </c>
      <c r="AL27" s="89">
        <f>IF(AJ27&lt;&gt;"No","answers to whether input electricity is deducted","")</f>
      </c>
      <c r="AV27" s="23">
        <f>RIGHT(Generator_Info!C18,3)</f>
      </c>
      <c r="AW27" s="23" t="str">
        <f>IF(LEN(Generator_Info!C18)=10,LEFT(AV27,1),"Unknown")</f>
        <v>Unknown</v>
      </c>
      <c r="AX27" s="23">
        <f t="shared" si="4"/>
        <v>1</v>
      </c>
      <c r="AY27" s="23">
        <f t="shared" si="5"/>
        <v>0</v>
      </c>
      <c r="AZ27" s="23">
        <f t="shared" si="0"/>
        <v>0</v>
      </c>
      <c r="BB27" s="23">
        <f>IF(OR(AW27="b",AW27="n"),SUM($BB$25:BB26)+1,0)</f>
        <v>0</v>
      </c>
      <c r="BC27" s="91">
        <f>Fuel_Use!J93</f>
        <v>0</v>
      </c>
      <c r="BD27" s="91">
        <f t="shared" si="6"/>
        <v>1</v>
      </c>
      <c r="BE27" s="91">
        <f t="shared" si="1"/>
        <v>1</v>
      </c>
      <c r="BF27" s="92">
        <f t="shared" si="2"/>
        <v>0</v>
      </c>
      <c r="BG27" s="92">
        <f t="shared" si="7"/>
        <v>0</v>
      </c>
      <c r="BH27" s="92">
        <f t="shared" si="3"/>
        <v>0</v>
      </c>
      <c r="BI27" s="92"/>
      <c r="BJ27" s="92"/>
      <c r="BM27" s="23">
        <f>IF(E27&lt;&gt;0,IF(D27="please answer",SUM($BM$25:BM26)+1,0),0)</f>
        <v>0</v>
      </c>
      <c r="BN27" s="23">
        <f>IF($E27&lt;&gt;0,IF(ISBLANK(F27),SUM($BN$25:BN26)+1,0),0)</f>
        <v>0</v>
      </c>
      <c r="BO27" s="23">
        <f>IF(AND($E27&lt;&gt;0,ISBLANK(G27)=TRUE,Generator_Info!J18&lt;&gt;Generator_Info!$K$19),SUM($BO$25:BO26)+1,0)</f>
        <v>0</v>
      </c>
      <c r="BP27" s="23">
        <f>IF($E27&lt;&gt;0,IF(ISBLANK(H27),SUM($BP$25:BP26)+1,0),0)</f>
        <v>0</v>
      </c>
      <c r="BQ27" s="23">
        <f>IF($E27&lt;I27,SUM($BQ$25:BQ26)+1,0)</f>
        <v>0</v>
      </c>
      <c r="BR27" s="23">
        <f>IF($E27&lt;J27,SUM($BR$25:BR26)+1,0)</f>
        <v>0</v>
      </c>
      <c r="BS27" s="23">
        <v>0</v>
      </c>
      <c r="BT27" s="23">
        <f>IF(AND(SUM(Fuel_Use!$D$81:$H$92,Fuel_Use!$D$99:$H$102)&lt;&gt;0,Fuel_Use!$J$106="please answer",$E27&lt;&gt;0,ISBLANK(Generator_Info!C18)=FALSE),BT$107&amp;ROW(Fuel_Use!$J$106)&amp;" ","")</f>
      </c>
      <c r="BU27" s="23">
        <f>IF(AND(SUM(Fuel_Use!$D$81:$H$92,Fuel_Use!$D$99:$H$102)&lt;&gt;0,Fuel_Use!$J$107="please answer",$E27&lt;&gt;0,ISBLANK(Generator_Info!D18)=FALSE),BU$107&amp;ROW(Fuel_Use!$J$107)&amp;" ","")</f>
      </c>
      <c r="BV27" s="23">
        <f t="shared" si="8"/>
        <v>27</v>
      </c>
      <c r="BW27" s="23" t="str">
        <f>IF(ISBLANK(Generator_Info!B18),"Station "&amp;Generator_Info!A18,Generator_Info!B18)</f>
        <v>Station 3</v>
      </c>
    </row>
    <row r="28" spans="1:75" s="23" customFormat="1" ht="12.75">
      <c r="A28" s="23">
        <v>4</v>
      </c>
      <c r="B28" s="114">
        <f>IF(ISBLANK(Generator_Info!B19),"",Generator_Info!B19)</f>
      </c>
      <c r="C28" s="116"/>
      <c r="D28" s="103" t="s">
        <v>8</v>
      </c>
      <c r="E28" s="44"/>
      <c r="F28" s="44"/>
      <c r="G28" s="44"/>
      <c r="H28" s="44"/>
      <c r="I28" s="87">
        <f>IF(AND(F28+G28+H28&lt;=0.005*E28,Generator_Info!J19&lt;&gt;Generator_Info!$K$19),IF(Generator_Info!I19="No",0,Input_Output_Info!F28),Input_Output_Info!F28+Input_Output_Info!H28+IF(Generator_Info!J19=Generator_Info!$K$18,0,Input_Output_Info!G28))</f>
        <v>0</v>
      </c>
      <c r="J28" s="87">
        <f>IF(Generator_Info!J19=Generator_Info!$K$18,0,Input_Output_Info!G28)+IF(Generator_Info!I19="No",0,Input_Output_Info!F28)</f>
        <v>0</v>
      </c>
      <c r="K28" s="88">
        <f>IF(OR(AND(ISBLANK(Generator_Info!C19),ISBLANK(Generator_Info!B19)=FALSE),Fuel_Use!J141=Fuel_Use!$S$25),"n/a",IF(SUM(Fuel_Use!D116:H127,Fuel_Use!D134:H137)=0,AX28,Fuel_Use!$J$129))</f>
        <v>1</v>
      </c>
      <c r="L28" s="88">
        <f>IF(OR(AND(ISBLANK(Generator_Info!D19),ISBLANK(Generator_Info!B19)=FALSE),Fuel_Use!J142=Fuel_Use!$S$30,$G$3=$Z$25),"n/a",IF(SUM(Fuel_Use!D116:H127,Fuel_Use!D134:H137)=0,AX28,IF(AND(Fuel_Use!J129&gt;=0.9,Fuel_Use!J142="Yes",Fuel_Use!U128=0),1,Fuel_Use!V128)))</f>
        <v>1</v>
      </c>
      <c r="M28" s="49">
        <f>IF(OR($AJ$43="Yes",Fuel_Use!J141="not claiming ROCs",ISBLANK(Generator_Info!C19)),0,((E28-I28)*IF(K28="n/a",1,K28))/1000)</f>
        <v>0</v>
      </c>
      <c r="N28" s="49">
        <f>IF(OR($G$3=$Z$25,$AJ$44="Yes",Fuel_Use!J142="not claiming LECs",ISBLANK(Generator_Info!D19)),0,((E28-J28)*IF(L28="n/a",1,L28))/1000)</f>
        <v>0</v>
      </c>
      <c r="O28" s="86"/>
      <c r="P28" s="4">
        <f>IF(ISERROR(VLOOKUP(8,$BB$25:$BW$104,22,FALSE)),"",VLOOKUP(8,$BB$25:$BW$104,22,FALSE))</f>
      </c>
      <c r="Q28" s="3"/>
      <c r="R28" s="88">
        <f>IF(ISERROR(VLOOKUP(8,$BB$25:$BN$104,2,FALSE)),"",VLOOKUP(8,$BB$25:$BN$104,2,FALSE))</f>
      </c>
      <c r="S28" s="88">
        <f>IF(ISERROR(VLOOKUP(8,$BB$25:$BN$104,3,FALSE)),"",VLOOKUP(8,$BB$25:$BN$104,3,FALSE))</f>
      </c>
      <c r="T28" s="88">
        <f>IF(ISERROR(VLOOKUP(8,$BB$25:$BN$104,4,FALSE)),"",VLOOKUP(8,$BB$25:$BN$104,4,FALSE))</f>
      </c>
      <c r="U28" s="50">
        <f>IF(ISERROR(VLOOKUP(8,$BB$25:$BN$104,5,FALSE)),"",VLOOKUP(8,$BB$25:$BN$104,5,FALSE))</f>
      </c>
      <c r="V28" s="50">
        <f>IF(ISERROR(VLOOKUP(8,$BB$25:$BN$104,6,FALSE)),"",VLOOKUP(8,$BB$25:$BN$104,6,FALSE))</f>
      </c>
      <c r="W28" s="50">
        <f>IF(ISERROR(VLOOKUP(8,$BB$25:$BN$104,7,FALSE)),"",VLOOKUP(8,$BB$25:$BN$104,7,FALSE))</f>
      </c>
      <c r="X28" s="86"/>
      <c r="Y28" s="43" t="s">
        <v>104</v>
      </c>
      <c r="Z28" s="4" t="s">
        <v>39</v>
      </c>
      <c r="AA28" s="4">
        <v>2010</v>
      </c>
      <c r="AC28" s="4" t="s">
        <v>118</v>
      </c>
      <c r="AD28" s="4" t="s">
        <v>143</v>
      </c>
      <c r="AG28" s="90">
        <f>IF(AJ28&lt;&gt;"No",$AG$25+1,$AG$25)</f>
        <v>0</v>
      </c>
      <c r="AH28" s="90" t="s">
        <v>165</v>
      </c>
      <c r="AI28" s="90" t="s">
        <v>155</v>
      </c>
      <c r="AJ28" s="89" t="str">
        <f>IF(Generator_Info!R103=0,"No",IF(Generator_Info!R103&gt;15,"Many","Yes"))</f>
        <v>No</v>
      </c>
      <c r="AK28" s="89">
        <f>IF(AJ28="Many","Multiple",Generator_Info!R102)</f>
      </c>
      <c r="AL28" s="89">
        <f>IF(AJ28&lt;&gt;"No","Co-fired generating stations can only be entered in first ten generating station rows so that the appropriate fuel use table can be completed","")</f>
      </c>
      <c r="AV28" s="23">
        <f>RIGHT(Generator_Info!C19,3)</f>
      </c>
      <c r="AW28" s="23" t="str">
        <f>IF(LEN(Generator_Info!C19)=10,LEFT(AV28,1),"Unknown")</f>
        <v>Unknown</v>
      </c>
      <c r="AX28" s="23">
        <f t="shared" si="4"/>
        <v>1</v>
      </c>
      <c r="AY28" s="23">
        <f t="shared" si="5"/>
        <v>0</v>
      </c>
      <c r="AZ28" s="23">
        <f t="shared" si="0"/>
        <v>0</v>
      </c>
      <c r="BB28" s="23">
        <f>IF(OR(AW28="b",AW28="n"),SUM($BB$25:BB27)+1,0)</f>
        <v>0</v>
      </c>
      <c r="BC28" s="91">
        <f>Fuel_Use!J128</f>
        <v>0</v>
      </c>
      <c r="BD28" s="91">
        <f t="shared" si="6"/>
        <v>1</v>
      </c>
      <c r="BE28" s="91">
        <f t="shared" si="1"/>
        <v>1</v>
      </c>
      <c r="BF28" s="92">
        <f t="shared" si="2"/>
        <v>0</v>
      </c>
      <c r="BG28" s="92">
        <f t="shared" si="7"/>
        <v>0</v>
      </c>
      <c r="BH28" s="92">
        <f t="shared" si="3"/>
        <v>0</v>
      </c>
      <c r="BI28" s="92"/>
      <c r="BJ28" s="92"/>
      <c r="BM28" s="23">
        <f>IF(E28&lt;&gt;0,IF(D28="please answer",SUM($BM$25:BM27)+1,0),0)</f>
        <v>0</v>
      </c>
      <c r="BN28" s="23">
        <f>IF($E28&lt;&gt;0,IF(ISBLANK(F28),SUM($BN$25:BN27)+1,0),0)</f>
        <v>0</v>
      </c>
      <c r="BO28" s="23">
        <f>IF(AND($E28&lt;&gt;0,ISBLANK(G28)=TRUE,Generator_Info!J19&lt;&gt;Generator_Info!$K$19),SUM($BO$25:BO27)+1,0)</f>
        <v>0</v>
      </c>
      <c r="BP28" s="23">
        <f>IF($E28&lt;&gt;0,IF(ISBLANK(H28),SUM($BP$25:BP27)+1,0),0)</f>
        <v>0</v>
      </c>
      <c r="BQ28" s="23">
        <f>IF($E28&lt;I28,SUM($BQ$25:BQ27)+1,0)</f>
        <v>0</v>
      </c>
      <c r="BR28" s="23">
        <f>IF($E28&lt;J28,SUM($BR$25:BR27)+1,0)</f>
        <v>0</v>
      </c>
      <c r="BS28" s="23">
        <v>0</v>
      </c>
      <c r="BT28" s="23">
        <f>IF(AND(SUM(Fuel_Use!$D$116:$H$127,Fuel_Use!$D$134:$H$137)&lt;&gt;0,Fuel_Use!$J$141="please answer",$E28&lt;&gt;0,ISBLANK(Generator_Info!C19)=FALSE),BT$107&amp;ROW(Fuel_Use!$J$141)&amp;" ","")</f>
      </c>
      <c r="BU28" s="23">
        <f>IF(AND(SUM(Fuel_Use!$D$116:$H$127,Fuel_Use!$D$134:$H$137)&lt;&gt;0,Fuel_Use!$J$142="please answer",$E28&lt;&gt;0,ISBLANK(Generator_Info!D19)=FALSE),BU$107&amp;ROW(Fuel_Use!$J$142)&amp;" ","")</f>
      </c>
      <c r="BV28" s="23">
        <f t="shared" si="8"/>
        <v>28</v>
      </c>
      <c r="BW28" s="23" t="str">
        <f>IF(ISBLANK(Generator_Info!B19),"Station "&amp;Generator_Info!A19,Generator_Info!B19)</f>
        <v>Station 4</v>
      </c>
    </row>
    <row r="29" spans="1:75" s="23" customFormat="1" ht="12.75">
      <c r="A29" s="23">
        <v>5</v>
      </c>
      <c r="B29" s="114">
        <f>IF(ISBLANK(Generator_Info!B20),"",Generator_Info!B20)</f>
      </c>
      <c r="C29" s="116"/>
      <c r="D29" s="103" t="s">
        <v>8</v>
      </c>
      <c r="E29" s="44"/>
      <c r="F29" s="44"/>
      <c r="G29" s="44"/>
      <c r="H29" s="44"/>
      <c r="I29" s="87">
        <f>IF(AND(F29+G29+H29&lt;=0.005*E29,Generator_Info!J20&lt;&gt;Generator_Info!$K$19),IF(Generator_Info!I20="No",0,Input_Output_Info!F29),Input_Output_Info!F29+Input_Output_Info!H29+IF(Generator_Info!J20=Generator_Info!$K$18,0,Input_Output_Info!G29))</f>
        <v>0</v>
      </c>
      <c r="J29" s="87">
        <f>IF(Generator_Info!J20=Generator_Info!$K$18,0,Input_Output_Info!G29)+IF(Generator_Info!I20="No",0,Input_Output_Info!F29)</f>
        <v>0</v>
      </c>
      <c r="K29" s="88">
        <f>IF(OR(AND(ISBLANK(Generator_Info!C20),ISBLANK(Generator_Info!B20)=FALSE),Fuel_Use!J176=Fuel_Use!$S$25),"n/a",IF(SUM(Fuel_Use!D151:H162,Fuel_Use!D169:H172)=0,AX29,Fuel_Use!$J$164))</f>
        <v>1</v>
      </c>
      <c r="L29" s="88">
        <f>IF(OR(AND(ISBLANK(Generator_Info!D20),ISBLANK(Generator_Info!B20)=FALSE),Fuel_Use!J177=Fuel_Use!$S$30,$G$3=$Z$25),"n/a",IF(SUM(Fuel_Use!D151:H162,Fuel_Use!D169:H172)=0,AX29,IF(AND(Fuel_Use!J164&gt;=0.9,Fuel_Use!J177="Yes",Fuel_Use!U163=0),1,Fuel_Use!V163)))</f>
        <v>1</v>
      </c>
      <c r="M29" s="49">
        <f>IF(OR($AJ$43="Yes",Fuel_Use!J176="not claiming ROCs",ISBLANK(Generator_Info!C20)),0,((E29-I29)*IF(K29="n/a",1,K29))/1000)</f>
        <v>0</v>
      </c>
      <c r="N29" s="49">
        <f>IF(OR($G$3=$Z$25,$AJ$44="Yes",Fuel_Use!J177="not claiming LECs",ISBLANK(Generator_Info!D20)),0,((E29-J29)*IF(L29="n/a",1,L29))/1000)</f>
        <v>0</v>
      </c>
      <c r="O29" s="86"/>
      <c r="P29" s="4">
        <f>IF(ISERROR(VLOOKUP(16,$BB$25:$BW$104,22,FALSE)),"",VLOOKUP(16,$BB$25:$BW$104,22,FALSE))</f>
      </c>
      <c r="Q29" s="3"/>
      <c r="R29" s="88">
        <f>IF(ISERROR(VLOOKUP(16,$BB$25:$BN$104,2,FALSE)),"",VLOOKUP(16,$BB$25:$BN$104,2,FALSE))</f>
      </c>
      <c r="S29" s="88">
        <f>IF(ISERROR(VLOOKUP(16,$BB$25:$BN$104,3,FALSE)),"",VLOOKUP(16,$BB$25:$BN$104,3,FALSE))</f>
      </c>
      <c r="T29" s="88">
        <f>IF(ISERROR(VLOOKUP(16,$BB$25:$BN$104,4,FALSE)),"",VLOOKUP(16,$BB$25:$BN$104,4,FALSE))</f>
      </c>
      <c r="U29" s="50">
        <f>IF(ISERROR(VLOOKUP(16,$BB$25:$BN$104,5,FALSE)),"",VLOOKUP(16,$BB$25:$BN$104,5,FALSE))</f>
      </c>
      <c r="V29" s="50">
        <f>IF(ISERROR(VLOOKUP(16,$BB$25:$BN$104,6,FALSE)),"",VLOOKUP(16,$BB$25:$BN$104,6,FALSE))</f>
      </c>
      <c r="W29" s="50">
        <f>IF(ISERROR(VLOOKUP(16,$BB$25:$BN$104,7,FALSE)),"",VLOOKUP(16,$BB$25:$BN$104,7,FALSE))</f>
      </c>
      <c r="X29" s="86"/>
      <c r="Y29" s="43" t="s">
        <v>105</v>
      </c>
      <c r="Z29" s="4" t="s">
        <v>40</v>
      </c>
      <c r="AA29" s="4">
        <v>2011</v>
      </c>
      <c r="AC29" s="4" t="s">
        <v>119</v>
      </c>
      <c r="AD29" s="4" t="s">
        <v>143</v>
      </c>
      <c r="AG29" s="90">
        <f>IF(AJ29&lt;&gt;"No",$AG$28+1,$AG$28)</f>
        <v>0</v>
      </c>
      <c r="AH29" s="90" t="s">
        <v>165</v>
      </c>
      <c r="AI29" s="90" t="s">
        <v>203</v>
      </c>
      <c r="AJ29" s="89" t="str">
        <f>IF(Generator_Info!P103=0,"No",IF(Generator_Info!P103&gt;15,"Many","Yes"))</f>
        <v>No</v>
      </c>
      <c r="AK29" s="89">
        <f>IF(AJ29="Many","Multiple",Generator_Info!P102)</f>
      </c>
      <c r="AL29" s="89">
        <f>IF(AJ29&lt;&gt;"No","No RO or CCL accreditation ID has been entered for "&amp;IF(AJ29="Many","several generating stations",Generator_Info!P108)&amp;".  To claim ROCs and/or LECs please enter the relevant accreditation ID(s)","")</f>
      </c>
      <c r="AV29" s="23">
        <f>RIGHT(Generator_Info!C20,3)</f>
      </c>
      <c r="AW29" s="23" t="str">
        <f>IF(LEN(Generator_Info!C20)=10,LEFT(AV29,1),"Unknown")</f>
        <v>Unknown</v>
      </c>
      <c r="AX29" s="23">
        <f t="shared" si="4"/>
        <v>1</v>
      </c>
      <c r="AY29" s="23">
        <f aca="true" t="shared" si="9" ref="AY29:AY43">ROUND(M29,0)</f>
        <v>0</v>
      </c>
      <c r="AZ29" s="23">
        <f t="shared" si="0"/>
        <v>0</v>
      </c>
      <c r="BB29" s="23">
        <f>IF(OR(AW29="b",AW29="n"),SUM($BB$25:BB28)+1,0)</f>
        <v>0</v>
      </c>
      <c r="BC29" s="91">
        <f>Fuel_Use!J163</f>
        <v>0</v>
      </c>
      <c r="BD29" s="91">
        <f t="shared" si="6"/>
        <v>1</v>
      </c>
      <c r="BE29" s="91">
        <f t="shared" si="1"/>
        <v>1</v>
      </c>
      <c r="BF29" s="92">
        <f t="shared" si="2"/>
        <v>0</v>
      </c>
      <c r="BG29" s="92">
        <f t="shared" si="7"/>
        <v>0</v>
      </c>
      <c r="BH29" s="92">
        <f t="shared" si="3"/>
        <v>0</v>
      </c>
      <c r="BI29" s="92"/>
      <c r="BJ29" s="92"/>
      <c r="BM29" s="23">
        <f>IF(E29&lt;&gt;0,IF(D29="please answer",SUM($BM$25:BM28)+1,0),0)</f>
        <v>0</v>
      </c>
      <c r="BN29" s="23">
        <f>IF($E29&lt;&gt;0,IF(ISBLANK(F29),SUM($BN$25:BN28)+1,0),0)</f>
        <v>0</v>
      </c>
      <c r="BO29" s="23">
        <f>IF(AND($E29&lt;&gt;0,ISBLANK(G29)=TRUE,Generator_Info!J20&lt;&gt;Generator_Info!$K$19),SUM($BO$25:BO28)+1,0)</f>
        <v>0</v>
      </c>
      <c r="BP29" s="23">
        <f>IF($E29&lt;&gt;0,IF(ISBLANK(H29),SUM($BP$25:BP28)+1,0),0)</f>
        <v>0</v>
      </c>
      <c r="BQ29" s="23">
        <f>IF($E29&lt;I29,SUM($BQ$25:BQ28)+1,0)</f>
        <v>0</v>
      </c>
      <c r="BR29" s="23">
        <f>IF($E29&lt;J29,SUM($BR$25:BR28)+1,0)</f>
        <v>0</v>
      </c>
      <c r="BS29" s="23">
        <v>0</v>
      </c>
      <c r="BT29" s="23">
        <f>IF(AND(SUM(Fuel_Use!$D$151:$H$162,Fuel_Use!$D$169:$H$172)&lt;&gt;0,Fuel_Use!$J$176="please answer",$E29&lt;&gt;0,ISBLANK(Generator_Info!C20)=FALSE),BT$107&amp;ROW(Fuel_Use!$J$176)&amp;" ","")</f>
      </c>
      <c r="BU29" s="23">
        <f>IF(AND(SUM(Fuel_Use!$D$151:$H$162,Fuel_Use!$D$169:$H$172)&lt;&gt;0,Fuel_Use!$J$177="please answer",$E29&lt;&gt;0,ISBLANK(Generator_Info!D20)=FALSE),BU$107&amp;ROW(Fuel_Use!$J$177)&amp;" ","")</f>
      </c>
      <c r="BV29" s="23">
        <f aca="true" t="shared" si="10" ref="BV29:BV43">ROW(B29)</f>
        <v>29</v>
      </c>
      <c r="BW29" s="23" t="str">
        <f>IF(ISBLANK(Generator_Info!B20),"Station "&amp;Generator_Info!A20,Generator_Info!B20)</f>
        <v>Station 5</v>
      </c>
    </row>
    <row r="30" spans="1:75" s="23" customFormat="1" ht="12.75">
      <c r="A30" s="23">
        <v>6</v>
      </c>
      <c r="B30" s="114">
        <f>IF(ISBLANK(Generator_Info!B21),"",Generator_Info!B21)</f>
      </c>
      <c r="C30" s="116"/>
      <c r="D30" s="103" t="s">
        <v>8</v>
      </c>
      <c r="E30" s="44"/>
      <c r="F30" s="44"/>
      <c r="G30" s="44"/>
      <c r="H30" s="44"/>
      <c r="I30" s="87">
        <f>IF(AND(F30+G30+H30&lt;=0.005*E30,Generator_Info!J21&lt;&gt;Generator_Info!$K$19),IF(Generator_Info!I21="No",0,Input_Output_Info!F30),Input_Output_Info!F30+Input_Output_Info!H30+IF(Generator_Info!J21=Generator_Info!$K$18,0,Input_Output_Info!G30))</f>
        <v>0</v>
      </c>
      <c r="J30" s="87">
        <f>IF(Generator_Info!J21=Generator_Info!$K$18,0,Input_Output_Info!G30)+IF(Generator_Info!I21="No",0,Input_Output_Info!F30)</f>
        <v>0</v>
      </c>
      <c r="K30" s="88">
        <f>IF(OR(AND(ISBLANK(Generator_Info!C21),ISBLANK(Generator_Info!B21)=FALSE),Fuel_Use!J211=Fuel_Use!$S$25),"n/a",IF(SUM(Fuel_Use!D186:H197,Fuel_Use!D204:H207)=0,AX30,Fuel_Use!$J$199))</f>
        <v>1</v>
      </c>
      <c r="L30" s="88">
        <f>IF(OR(AND(ISBLANK(Generator_Info!D21),ISBLANK(Generator_Info!B21)=FALSE),Fuel_Use!J212=Fuel_Use!$S$30,$G$3=$Z$25),"n/a",IF(SUM(Fuel_Use!D186:H197,Fuel_Use!D204:H207)=0,AX30,IF(AND(Fuel_Use!J199&gt;=0.9,Fuel_Use!J212="Yes",Fuel_Use!U198=0),1,Fuel_Use!V198)))</f>
        <v>1</v>
      </c>
      <c r="M30" s="49">
        <f>IF(OR($AJ$43="Yes",Fuel_Use!J211="not claiming ROCs",ISBLANK(Generator_Info!C21)),0,((E30-I30)*IF(K30="n/a",1,K30))/1000)</f>
        <v>0</v>
      </c>
      <c r="N30" s="49">
        <f>IF(OR($G$3=$Z$25,$AJ$44="Yes",Fuel_Use!J212="not claiming LECs",ISBLANK(Generator_Info!D21)),0,((E30-J30)*IF(L30="n/a",1,L30))/1000)</f>
        <v>0</v>
      </c>
      <c r="O30" s="86"/>
      <c r="P30" s="4">
        <f>IF(ISERROR(VLOOKUP(32,$BB$25:$BW$104,22,FALSE)),"",VLOOKUP(32,$BB$25:$BW$104,22,FALSE))</f>
      </c>
      <c r="Q30" s="3"/>
      <c r="R30" s="88">
        <f>IF(ISERROR(VLOOKUP(32,$BB$25:$BN$104,2,FALSE)),"",VLOOKUP(32,$BB$25:$BN$104,2,FALSE))</f>
      </c>
      <c r="S30" s="88">
        <f>IF(ISERROR(VLOOKUP(32,$BB$25:$BN$104,3,FALSE)),"",VLOOKUP(32,$BB$25:$BN$104,3,FALSE))</f>
      </c>
      <c r="T30" s="88">
        <f>IF(ISERROR(VLOOKUP(32,$BB$25:$BN$104,4,FALSE)),"",VLOOKUP(32,$BB$25:$BN$104,4,FALSE))</f>
      </c>
      <c r="U30" s="50">
        <f>IF(ISERROR(VLOOKUP(32,$BB$25:$BN$104,5,FALSE)),"",VLOOKUP(32,$BB$25:$BN$104,5,FALSE))</f>
      </c>
      <c r="V30" s="50">
        <f>IF(ISERROR(VLOOKUP(32,$BB$25:$BN$104,6,FALSE)),"",VLOOKUP(32,$BB$25:$BN$104,6,FALSE))</f>
      </c>
      <c r="W30" s="50">
        <f>IF(ISERROR(VLOOKUP(32,$BB$25:$BN$104,7,FALSE)),"",VLOOKUP(32,$BB$25:$BN$104,7,FALSE))</f>
      </c>
      <c r="X30" s="86"/>
      <c r="Y30" s="43" t="s">
        <v>106</v>
      </c>
      <c r="Z30" s="4" t="s">
        <v>41</v>
      </c>
      <c r="AA30" s="4">
        <v>2012</v>
      </c>
      <c r="AC30" s="4" t="s">
        <v>120</v>
      </c>
      <c r="AD30" s="4" t="s">
        <v>143</v>
      </c>
      <c r="AG30" s="90">
        <f>IF(SUM(AG31:AG32)&lt;&gt;0,$AG$29+1,$AG$29)</f>
        <v>0</v>
      </c>
      <c r="AH30" s="90" t="s">
        <v>168</v>
      </c>
      <c r="AI30" s="90" t="s">
        <v>173</v>
      </c>
      <c r="AJ30" s="90"/>
      <c r="AK30" s="90">
        <f>IF(OR(AJ31="Many",AJ33="Many",AJ34="Many",AJ35="Many"),"Multiple",AK31&amp;AK33&amp;AK34&amp;AK35)</f>
      </c>
      <c r="AL30" s="90">
        <f>IF(SUM(AG31:AG32)=0,"","Please complete all "&amp;IF(SUM(AG31:AG32)=1,AL31&amp;AL32,AL31&amp;"and "&amp;AL32))</f>
      </c>
      <c r="AV30" s="23">
        <f>RIGHT(Generator_Info!C21,3)</f>
      </c>
      <c r="AW30" s="23" t="str">
        <f>IF(LEN(Generator_Info!C21)=10,LEFT(AV30,1),"Unknown")</f>
        <v>Unknown</v>
      </c>
      <c r="AX30" s="23">
        <f t="shared" si="4"/>
        <v>1</v>
      </c>
      <c r="AY30" s="23">
        <f t="shared" si="9"/>
        <v>0</v>
      </c>
      <c r="AZ30" s="23">
        <f t="shared" si="0"/>
        <v>0</v>
      </c>
      <c r="BB30" s="23">
        <f>IF(OR(AW30="b",AW30="n"),SUM($BB$25:BB29)+1,0)</f>
        <v>0</v>
      </c>
      <c r="BC30" s="91">
        <f>Fuel_Use!J198</f>
        <v>0</v>
      </c>
      <c r="BD30" s="91">
        <f t="shared" si="6"/>
        <v>1</v>
      </c>
      <c r="BE30" s="91">
        <f t="shared" si="1"/>
        <v>1</v>
      </c>
      <c r="BF30" s="92">
        <f t="shared" si="2"/>
        <v>0</v>
      </c>
      <c r="BG30" s="92">
        <f t="shared" si="7"/>
        <v>0</v>
      </c>
      <c r="BH30" s="92">
        <f t="shared" si="3"/>
        <v>0</v>
      </c>
      <c r="BI30" s="92"/>
      <c r="BJ30" s="92"/>
      <c r="BM30" s="23">
        <f>IF(E30&lt;&gt;0,IF(D30="please answer",SUM($BM$25:BM29)+1,0),0)</f>
        <v>0</v>
      </c>
      <c r="BN30" s="23">
        <f>IF($E30&lt;&gt;0,IF(ISBLANK(F30),SUM($BN$25:BN29)+1,0),0)</f>
        <v>0</v>
      </c>
      <c r="BO30" s="23">
        <f>IF(AND($E30&lt;&gt;0,ISBLANK(G30)=TRUE,Generator_Info!J21&lt;&gt;Generator_Info!$K$19),SUM($BO$25:BO29)+1,0)</f>
        <v>0</v>
      </c>
      <c r="BP30" s="23">
        <f>IF($E30&lt;&gt;0,IF(ISBLANK(H30),SUM($BP$25:BP29)+1,0),0)</f>
        <v>0</v>
      </c>
      <c r="BQ30" s="23">
        <f>IF($E30&lt;I30,SUM($BQ$25:BQ29)+1,0)</f>
        <v>0</v>
      </c>
      <c r="BR30" s="23">
        <f>IF($E30&lt;J30,SUM($BR$25:BR29)+1,0)</f>
        <v>0</v>
      </c>
      <c r="BS30" s="23">
        <v>0</v>
      </c>
      <c r="BT30" s="23">
        <f>IF(AND(SUM(Fuel_Use!$D$186:$H$197,Fuel_Use!$D$204:$H$207)&lt;&gt;0,Fuel_Use!$J$211="please answer",$E30&lt;&gt;0,ISBLANK(Generator_Info!C21)=FALSE),BT$107&amp;ROW(Fuel_Use!$J$211)&amp;" ","")</f>
      </c>
      <c r="BU30" s="23">
        <f>IF(AND(SUM(Fuel_Use!$D$186:$H$197,Fuel_Use!$D$204:$H$207)&lt;&gt;0,Fuel_Use!$J$212="please answer",$E30&lt;&gt;0,ISBLANK(Generator_Info!D21)=FALSE),BU$107&amp;ROW(Fuel_Use!$J$212)&amp;" ","")</f>
      </c>
      <c r="BV30" s="23">
        <f t="shared" si="10"/>
        <v>30</v>
      </c>
      <c r="BW30" s="23" t="str">
        <f>IF(ISBLANK(Generator_Info!B21),"Station "&amp;Generator_Info!A21,Generator_Info!B21)</f>
        <v>Station 6</v>
      </c>
    </row>
    <row r="31" spans="1:75" s="23" customFormat="1" ht="12.75">
      <c r="A31" s="23">
        <v>7</v>
      </c>
      <c r="B31" s="114">
        <f>IF(ISBLANK(Generator_Info!B22),"",Generator_Info!B22)</f>
      </c>
      <c r="C31" s="116"/>
      <c r="D31" s="103" t="s">
        <v>8</v>
      </c>
      <c r="E31" s="44"/>
      <c r="F31" s="44"/>
      <c r="G31" s="44"/>
      <c r="H31" s="44"/>
      <c r="I31" s="87">
        <f>IF(AND(F31+G31+H31&lt;=0.005*E31,Generator_Info!J22&lt;&gt;Generator_Info!$K$19),IF(Generator_Info!I22="No",0,Input_Output_Info!F31),Input_Output_Info!F31+Input_Output_Info!H31+IF(Generator_Info!J22=Generator_Info!$K$18,0,Input_Output_Info!G31))</f>
        <v>0</v>
      </c>
      <c r="J31" s="87">
        <f>IF(Generator_Info!J22=Generator_Info!$K$18,0,Input_Output_Info!G31)+IF(Generator_Info!I22="No",0,Input_Output_Info!F31)</f>
        <v>0</v>
      </c>
      <c r="K31" s="88">
        <f>IF(OR(AND(ISBLANK(Generator_Info!C22),ISBLANK(Generator_Info!B22)=FALSE),Fuel_Use!J246=Fuel_Use!$S$25),"n/a",IF(SUM(Fuel_Use!D221:H232,Fuel_Use!D239:H242)=0,AX31,Fuel_Use!$J$234))</f>
        <v>1</v>
      </c>
      <c r="L31" s="88">
        <f>IF(OR(AND(ISBLANK(Generator_Info!D22),ISBLANK(Generator_Info!B22)=FALSE),Fuel_Use!J247=Fuel_Use!$S$30,$G$3=$Z$25),"n/a",IF(SUM(Fuel_Use!D221:H232,Fuel_Use!D239:H242)=0,AX31,IF(AND(Fuel_Use!J234&gt;=0.9,Fuel_Use!J247="Yes",Fuel_Use!U233=0),1,Fuel_Use!V233)))</f>
        <v>1</v>
      </c>
      <c r="M31" s="49">
        <f>IF(OR($AJ$43="Yes",Fuel_Use!J246="not claiming ROCs",ISBLANK(Generator_Info!C22)),0,((E31-I31)*IF(K31="n/a",1,K31))/1000)</f>
        <v>0</v>
      </c>
      <c r="N31" s="49">
        <f>IF(OR($G$3=$Z$25,$AJ$44="Yes",Fuel_Use!J247="not claiming LECs",ISBLANK(Generator_Info!D22)),0,((E31-J31)*IF(L31="n/a",1,L31))/1000)</f>
        <v>0</v>
      </c>
      <c r="O31" s="86"/>
      <c r="P31" s="4">
        <f>IF(ISERROR(VLOOKUP(64,$BB$25:$BW$104,22,FALSE)),"",VLOOKUP(64,$BB$25:$BW$104,22,FALSE))</f>
      </c>
      <c r="Q31" s="3"/>
      <c r="R31" s="88">
        <f>IF(ISERROR(VLOOKUP(64,$BB$25:$BN$104,2,FALSE)),"",VLOOKUP(64,$BB$25:$BN$104,2,FALSE))</f>
      </c>
      <c r="S31" s="88">
        <f>IF(ISERROR(VLOOKUP(64,$BB$25:$BN$104,3,FALSE)),"",VLOOKUP(64,$BB$25:$BN$104,3,FALSE))</f>
      </c>
      <c r="T31" s="88">
        <f>IF(ISERROR(VLOOKUP(64,$BB$25:$BN$104,4,FALSE)),"",VLOOKUP(64,$BB$25:$BN$104,4,FALSE))</f>
      </c>
      <c r="U31" s="50">
        <f>IF(ISERROR(VLOOKUP(64,$BB$25:$BN$104,5,FALSE)),"",VLOOKUP(64,$BB$25:$BN$104,5,FALSE))</f>
      </c>
      <c r="V31" s="50">
        <f>IF(ISERROR(VLOOKUP(64,$BB$25:$BN$104,6,FALSE)),"",VLOOKUP(64,$BB$25:$BN$104,6,FALSE))</f>
      </c>
      <c r="W31" s="50">
        <f>IF(ISERROR(VLOOKUP(64,$BB$25:$BN$104,7,FALSE)),"",VLOOKUP(64,$BB$25:$BN$104,7,FALSE))</f>
      </c>
      <c r="X31" s="86"/>
      <c r="Z31" s="4" t="s">
        <v>42</v>
      </c>
      <c r="AA31" s="4">
        <v>2013</v>
      </c>
      <c r="AC31" s="4" t="s">
        <v>121</v>
      </c>
      <c r="AD31" s="4">
        <v>1</v>
      </c>
      <c r="AG31" s="93">
        <f>IF(AJ31&lt;&gt;"No",1,0)</f>
        <v>0</v>
      </c>
      <c r="AH31" s="89"/>
      <c r="AI31" s="22" t="s">
        <v>97</v>
      </c>
      <c r="AJ31" s="89" t="str">
        <f>IF(BM113=0,"No",IF(BM113&gt;15,"Many","Yes"))</f>
        <v>No</v>
      </c>
      <c r="AK31" s="89">
        <f>IF(AJ31&lt;&gt;"Yes","",BM112)</f>
      </c>
      <c r="AL31" s="89">
        <f>IF(AJ31&lt;&gt;"No","types of output ","")</f>
      </c>
      <c r="AV31" s="23">
        <f>RIGHT(Generator_Info!C22,3)</f>
      </c>
      <c r="AW31" s="23" t="str">
        <f>IF(LEN(Generator_Info!C22)=10,LEFT(AV31,1),"Unknown")</f>
        <v>Unknown</v>
      </c>
      <c r="AX31" s="23">
        <f t="shared" si="4"/>
        <v>1</v>
      </c>
      <c r="AY31" s="23">
        <f t="shared" si="9"/>
        <v>0</v>
      </c>
      <c r="AZ31" s="23">
        <f t="shared" si="0"/>
        <v>0</v>
      </c>
      <c r="BB31" s="23">
        <f>IF(OR(AW31="b",AW31="n"),SUM($BB$25:BB30)+1,0)</f>
        <v>0</v>
      </c>
      <c r="BC31" s="91">
        <f>Fuel_Use!J233</f>
        <v>0</v>
      </c>
      <c r="BD31" s="91">
        <f t="shared" si="6"/>
        <v>1</v>
      </c>
      <c r="BE31" s="91">
        <f t="shared" si="1"/>
        <v>1</v>
      </c>
      <c r="BF31" s="92">
        <f t="shared" si="2"/>
        <v>0</v>
      </c>
      <c r="BG31" s="92">
        <f t="shared" si="7"/>
        <v>0</v>
      </c>
      <c r="BH31" s="92">
        <f t="shared" si="3"/>
        <v>0</v>
      </c>
      <c r="BI31" s="92"/>
      <c r="BJ31" s="92"/>
      <c r="BM31" s="23">
        <f>IF(E31&lt;&gt;0,IF(D31="please answer",SUM($BM$25:BM30)+1,0),0)</f>
        <v>0</v>
      </c>
      <c r="BN31" s="23">
        <f>IF($E31&lt;&gt;0,IF(ISBLANK(F31),SUM($BN$25:BN30)+1,0),0)</f>
        <v>0</v>
      </c>
      <c r="BO31" s="23">
        <f>IF(AND($E31&lt;&gt;0,ISBLANK(G31)=TRUE,Generator_Info!J22&lt;&gt;Generator_Info!$K$19),SUM($BO$25:BO30)+1,0)</f>
        <v>0</v>
      </c>
      <c r="BP31" s="23">
        <f>IF($E31&lt;&gt;0,IF(ISBLANK(H31),SUM($BP$25:BP30)+1,0),0)</f>
        <v>0</v>
      </c>
      <c r="BQ31" s="23">
        <f>IF($E31&lt;I31,SUM($BQ$25:BQ30)+1,0)</f>
        <v>0</v>
      </c>
      <c r="BR31" s="23">
        <f>IF($E31&lt;J31,SUM($BR$25:BR30)+1,0)</f>
        <v>0</v>
      </c>
      <c r="BS31" s="23">
        <v>0</v>
      </c>
      <c r="BT31" s="23">
        <f>IF(AND(SUM(Fuel_Use!$D$221:$H$232,Fuel_Use!$D$239:$H$242)&lt;&gt;0,Fuel_Use!$J$246="please answer",$E31&lt;&gt;0,ISBLANK(Generator_Info!C22)=FALSE),BT$107&amp;ROW(Fuel_Use!$J$246)&amp;" ","")</f>
      </c>
      <c r="BU31" s="23">
        <f>IF(AND(SUM(Fuel_Use!$D$221:$H$232,Fuel_Use!$D$239:$H$242)&lt;&gt;0,Fuel_Use!$J$247="please answer",$E31&lt;&gt;0,ISBLANK(Generator_Info!D22)=FALSE),BU$107&amp;ROW(Fuel_Use!$J$247)&amp;" ","")</f>
      </c>
      <c r="BV31" s="23">
        <f t="shared" si="10"/>
        <v>31</v>
      </c>
      <c r="BW31" s="23" t="str">
        <f>IF(ISBLANK(Generator_Info!B22),"Station "&amp;Generator_Info!A22,Generator_Info!B22)</f>
        <v>Station 7</v>
      </c>
    </row>
    <row r="32" spans="1:75" s="23" customFormat="1" ht="12.75">
      <c r="A32" s="23">
        <v>8</v>
      </c>
      <c r="B32" s="114">
        <f>IF(ISBLANK(Generator_Info!B23),"",Generator_Info!B23)</f>
      </c>
      <c r="C32" s="116"/>
      <c r="D32" s="103" t="s">
        <v>8</v>
      </c>
      <c r="E32" s="44"/>
      <c r="F32" s="44"/>
      <c r="G32" s="44"/>
      <c r="H32" s="44"/>
      <c r="I32" s="87">
        <f>IF(AND(F32+G32+H32&lt;=0.005*E32,Generator_Info!J23&lt;&gt;Generator_Info!$K$19),IF(Generator_Info!I23="No",0,Input_Output_Info!F32),Input_Output_Info!F32+Input_Output_Info!H32+IF(Generator_Info!J23=Generator_Info!$K$18,0,Input_Output_Info!G32))</f>
        <v>0</v>
      </c>
      <c r="J32" s="87">
        <f>IF(Generator_Info!J23=Generator_Info!$K$18,0,Input_Output_Info!G32)+IF(Generator_Info!I23="No",0,Input_Output_Info!F32)</f>
        <v>0</v>
      </c>
      <c r="K32" s="88">
        <f>IF(OR(AND(ISBLANK(Generator_Info!C23),ISBLANK(Generator_Info!B23)=FALSE),Fuel_Use!J281=Fuel_Use!$S$25),"n/a",IF(SUM(Fuel_Use!D256:H267,Fuel_Use!D274:H277)=0,AX32,Fuel_Use!$J$269))</f>
        <v>1</v>
      </c>
      <c r="L32" s="88">
        <f>IF(OR(AND(ISBLANK(Generator_Info!D23),ISBLANK(Generator_Info!B23)=FALSE),Fuel_Use!J282=Fuel_Use!$S$30,$G$3=$Z$25),"n/a",IF(SUM(Fuel_Use!D256:H267,Fuel_Use!D274:H277)=0,AX32,IF(AND(Fuel_Use!J269&gt;=0.9,Fuel_Use!J282="Yes",Fuel_Use!U268=0),1,Fuel_Use!V268)))</f>
        <v>1</v>
      </c>
      <c r="M32" s="49">
        <f>IF(OR($AJ$43="Yes",Fuel_Use!J281="not claiming ROCs",ISBLANK(Generator_Info!C23)),0,((E32-I32)*IF(K32="n/a",1,K32))/1000)</f>
        <v>0</v>
      </c>
      <c r="N32" s="49">
        <f>IF(OR($G$3=$Z$25,$AJ$44="Yes",Fuel_Use!J282="not claiming LECs",ISBLANK(Generator_Info!D23)),0,((E32-J32)*IF(L32="n/a",1,L32))/1000)</f>
        <v>0</v>
      </c>
      <c r="O32" s="86"/>
      <c r="P32" s="4">
        <f>IF(ISERROR(VLOOKUP(128,$BB$25:$BW$104,22,FALSE)),"",VLOOKUP(128,$BB$25:$BW$104,22,FALSE))</f>
      </c>
      <c r="Q32" s="3"/>
      <c r="R32" s="88">
        <f>IF(ISERROR(VLOOKUP(128,$BB$25:$BN$104,2,FALSE)),"",VLOOKUP(128,$BB$25:$BN$104,2,FALSE))</f>
      </c>
      <c r="S32" s="88">
        <f>IF(ISERROR(VLOOKUP(128,$BB$25:$BN$104,3,FALSE)),"",VLOOKUP(128,$BB$25:$BN$104,3,FALSE))</f>
      </c>
      <c r="T32" s="88">
        <f>IF(ISERROR(VLOOKUP(128,$BB$25:$BN$104,4,FALSE)),"",VLOOKUP(128,$BB$25:$BN$104,4,FALSE))</f>
      </c>
      <c r="U32" s="50">
        <f>IF(ISERROR(VLOOKUP(128,$BB$25:$BN$104,5,FALSE)),"",VLOOKUP(128,$BB$25:$BN$104,5,FALSE))</f>
      </c>
      <c r="V32" s="50">
        <f>IF(ISERROR(VLOOKUP(128,$BB$25:$BN$104,6,FALSE)),"",VLOOKUP(128,$BB$25:$BN$104,6,FALSE))</f>
      </c>
      <c r="W32" s="50">
        <f>IF(ISERROR(VLOOKUP(128,$BB$25:$BN$104,7,FALSE)),"",VLOOKUP(128,$BB$25:$BN$104,7,FALSE))</f>
      </c>
      <c r="X32" s="86"/>
      <c r="Z32" s="4" t="s">
        <v>43</v>
      </c>
      <c r="AA32" s="4">
        <v>2014</v>
      </c>
      <c r="AC32" s="4" t="s">
        <v>122</v>
      </c>
      <c r="AD32" s="4">
        <v>1</v>
      </c>
      <c r="AG32" s="94">
        <f>IF(AJ32&lt;&gt;"No",1,0)</f>
        <v>0</v>
      </c>
      <c r="AH32" s="94"/>
      <c r="AI32" s="47" t="s">
        <v>169</v>
      </c>
      <c r="AJ32" s="94" t="str">
        <f>IF(SUM(AG33:AG35)=0,"No",IF(OR(AJ33="Many",AJ34="Many",AJ35="Many"),"Many","Yes"))</f>
        <v>No</v>
      </c>
      <c r="AK32" s="94"/>
      <c r="AL32" s="94">
        <f>IF(AJ32&lt;&gt;"No",IF(SUM(AG33:AG35)=1,AL33&amp;AL34&amp;AL35,"input electricity figures "),"")</f>
      </c>
      <c r="AV32" s="23">
        <f>RIGHT(Generator_Info!C23,3)</f>
      </c>
      <c r="AW32" s="23" t="str">
        <f>IF(LEN(Generator_Info!C23)=10,LEFT(AV32,1),"Unknown")</f>
        <v>Unknown</v>
      </c>
      <c r="AX32" s="23">
        <f t="shared" si="4"/>
        <v>1</v>
      </c>
      <c r="AY32" s="23">
        <f t="shared" si="9"/>
        <v>0</v>
      </c>
      <c r="AZ32" s="23">
        <f t="shared" si="0"/>
        <v>0</v>
      </c>
      <c r="BB32" s="23">
        <f>IF(OR(AW32="b",AW32="n"),SUM($BB$25:BB31)+1,0)</f>
        <v>0</v>
      </c>
      <c r="BC32" s="91">
        <f>Fuel_Use!J268</f>
        <v>0</v>
      </c>
      <c r="BD32" s="91">
        <f t="shared" si="6"/>
        <v>1</v>
      </c>
      <c r="BE32" s="91">
        <f t="shared" si="1"/>
        <v>1</v>
      </c>
      <c r="BF32" s="92">
        <f t="shared" si="2"/>
        <v>0</v>
      </c>
      <c r="BG32" s="92">
        <f t="shared" si="7"/>
        <v>0</v>
      </c>
      <c r="BH32" s="92">
        <f t="shared" si="3"/>
        <v>0</v>
      </c>
      <c r="BI32" s="92"/>
      <c r="BJ32" s="92"/>
      <c r="BM32" s="23">
        <f>IF(E32&lt;&gt;0,IF(D32="please answer",SUM($BM$25:BM31)+1,0),0)</f>
        <v>0</v>
      </c>
      <c r="BN32" s="23">
        <f>IF($E32&lt;&gt;0,IF(ISBLANK(F32),SUM($BN$25:BN31)+1,0),0)</f>
        <v>0</v>
      </c>
      <c r="BO32" s="23">
        <f>IF(AND($E32&lt;&gt;0,ISBLANK(G32)=TRUE,Generator_Info!J23&lt;&gt;Generator_Info!$K$19),SUM($BO$25:BO31)+1,0)</f>
        <v>0</v>
      </c>
      <c r="BP32" s="23">
        <f>IF($E32&lt;&gt;0,IF(ISBLANK(H32),SUM($BP$25:BP31)+1,0),0)</f>
        <v>0</v>
      </c>
      <c r="BQ32" s="23">
        <f>IF($E32&lt;I32,SUM($BQ$25:BQ31)+1,0)</f>
        <v>0</v>
      </c>
      <c r="BR32" s="23">
        <f>IF($E32&lt;J32,SUM($BR$25:BR31)+1,0)</f>
        <v>0</v>
      </c>
      <c r="BS32" s="23">
        <v>0</v>
      </c>
      <c r="BT32" s="23">
        <f>IF(AND(SUM(Fuel_Use!$D$256:$H$267,Fuel_Use!$D$274:$H$277)&lt;&gt;0,Fuel_Use!$J$281="please answer",$E32&lt;&gt;0,ISBLANK(Generator_Info!C23)=FALSE),BT$107&amp;ROW(Fuel_Use!$J$281)&amp;" ","")</f>
      </c>
      <c r="BU32" s="23">
        <f>IF(AND(SUM(Fuel_Use!$D$256:$H$267,Fuel_Use!$D$274:$H$277)&lt;&gt;0,Fuel_Use!$J$282="please answer",$E32&lt;&gt;0,ISBLANK(Generator_Info!D23)=FALSE),BU$107&amp;ROW(Fuel_Use!$J$282)&amp;" ","")</f>
      </c>
      <c r="BV32" s="23">
        <f t="shared" si="10"/>
        <v>32</v>
      </c>
      <c r="BW32" s="23" t="str">
        <f>IF(ISBLANK(Generator_Info!B23),"Station "&amp;Generator_Info!A23,Generator_Info!B23)</f>
        <v>Station 8</v>
      </c>
    </row>
    <row r="33" spans="1:75" s="23" customFormat="1" ht="12.75">
      <c r="A33" s="23">
        <v>9</v>
      </c>
      <c r="B33" s="114">
        <f>IF(ISBLANK(Generator_Info!B24),"",Generator_Info!B24)</f>
      </c>
      <c r="C33" s="116"/>
      <c r="D33" s="103" t="s">
        <v>8</v>
      </c>
      <c r="E33" s="44"/>
      <c r="F33" s="44"/>
      <c r="G33" s="44"/>
      <c r="H33" s="44"/>
      <c r="I33" s="87">
        <f>IF(AND(F33+G33+H33&lt;=0.005*E33,Generator_Info!J24&lt;&gt;Generator_Info!$K$19),IF(Generator_Info!I24="No",0,Input_Output_Info!F33),Input_Output_Info!F33+Input_Output_Info!H33+IF(Generator_Info!J24=Generator_Info!$K$18,0,Input_Output_Info!G33))</f>
        <v>0</v>
      </c>
      <c r="J33" s="87">
        <f>IF(Generator_Info!J24=Generator_Info!$K$18,0,Input_Output_Info!G33)+IF(Generator_Info!I24="No",0,Input_Output_Info!F33)</f>
        <v>0</v>
      </c>
      <c r="K33" s="88">
        <f>IF(OR(AND(ISBLANK(Generator_Info!C24),ISBLANK(Generator_Info!B24)=FALSE),Fuel_Use!J316=Fuel_Use!$S$25),"n/a",IF(SUM(Fuel_Use!D291:H302,Fuel_Use!D309:H312)=0,AX33,Fuel_Use!$J$304))</f>
        <v>1</v>
      </c>
      <c r="L33" s="88">
        <f>IF(OR(AND(ISBLANK(Generator_Info!D24),ISBLANK(Generator_Info!B24)=FALSE),Fuel_Use!J317=Fuel_Use!$S$30,$G$3=$Z$25),"n/a",IF(SUM(Fuel_Use!D291:H302,Fuel_Use!D309:H312)=0,AX33,IF(AND(Fuel_Use!J304&gt;=0.9,Fuel_Use!J317="Yes",Fuel_Use!U303=0),1,Fuel_Use!V303)))</f>
        <v>1</v>
      </c>
      <c r="M33" s="49">
        <f>IF(OR($AJ$43="Yes",Fuel_Use!J316="not claiming ROCs",ISBLANK(Generator_Info!C24)),0,((E33-I33)*IF(K33="n/a",1,K33))/1000)</f>
        <v>0</v>
      </c>
      <c r="N33" s="49">
        <f>IF(OR($G$3=$Z$25,$AJ$44="Yes",Fuel_Use!J317="not claiming LECs",ISBLANK(Generator_Info!D24)),0,((E33-J33)*IF(L33="n/a",1,L33))/1000)</f>
        <v>0</v>
      </c>
      <c r="O33" s="86"/>
      <c r="P33" s="4">
        <f>IF(ISERROR(VLOOKUP(256,$BB$25:$BW$104,22,FALSE)),"",VLOOKUP(256,$BB$25:$BW$104,22,FALSE))</f>
      </c>
      <c r="Q33" s="3"/>
      <c r="R33" s="88">
        <f>IF(ISERROR(VLOOKUP(256,$BB$25:$BN$104,2,FALSE)),"",VLOOKUP(256,$BB$25:$BN$104,2,FALSE))</f>
      </c>
      <c r="S33" s="88">
        <f>IF(ISERROR(VLOOKUP(256,$BB$25:$BN$104,3,FALSE)),"",VLOOKUP(256,$BB$25:$BN$104,3,FALSE))</f>
      </c>
      <c r="T33" s="88">
        <f>IF(ISERROR(VLOOKUP(256,$BB$25:$BN$104,4,FALSE)),"",VLOOKUP(256,$BB$25:$BN$104,4,FALSE))</f>
      </c>
      <c r="U33" s="50">
        <f>IF(ISERROR(VLOOKUP(256,$BB$25:$BN$104,5,FALSE)),"",VLOOKUP(256,$BB$25:$BN$104,5,FALSE))</f>
      </c>
      <c r="V33" s="50">
        <f>IF(ISERROR(VLOOKUP(256,$BB$25:$BN$104,6,FALSE)),"",VLOOKUP(256,$BB$25:$BN$104,6,FALSE))</f>
      </c>
      <c r="W33" s="50">
        <f>IF(ISERROR(VLOOKUP(256,$BB$25:$BN$104,7,FALSE)),"",VLOOKUP(256,$BB$25:$BN$104,7,FALSE))</f>
      </c>
      <c r="X33" s="86"/>
      <c r="Z33" s="4" t="s">
        <v>44</v>
      </c>
      <c r="AA33" s="4">
        <v>2015</v>
      </c>
      <c r="AC33" s="4" t="s">
        <v>123</v>
      </c>
      <c r="AD33" s="4">
        <v>1</v>
      </c>
      <c r="AG33" s="95">
        <f>IF(AJ33&lt;&gt;"No",1,0)</f>
        <v>0</v>
      </c>
      <c r="AH33" s="89"/>
      <c r="AI33" s="34" t="s">
        <v>170</v>
      </c>
      <c r="AJ33" s="89" t="str">
        <f>IF(BN113=0,"No",IF(BN113&gt;15,"Many","Yes"))</f>
        <v>No</v>
      </c>
      <c r="AK33" s="89">
        <f>IF(AJ33&lt;&gt;"Yes","",BN112)</f>
      </c>
      <c r="AL33" s="89">
        <f>IF(AJ33&lt;&gt;"No","import figures","")</f>
      </c>
      <c r="AV33" s="23">
        <f>RIGHT(Generator_Info!C24,3)</f>
      </c>
      <c r="AW33" s="23" t="str">
        <f>IF(LEN(Generator_Info!C24)=10,LEFT(AV33,1),"Unknown")</f>
        <v>Unknown</v>
      </c>
      <c r="AX33" s="23">
        <f t="shared" si="4"/>
        <v>1</v>
      </c>
      <c r="AY33" s="23">
        <f t="shared" si="9"/>
        <v>0</v>
      </c>
      <c r="AZ33" s="23">
        <f t="shared" si="0"/>
        <v>0</v>
      </c>
      <c r="BB33" s="23">
        <f>IF(OR(AW33="b",AW33="n"),SUM($BB$25:BB32)+1,0)</f>
        <v>0</v>
      </c>
      <c r="BC33" s="91">
        <f>Fuel_Use!J303</f>
        <v>0</v>
      </c>
      <c r="BD33" s="91">
        <f t="shared" si="6"/>
        <v>1</v>
      </c>
      <c r="BE33" s="91">
        <f t="shared" si="1"/>
        <v>1</v>
      </c>
      <c r="BF33" s="92">
        <f t="shared" si="2"/>
        <v>0</v>
      </c>
      <c r="BG33" s="92">
        <f t="shared" si="7"/>
        <v>0</v>
      </c>
      <c r="BH33" s="92">
        <f t="shared" si="3"/>
        <v>0</v>
      </c>
      <c r="BI33" s="92"/>
      <c r="BJ33" s="92"/>
      <c r="BM33" s="23">
        <f>IF(E33&lt;&gt;0,IF(D33="please answer",SUM($BM$25:BM32)+1,0),0)</f>
        <v>0</v>
      </c>
      <c r="BN33" s="23">
        <f>IF($E33&lt;&gt;0,IF(ISBLANK(F33),SUM($BN$25:BN32)+1,0),0)</f>
        <v>0</v>
      </c>
      <c r="BO33" s="23">
        <f>IF(AND($E33&lt;&gt;0,ISBLANK(G33)=TRUE,Generator_Info!J24&lt;&gt;Generator_Info!$K$19),SUM($BO$25:BO32)+1,0)</f>
        <v>0</v>
      </c>
      <c r="BP33" s="23">
        <f>IF($E33&lt;&gt;0,IF(ISBLANK(H33),SUM($BP$25:BP32)+1,0),0)</f>
        <v>0</v>
      </c>
      <c r="BQ33" s="23">
        <f>IF($E33&lt;I33,SUM($BQ$25:BQ32)+1,0)</f>
        <v>0</v>
      </c>
      <c r="BR33" s="23">
        <f>IF($E33&lt;J33,SUM($BR$25:BR32)+1,0)</f>
        <v>0</v>
      </c>
      <c r="BS33" s="23">
        <v>0</v>
      </c>
      <c r="BT33" s="23">
        <f>IF(AND(SUM(Fuel_Use!$D$291:$H$302,Fuel_Use!$D$309:$H$312)&lt;&gt;0,Fuel_Use!$J$316="please answer",$E33&lt;&gt;0,ISBLANK(Generator_Info!C24)=FALSE),BT$107&amp;ROW(Fuel_Use!$J$316)&amp;" ","")</f>
      </c>
      <c r="BU33" s="23">
        <f>IF(AND(SUM(Fuel_Use!$D$291:$H$302,Fuel_Use!$D$309:$H$312)&lt;&gt;0,Fuel_Use!$J$317="please answer",$E33&lt;&gt;0,ISBLANK(Generator_Info!D24)=FALSE),BU$107&amp;ROW(Fuel_Use!$J$317)&amp;" ","")</f>
      </c>
      <c r="BV33" s="23">
        <f t="shared" si="10"/>
        <v>33</v>
      </c>
      <c r="BW33" s="23" t="str">
        <f>IF(ISBLANK(Generator_Info!B24),"Station "&amp;Generator_Info!A24,Generator_Info!B24)</f>
        <v>Station 9</v>
      </c>
    </row>
    <row r="34" spans="1:75" s="23" customFormat="1" ht="12.75">
      <c r="A34" s="23">
        <v>10</v>
      </c>
      <c r="B34" s="114">
        <f>IF(ISBLANK(Generator_Info!B25),"",Generator_Info!B25)</f>
      </c>
      <c r="C34" s="116"/>
      <c r="D34" s="103" t="s">
        <v>8</v>
      </c>
      <c r="E34" s="44"/>
      <c r="F34" s="44"/>
      <c r="G34" s="44"/>
      <c r="H34" s="44"/>
      <c r="I34" s="87">
        <f>IF(AND(F34+G34+H34&lt;=0.005*E34,Generator_Info!J25&lt;&gt;Generator_Info!$K$19),IF(Generator_Info!I25="No",0,Input_Output_Info!F34),Input_Output_Info!F34+Input_Output_Info!H34+IF(Generator_Info!J25=Generator_Info!$K$18,0,Input_Output_Info!G34))</f>
        <v>0</v>
      </c>
      <c r="J34" s="87">
        <f>IF(Generator_Info!J25=Generator_Info!$K$18,0,Input_Output_Info!G34)+IF(Generator_Info!I25="No",0,Input_Output_Info!F34)</f>
        <v>0</v>
      </c>
      <c r="K34" s="88">
        <f>IF(OR(AND(ISBLANK(Generator_Info!C25),ISBLANK(Generator_Info!B25)=FALSE),Fuel_Use!J351=Fuel_Use!$S$25),"n/a",IF(SUM(Fuel_Use!D326:H337,Fuel_Use!D344:H347)=0,AX34,Fuel_Use!$J$339))</f>
        <v>1</v>
      </c>
      <c r="L34" s="88">
        <f>IF(OR(AND(ISBLANK(Generator_Info!D25),ISBLANK(Generator_Info!B25)=FALSE),Fuel_Use!J352=Fuel_Use!$S$30,$G$3=$Z$25),"n/a",IF(SUM(Fuel_Use!D326:H337,Fuel_Use!D344:H347)=0,AX34,IF(AND(Fuel_Use!J339&gt;=0.9,Fuel_Use!J352="Yes",Fuel_Use!U338=0),1,Fuel_Use!V338)))</f>
        <v>1</v>
      </c>
      <c r="M34" s="49">
        <f>IF(OR($AJ$43="Yes",Fuel_Use!J351="not claiming ROCs",ISBLANK(Generator_Info!C25)),0,((E34-I34)*IF(K34="n/a",1,K34))/1000)</f>
        <v>0</v>
      </c>
      <c r="N34" s="49">
        <f>IF(OR($G$3=$Z$25,$AJ$44="Yes",Fuel_Use!J352="not claiming LECs",ISBLANK(Generator_Info!D25)),0,((E34-J34)*IF(L34="n/a",1,L34))/1000)</f>
        <v>0</v>
      </c>
      <c r="O34" s="86"/>
      <c r="P34" s="4">
        <f>IF(ISERROR(VLOOKUP(512,$BB$25:$BW$104,22,FALSE)),"",VLOOKUP(512,$BB$25:$BW$104,22,FALSE))</f>
      </c>
      <c r="Q34" s="3"/>
      <c r="R34" s="88">
        <f>IF(ISERROR(VLOOKUP(512,$BB$25:$BN$104,2,FALSE)),"",VLOOKUP(512,$BB$25:$BN$104,2,FALSE))</f>
      </c>
      <c r="S34" s="88">
        <f>IF(ISERROR(VLOOKUP(512,$BB$25:$BN$104,3,FALSE)),"",VLOOKUP(512,$BB$25:$BN$104,3,FALSE))</f>
      </c>
      <c r="T34" s="88">
        <f>IF(ISERROR(VLOOKUP(512,$BB$25:$BN$104,4,FALSE)),"",VLOOKUP(512,$BB$25:$BN$104,4,FALSE))</f>
      </c>
      <c r="U34" s="50">
        <f>IF(ISERROR(VLOOKUP(512,$BB$25:$BN$104,5,FALSE)),"",VLOOKUP(512,$BB$25:$BN$104,5,FALSE))</f>
      </c>
      <c r="V34" s="50">
        <f>IF(ISERROR(VLOOKUP(512,$BB$25:$BN$104,6,FALSE)),"",VLOOKUP(512,$BB$25:$BN$104,6,FALSE))</f>
      </c>
      <c r="W34" s="50">
        <f>IF(ISERROR(VLOOKUP(512,$BB$25:$BN$104,7,FALSE)),"",VLOOKUP(512,$BB$25:$BN$104,7,FALSE))</f>
      </c>
      <c r="X34" s="86"/>
      <c r="Z34" s="89" t="s">
        <v>45</v>
      </c>
      <c r="AA34" s="4">
        <v>2016</v>
      </c>
      <c r="AC34" s="4" t="s">
        <v>124</v>
      </c>
      <c r="AD34" s="4">
        <v>1</v>
      </c>
      <c r="AG34" s="93">
        <f>IF(AJ34&lt;&gt;"No",1,0)</f>
        <v>0</v>
      </c>
      <c r="AH34" s="89"/>
      <c r="AI34" s="34" t="s">
        <v>171</v>
      </c>
      <c r="AJ34" s="89" t="str">
        <f>IF(BO113=0,"No",IF(BO113&gt;15,"Many","Yes"))</f>
        <v>No</v>
      </c>
      <c r="AK34" s="89">
        <f>IF(AJ34&lt;&gt;"Yes","",BO112)</f>
      </c>
      <c r="AL34" s="89">
        <f>IF(AJ34&lt;&gt;"No","input generated by the generating station","")</f>
      </c>
      <c r="AV34" s="23">
        <f>RIGHT(Generator_Info!C25,3)</f>
      </c>
      <c r="AW34" s="23" t="str">
        <f>IF(LEN(Generator_Info!C25)=10,LEFT(AV34,1),"Unknown")</f>
        <v>Unknown</v>
      </c>
      <c r="AX34" s="23">
        <f t="shared" si="4"/>
        <v>1</v>
      </c>
      <c r="AY34" s="23">
        <f t="shared" si="9"/>
        <v>0</v>
      </c>
      <c r="AZ34" s="23">
        <f t="shared" si="0"/>
        <v>0</v>
      </c>
      <c r="BB34" s="23">
        <f>IF(OR(AW34="b",AW34="n"),SUM($BB$25:BB33)+1,0)</f>
        <v>0</v>
      </c>
      <c r="BC34" s="91">
        <f>Fuel_Use!J338</f>
        <v>0</v>
      </c>
      <c r="BD34" s="91">
        <f t="shared" si="6"/>
        <v>1</v>
      </c>
      <c r="BE34" s="91">
        <f t="shared" si="1"/>
        <v>1</v>
      </c>
      <c r="BF34" s="92">
        <f t="shared" si="2"/>
        <v>0</v>
      </c>
      <c r="BG34" s="92">
        <f t="shared" si="7"/>
        <v>0</v>
      </c>
      <c r="BH34" s="92">
        <f t="shared" si="3"/>
        <v>0</v>
      </c>
      <c r="BI34" s="92"/>
      <c r="BJ34" s="92"/>
      <c r="BM34" s="23">
        <f>IF(E34&lt;&gt;0,IF(D34="please answer",SUM($BM$25:BM33)+1,0),0)</f>
        <v>0</v>
      </c>
      <c r="BN34" s="23">
        <f>IF($E34&lt;&gt;0,IF(ISBLANK(F34),SUM($BN$25:BN33)+1,0),0)</f>
        <v>0</v>
      </c>
      <c r="BO34" s="23">
        <f>IF(AND($E34&lt;&gt;0,ISBLANK(G34)=TRUE,Generator_Info!J25&lt;&gt;Generator_Info!$K$19),SUM($BO$25:BO33)+1,0)</f>
        <v>0</v>
      </c>
      <c r="BP34" s="23">
        <f>IF($E34&lt;&gt;0,IF(ISBLANK(H34),SUM($BP$25:BP33)+1,0),0)</f>
        <v>0</v>
      </c>
      <c r="BQ34" s="23">
        <f>IF($E34&lt;I34,SUM($BQ$25:BQ33)+1,0)</f>
        <v>0</v>
      </c>
      <c r="BR34" s="23">
        <f>IF($E34&lt;J34,SUM($BR$25:BR33)+1,0)</f>
        <v>0</v>
      </c>
      <c r="BS34" s="23">
        <v>0</v>
      </c>
      <c r="BT34" s="23">
        <f>IF(AND(SUM(Fuel_Use!$D$326:$H$337,Fuel_Use!$D$344:$H$347)&lt;&gt;0,Fuel_Use!$J$351="please answer",$E34&lt;&gt;0,ISBLANK(Generator_Info!C25)=FALSE),BT$107&amp;ROW(Fuel_Use!$J$351)&amp;" ","")</f>
      </c>
      <c r="BU34" s="23">
        <f>IF(AND(SUM(Fuel_Use!$D$326:$H$337,Fuel_Use!$D$344:$H$347)&lt;&gt;0,Fuel_Use!$J$352="please answer",$E34&lt;&gt;0,ISBLANK(Generator_Info!D25)=FALSE),BU$107&amp;ROW(Fuel_Use!$J$352)&amp;" ","")</f>
      </c>
      <c r="BV34" s="23">
        <f t="shared" si="10"/>
        <v>34</v>
      </c>
      <c r="BW34" s="23" t="str">
        <f>IF(ISBLANK(Generator_Info!B25),"Station "&amp;Generator_Info!A25,Generator_Info!B25)</f>
        <v>Station 10</v>
      </c>
    </row>
    <row r="35" spans="1:75" s="23" customFormat="1" ht="12.75">
      <c r="A35" s="23">
        <v>11</v>
      </c>
      <c r="B35" s="114">
        <f>IF(ISBLANK(Generator_Info!B26),"",Generator_Info!B26)</f>
      </c>
      <c r="C35" s="116"/>
      <c r="D35" s="103" t="s">
        <v>8</v>
      </c>
      <c r="E35" s="44"/>
      <c r="F35" s="44"/>
      <c r="G35" s="44"/>
      <c r="H35" s="44"/>
      <c r="I35" s="87">
        <f>IF(AND(F35+G35+H35&lt;=0.005*E35,Generator_Info!J26&lt;&gt;Generator_Info!$K$19),IF(Generator_Info!I26="No",0,Input_Output_Info!F35),Input_Output_Info!F35+Input_Output_Info!H35+IF(Generator_Info!J26=Generator_Info!$K$18,0,Input_Output_Info!G35))</f>
        <v>0</v>
      </c>
      <c r="J35" s="87">
        <f>IF(Generator_Info!J26=Generator_Info!$K$18,0,Input_Output_Info!G35)+IF(Generator_Info!I26="No",0,Input_Output_Info!F35)</f>
        <v>0</v>
      </c>
      <c r="K35" s="88">
        <f>IF(AND(ISBLANK(Generator_Info!C26),ISBLANK(Generator_Info!B26)=FALSE),"n/a",$AX35)</f>
        <v>1</v>
      </c>
      <c r="L35" s="88">
        <f>IF(OR($G$3=$Z$25,AND(ISBLANK(Generator_Info!D26),ISBLANK(Generator_Info!B26)=FALSE)),"n/a",$AX35)</f>
        <v>1</v>
      </c>
      <c r="M35" s="49">
        <f>IF(OR($AJ$43="Yes",ISBLANK(Generator_Info!C26)),0,((E35-I35)*IF(K35="n/a",1,K35))/1000)</f>
        <v>0</v>
      </c>
      <c r="N35" s="49">
        <f>IF(OR($G$3=$Z$25,$AJ$44="Yes",ISBLANK(Generator_Info!D26)),0,((E35-J35)*IF(L35="n/a",1,L35))/1000)</f>
        <v>0</v>
      </c>
      <c r="O35" s="86"/>
      <c r="P35" s="86"/>
      <c r="Q35" s="86"/>
      <c r="R35" s="86"/>
      <c r="S35" s="86"/>
      <c r="T35" s="86"/>
      <c r="U35" s="86"/>
      <c r="V35" s="86"/>
      <c r="W35" s="86"/>
      <c r="X35" s="86"/>
      <c r="Z35" s="4" t="s">
        <v>46</v>
      </c>
      <c r="AA35" s="4">
        <v>2017</v>
      </c>
      <c r="AC35" s="4" t="s">
        <v>125</v>
      </c>
      <c r="AD35" s="4">
        <v>1</v>
      </c>
      <c r="AG35" s="95">
        <f>IF(AJ35&lt;&gt;"No",1,0)</f>
        <v>0</v>
      </c>
      <c r="AH35" s="89"/>
      <c r="AI35" s="34" t="s">
        <v>172</v>
      </c>
      <c r="AJ35" s="89" t="str">
        <f>IF(BP113=0,"No",IF(BP113&gt;15,"Many","Yes"))</f>
        <v>No</v>
      </c>
      <c r="AK35" s="89">
        <f>IF(AJ35&lt;&gt;"Yes","",BP112)</f>
      </c>
      <c r="AL35" s="89">
        <f>IF(AJ35&lt;&gt;"No","standby generation figures","")</f>
      </c>
      <c r="AV35" s="23">
        <f>RIGHT(Generator_Info!C26,3)</f>
      </c>
      <c r="AW35" s="23" t="str">
        <f>IF(LEN(Generator_Info!C26)=10,LEFT(AV35,1),"Unknown")</f>
        <v>Unknown</v>
      </c>
      <c r="AX35" s="23">
        <f t="shared" si="4"/>
        <v>1</v>
      </c>
      <c r="AY35" s="23">
        <f t="shared" si="9"/>
        <v>0</v>
      </c>
      <c r="AZ35" s="23">
        <f t="shared" si="0"/>
        <v>0</v>
      </c>
      <c r="BB35" s="23">
        <f>IF(OR(AW35="b",AW35="n"),SUM($BB$25:BB34)+1,0)</f>
        <v>0</v>
      </c>
      <c r="BM35" s="23">
        <f>IF(E35&lt;&gt;0,IF(D35="please answer",SUM($BM$25:BM34)+1,0),0)</f>
        <v>0</v>
      </c>
      <c r="BN35" s="23">
        <f>IF($E35&lt;&gt;0,IF(ISBLANK(F35),SUM($BN$25:BN34)+1,0),0)</f>
        <v>0</v>
      </c>
      <c r="BO35" s="23">
        <f>IF(AND($E35&lt;&gt;0,ISBLANK(G35)=TRUE,Generator_Info!J26&lt;&gt;Generator_Info!$K$19),SUM($BO$25:BO34)+1,0)</f>
        <v>0</v>
      </c>
      <c r="BP35" s="23">
        <f>IF($E35&lt;&gt;0,IF(ISBLANK(H35),SUM($BP$25:BP34)+1,0),0)</f>
        <v>0</v>
      </c>
      <c r="BQ35" s="23">
        <f>IF($E35&lt;I35,SUM($BQ$25:BQ34)+1,0)</f>
        <v>0</v>
      </c>
      <c r="BR35" s="23">
        <f>IF($E35&lt;J35,SUM($BR$25:BR34)+1,0)</f>
        <v>0</v>
      </c>
      <c r="BS35" s="23">
        <f>IF(OR(AW35="b"),SUM($BS$25:BS34)+1,0)</f>
        <v>0</v>
      </c>
      <c r="BT35" s="23">
        <f aca="true" t="shared" si="11" ref="BT35:BU44">IF(BT25&lt;&gt;"",1,0)</f>
        <v>0</v>
      </c>
      <c r="BU35" s="23">
        <f t="shared" si="11"/>
        <v>0</v>
      </c>
      <c r="BV35" s="23">
        <f t="shared" si="10"/>
        <v>35</v>
      </c>
      <c r="BW35" s="23" t="str">
        <f>IF(ISBLANK(Generator_Info!B26),"Station "&amp;Generator_Info!A26,Generator_Info!B26)</f>
        <v>Station 11</v>
      </c>
    </row>
    <row r="36" spans="1:75" s="23" customFormat="1" ht="12.75">
      <c r="A36" s="23">
        <v>12</v>
      </c>
      <c r="B36" s="114">
        <f>IF(ISBLANK(Generator_Info!B27),"",Generator_Info!B27)</f>
      </c>
      <c r="C36" s="116"/>
      <c r="D36" s="103" t="s">
        <v>8</v>
      </c>
      <c r="E36" s="44"/>
      <c r="F36" s="44"/>
      <c r="G36" s="44"/>
      <c r="H36" s="44"/>
      <c r="I36" s="87">
        <f>IF(AND(F36+G36+H36&lt;=0.005*E36,Generator_Info!J27&lt;&gt;Generator_Info!$K$19),IF(Generator_Info!I27="No",0,Input_Output_Info!F36),Input_Output_Info!F36+Input_Output_Info!H36+IF(Generator_Info!J27=Generator_Info!$K$18,0,Input_Output_Info!G36))</f>
        <v>0</v>
      </c>
      <c r="J36" s="87">
        <f>IF(Generator_Info!J27=Generator_Info!$K$18,0,Input_Output_Info!G36)+IF(Generator_Info!I27="No",0,Input_Output_Info!F36)</f>
        <v>0</v>
      </c>
      <c r="K36" s="88">
        <f>IF(AND(ISBLANK(Generator_Info!C27),ISBLANK(Generator_Info!B27)=FALSE),"n/a",$AX36)</f>
        <v>1</v>
      </c>
      <c r="L36" s="88">
        <f>IF(OR($G$3=$Z$25,AND(ISBLANK(Generator_Info!D27),ISBLANK(Generator_Info!B27)=FALSE)),"n/a",$AX36)</f>
        <v>1</v>
      </c>
      <c r="M36" s="49">
        <f>IF(OR($AJ$43="Yes",ISBLANK(Generator_Info!C27)),0,((E36-I36)*IF(K36="n/a",1,K36))/1000)</f>
        <v>0</v>
      </c>
      <c r="N36" s="49">
        <f>IF(OR($G$3=$Z$25,$AJ$44="Yes",ISBLANK(Generator_Info!D27)),0,((E36-J36)*IF(L36="n/a",1,L36))/1000)</f>
        <v>0</v>
      </c>
      <c r="O36" s="86"/>
      <c r="P36" s="86"/>
      <c r="Q36" s="86"/>
      <c r="R36" s="86"/>
      <c r="S36" s="86"/>
      <c r="T36" s="86"/>
      <c r="U36" s="86"/>
      <c r="V36" s="86"/>
      <c r="W36" s="86"/>
      <c r="X36" s="86"/>
      <c r="Z36" s="4" t="s">
        <v>47</v>
      </c>
      <c r="AA36" s="4">
        <v>2018</v>
      </c>
      <c r="AC36" s="4" t="s">
        <v>126</v>
      </c>
      <c r="AD36" s="24">
        <v>1</v>
      </c>
      <c r="AG36" s="90">
        <f>IF(SUM(AG37:AG38)&lt;&gt;0,$AG$30+1,$AG$30)</f>
        <v>0</v>
      </c>
      <c r="AH36" s="90" t="s">
        <v>168</v>
      </c>
      <c r="AI36" s="90" t="s">
        <v>176</v>
      </c>
      <c r="AJ36" s="90"/>
      <c r="AK36" s="90">
        <f>IF(OR(AJ37="Many",AJ38="Many"),"Multiple",IF(SUM(AG37:AG38)=2,AK37,AK37&amp;AK38))</f>
      </c>
      <c r="AL36" s="90" t="b">
        <f>IF(SUM(AG37:AG38)&lt;&gt;0,IF(OR(AJ37="many",AJ38="many"),"The output entered for several generating stations is less than the input to be deducted for the ROC and/or LEC issue","The output entered for "&amp;BQ118&amp;"is less than the input to be deducted for the ROC and/or LEC issue"))</f>
        <v>0</v>
      </c>
      <c r="AV36" s="23">
        <f>RIGHT(Generator_Info!C27,3)</f>
      </c>
      <c r="AW36" s="23" t="str">
        <f>IF(LEN(Generator_Info!C27)=10,LEFT(AV36,1),"Unknown")</f>
        <v>Unknown</v>
      </c>
      <c r="AX36" s="23">
        <f t="shared" si="4"/>
        <v>1</v>
      </c>
      <c r="AY36" s="23">
        <f t="shared" si="9"/>
        <v>0</v>
      </c>
      <c r="AZ36" s="23">
        <f t="shared" si="0"/>
        <v>0</v>
      </c>
      <c r="BB36" s="23">
        <f>IF(OR(AW36="b",AW36="n"),SUM($BB$25:BB35)+1,0)</f>
        <v>0</v>
      </c>
      <c r="BM36" s="23">
        <f>IF(E36&lt;&gt;0,IF(D36="please answer",SUM($BM$25:BM35)+1,0),0)</f>
        <v>0</v>
      </c>
      <c r="BN36" s="23">
        <f>IF($E36&lt;&gt;0,IF(ISBLANK(F36),SUM($BN$25:BN35)+1,0),0)</f>
        <v>0</v>
      </c>
      <c r="BO36" s="23">
        <f>IF(AND($E36&lt;&gt;0,ISBLANK(G36)=TRUE,Generator_Info!J27&lt;&gt;Generator_Info!$K$19),SUM($BO$25:BO35)+1,0)</f>
        <v>0</v>
      </c>
      <c r="BP36" s="23">
        <f>IF($E36&lt;&gt;0,IF(ISBLANK(H36),SUM($BP$25:BP35)+1,0),0)</f>
        <v>0</v>
      </c>
      <c r="BQ36" s="23">
        <f>IF($E36&lt;I36,SUM($BQ$25:BQ35)+1,0)</f>
        <v>0</v>
      </c>
      <c r="BR36" s="23">
        <f>IF($E36&lt;J36,SUM($BR$25:BR35)+1,0)</f>
        <v>0</v>
      </c>
      <c r="BS36" s="23">
        <f>IF(OR(AW36="b"),SUM($BS$25:BS35)+1,0)</f>
        <v>0</v>
      </c>
      <c r="BT36" s="23">
        <f t="shared" si="11"/>
        <v>0</v>
      </c>
      <c r="BU36" s="23">
        <f t="shared" si="11"/>
        <v>0</v>
      </c>
      <c r="BV36" s="23">
        <f t="shared" si="10"/>
        <v>36</v>
      </c>
      <c r="BW36" s="23" t="str">
        <f>IF(ISBLANK(Generator_Info!B27),"Station "&amp;Generator_Info!A27,Generator_Info!B27)</f>
        <v>Station 12</v>
      </c>
    </row>
    <row r="37" spans="1:75" s="23" customFormat="1" ht="12.75">
      <c r="A37" s="23">
        <v>13</v>
      </c>
      <c r="B37" s="114">
        <f>IF(ISBLANK(Generator_Info!B28),"",Generator_Info!B28)</f>
      </c>
      <c r="C37" s="116"/>
      <c r="D37" s="103" t="s">
        <v>8</v>
      </c>
      <c r="E37" s="44"/>
      <c r="F37" s="44"/>
      <c r="G37" s="44"/>
      <c r="H37" s="44"/>
      <c r="I37" s="87">
        <f>IF(AND(F37+G37+H37&lt;=0.005*E37,Generator_Info!J28&lt;&gt;Generator_Info!$K$19),IF(Generator_Info!I28="No",0,Input_Output_Info!F37),Input_Output_Info!F37+Input_Output_Info!H37+IF(Generator_Info!J28=Generator_Info!$K$18,0,Input_Output_Info!G37))</f>
        <v>0</v>
      </c>
      <c r="J37" s="87">
        <f>IF(Generator_Info!J28=Generator_Info!$K$18,0,Input_Output_Info!G37)+IF(Generator_Info!I28="No",0,Input_Output_Info!F37)</f>
        <v>0</v>
      </c>
      <c r="K37" s="88">
        <f>IF(AND(ISBLANK(Generator_Info!C28),ISBLANK(Generator_Info!B28)=FALSE),"n/a",$AX37)</f>
        <v>1</v>
      </c>
      <c r="L37" s="88">
        <f>IF(OR($G$3=$Z$25,AND(ISBLANK(Generator_Info!D28),ISBLANK(Generator_Info!B28)=FALSE)),"n/a",$AX37)</f>
        <v>1</v>
      </c>
      <c r="M37" s="49">
        <f>IF(OR($AJ$43="Yes",ISBLANK(Generator_Info!C28)),0,((E37-I37)*IF(K37="n/a",1,K37))/1000)</f>
        <v>0</v>
      </c>
      <c r="N37" s="49">
        <f>IF(OR($G$3=$Z$25,$AJ$44="Yes",ISBLANK(Generator_Info!D28)),0,((E37-J37)*IF(L37="n/a",1,L37))/1000)</f>
        <v>0</v>
      </c>
      <c r="O37" s="86"/>
      <c r="P37" s="86"/>
      <c r="Q37" s="86"/>
      <c r="R37" s="86"/>
      <c r="S37" s="86"/>
      <c r="T37" s="86"/>
      <c r="U37" s="86"/>
      <c r="V37" s="86"/>
      <c r="W37" s="86"/>
      <c r="X37" s="86"/>
      <c r="Z37" s="4" t="s">
        <v>48</v>
      </c>
      <c r="AA37" s="4">
        <v>2019</v>
      </c>
      <c r="AC37" s="4" t="s">
        <v>127</v>
      </c>
      <c r="AD37" s="24">
        <v>1</v>
      </c>
      <c r="AG37" s="95">
        <f>IF(AJ37&lt;&gt;"No",1,0)</f>
        <v>0</v>
      </c>
      <c r="AH37" s="89"/>
      <c r="AI37" s="34" t="s">
        <v>174</v>
      </c>
      <c r="AJ37" s="89" t="str">
        <f>IF(BQ113=0,"No",IF(BQ113&gt;15,"Many","Yes"))</f>
        <v>No</v>
      </c>
      <c r="AK37" s="89">
        <f>IF(AJ37&lt;&gt;"Yes","",BQ112)</f>
      </c>
      <c r="AL37" s="89"/>
      <c r="AV37" s="23">
        <f>RIGHT(Generator_Info!C28,3)</f>
      </c>
      <c r="AW37" s="23" t="str">
        <f>IF(LEN(Generator_Info!C28)=10,LEFT(AV37,1),"Unknown")</f>
        <v>Unknown</v>
      </c>
      <c r="AX37" s="23">
        <f t="shared" si="4"/>
        <v>1</v>
      </c>
      <c r="AY37" s="23">
        <f t="shared" si="9"/>
        <v>0</v>
      </c>
      <c r="AZ37" s="23">
        <f t="shared" si="0"/>
        <v>0</v>
      </c>
      <c r="BB37" s="23">
        <f>IF(OR(AW37="b",AW37="n"),SUM($BB$25:BB36)+1,0)</f>
        <v>0</v>
      </c>
      <c r="BM37" s="23">
        <f>IF(E37&lt;&gt;0,IF(D37="please answer",SUM($BM$25:BM36)+1,0),0)</f>
        <v>0</v>
      </c>
      <c r="BN37" s="23">
        <f>IF($E37&lt;&gt;0,IF(ISBLANK(F37),SUM($BN$25:BN36)+1,0),0)</f>
        <v>0</v>
      </c>
      <c r="BO37" s="23">
        <f>IF(AND($E37&lt;&gt;0,ISBLANK(G37)=TRUE,Generator_Info!J28&lt;&gt;Generator_Info!$K$19),SUM($BO$25:BO36)+1,0)</f>
        <v>0</v>
      </c>
      <c r="BP37" s="23">
        <f>IF($E37&lt;&gt;0,IF(ISBLANK(H37),SUM($BP$25:BP36)+1,0),0)</f>
        <v>0</v>
      </c>
      <c r="BQ37" s="23">
        <f>IF($E37&lt;I37,SUM($BQ$25:BQ36)+1,0)</f>
        <v>0</v>
      </c>
      <c r="BR37" s="23">
        <f>IF($E37&lt;J37,SUM($BR$25:BR36)+1,0)</f>
        <v>0</v>
      </c>
      <c r="BS37" s="23">
        <f>IF(OR(AW37="b"),SUM($BS$25:BS36)+1,0)</f>
        <v>0</v>
      </c>
      <c r="BT37" s="23">
        <f t="shared" si="11"/>
        <v>0</v>
      </c>
      <c r="BU37" s="23">
        <f t="shared" si="11"/>
        <v>0</v>
      </c>
      <c r="BV37" s="23">
        <f t="shared" si="10"/>
        <v>37</v>
      </c>
      <c r="BW37" s="23" t="str">
        <f>IF(ISBLANK(Generator_Info!B28),"Station "&amp;Generator_Info!A28,Generator_Info!B28)</f>
        <v>Station 13</v>
      </c>
    </row>
    <row r="38" spans="1:75" s="23" customFormat="1" ht="12.75">
      <c r="A38" s="23">
        <v>14</v>
      </c>
      <c r="B38" s="114">
        <f>IF(ISBLANK(Generator_Info!B29),"",Generator_Info!B29)</f>
      </c>
      <c r="C38" s="116"/>
      <c r="D38" s="103" t="s">
        <v>8</v>
      </c>
      <c r="E38" s="44"/>
      <c r="F38" s="44"/>
      <c r="G38" s="44"/>
      <c r="H38" s="44"/>
      <c r="I38" s="87">
        <f>IF(AND(F38+G38+H38&lt;=0.005*E38,Generator_Info!J29&lt;&gt;Generator_Info!$K$19),IF(Generator_Info!I29="No",0,Input_Output_Info!F38),Input_Output_Info!F38+Input_Output_Info!H38+IF(Generator_Info!J29=Generator_Info!$K$18,0,Input_Output_Info!G38))</f>
        <v>0</v>
      </c>
      <c r="J38" s="87">
        <f>IF(Generator_Info!J29=Generator_Info!$K$18,0,Input_Output_Info!G38)+IF(Generator_Info!I29="No",0,Input_Output_Info!F38)</f>
        <v>0</v>
      </c>
      <c r="K38" s="88">
        <f>IF(AND(ISBLANK(Generator_Info!C29),ISBLANK(Generator_Info!B29)=FALSE),"n/a",$AX38)</f>
        <v>1</v>
      </c>
      <c r="L38" s="88">
        <f>IF(OR($G$3=$Z$25,AND(ISBLANK(Generator_Info!D29),ISBLANK(Generator_Info!B29)=FALSE)),"n/a",$AX38)</f>
        <v>1</v>
      </c>
      <c r="M38" s="49">
        <f>IF(OR($AJ$43="Yes",ISBLANK(Generator_Info!C29)),0,((E38-I38)*IF(K38="n/a",1,K38))/1000)</f>
        <v>0</v>
      </c>
      <c r="N38" s="49">
        <f>IF(OR($G$3=$Z$25,$AJ$44="Yes",ISBLANK(Generator_Info!D29)),0,((E38-J38)*IF(L38="n/a",1,L38))/1000)</f>
        <v>0</v>
      </c>
      <c r="O38" s="86"/>
      <c r="P38" s="86"/>
      <c r="Q38" s="86"/>
      <c r="R38" s="86"/>
      <c r="S38" s="86"/>
      <c r="T38" s="86"/>
      <c r="U38" s="86"/>
      <c r="V38" s="86"/>
      <c r="W38" s="86"/>
      <c r="X38" s="86"/>
      <c r="Z38" s="4"/>
      <c r="AA38" s="4">
        <v>2020</v>
      </c>
      <c r="AC38" s="4" t="s">
        <v>128</v>
      </c>
      <c r="AD38" s="24">
        <v>0</v>
      </c>
      <c r="AG38" s="96">
        <f>IF(AJ38&lt;&gt;"No",1,0)</f>
        <v>0</v>
      </c>
      <c r="AH38" s="89"/>
      <c r="AI38" s="34" t="s">
        <v>175</v>
      </c>
      <c r="AJ38" s="89" t="str">
        <f>IF(BR113=0,"No",IF(BR113&gt;15,"Many","Yes"))</f>
        <v>No</v>
      </c>
      <c r="AK38" s="89">
        <f>IF(AJ38&lt;&gt;"Yes","",BR112)</f>
      </c>
      <c r="AL38" s="89"/>
      <c r="AV38" s="23">
        <f>RIGHT(Generator_Info!C29,3)</f>
      </c>
      <c r="AW38" s="23" t="str">
        <f>IF(LEN(Generator_Info!C29)=10,LEFT(AV38,1),"Unknown")</f>
        <v>Unknown</v>
      </c>
      <c r="AX38" s="23">
        <f t="shared" si="4"/>
        <v>1</v>
      </c>
      <c r="AY38" s="23">
        <f t="shared" si="9"/>
        <v>0</v>
      </c>
      <c r="AZ38" s="23">
        <f t="shared" si="0"/>
        <v>0</v>
      </c>
      <c r="BB38" s="23">
        <f>IF(OR(AW38="b",AW38="n"),SUM($BB$25:BB37)+1,0)</f>
        <v>0</v>
      </c>
      <c r="BM38" s="23">
        <f>IF(E38&lt;&gt;0,IF(D38="please answer",SUM($BM$25:BM37)+1,0),0)</f>
        <v>0</v>
      </c>
      <c r="BN38" s="23">
        <f>IF($E38&lt;&gt;0,IF(ISBLANK(F38),SUM($BN$25:BN37)+1,0),0)</f>
        <v>0</v>
      </c>
      <c r="BO38" s="23">
        <f>IF(AND($E38&lt;&gt;0,ISBLANK(G38)=TRUE,Generator_Info!J29&lt;&gt;Generator_Info!$K$19),SUM($BO$25:BO37)+1,0)</f>
        <v>0</v>
      </c>
      <c r="BP38" s="23">
        <f>IF($E38&lt;&gt;0,IF(ISBLANK(H38),SUM($BP$25:BP37)+1,0),0)</f>
        <v>0</v>
      </c>
      <c r="BQ38" s="23">
        <f>IF($E38&lt;I38,SUM($BQ$25:BQ37)+1,0)</f>
        <v>0</v>
      </c>
      <c r="BR38" s="23">
        <f>IF($E38&lt;J38,SUM($BR$25:BR37)+1,0)</f>
        <v>0</v>
      </c>
      <c r="BS38" s="23">
        <f>IF(OR(AW38="b"),SUM($BS$25:BS37)+1,0)</f>
        <v>0</v>
      </c>
      <c r="BT38" s="23">
        <f t="shared" si="11"/>
        <v>0</v>
      </c>
      <c r="BU38" s="23">
        <f t="shared" si="11"/>
        <v>0</v>
      </c>
      <c r="BV38" s="23">
        <f t="shared" si="10"/>
        <v>38</v>
      </c>
      <c r="BW38" s="23" t="str">
        <f>IF(ISBLANK(Generator_Info!B29),"Station "&amp;Generator_Info!A29,Generator_Info!B29)</f>
        <v>Station 14</v>
      </c>
    </row>
    <row r="39" spans="1:75" s="23" customFormat="1" ht="12.75">
      <c r="A39" s="23">
        <v>15</v>
      </c>
      <c r="B39" s="114">
        <f>IF(ISBLANK(Generator_Info!B30),"",Generator_Info!B30)</f>
      </c>
      <c r="C39" s="116"/>
      <c r="D39" s="103" t="s">
        <v>8</v>
      </c>
      <c r="E39" s="44"/>
      <c r="F39" s="44"/>
      <c r="G39" s="44"/>
      <c r="H39" s="44"/>
      <c r="I39" s="87">
        <f>IF(AND(F39+G39+H39&lt;=0.005*E39,Generator_Info!J30&lt;&gt;Generator_Info!$K$19),IF(Generator_Info!I30="No",0,Input_Output_Info!F39),Input_Output_Info!F39+Input_Output_Info!H39+IF(Generator_Info!J30=Generator_Info!$K$18,0,Input_Output_Info!G39))</f>
        <v>0</v>
      </c>
      <c r="J39" s="87">
        <f>IF(Generator_Info!J30=Generator_Info!$K$18,0,Input_Output_Info!G39)+IF(Generator_Info!I30="No",0,Input_Output_Info!F39)</f>
        <v>0</v>
      </c>
      <c r="K39" s="88">
        <f>IF(AND(ISBLANK(Generator_Info!C30),ISBLANK(Generator_Info!B30)=FALSE),"n/a",$AX39)</f>
        <v>1</v>
      </c>
      <c r="L39" s="88">
        <f>IF(OR($G$3=$Z$25,AND(ISBLANK(Generator_Info!D30),ISBLANK(Generator_Info!B30)=FALSE)),"n/a",$AX39)</f>
        <v>1</v>
      </c>
      <c r="M39" s="49">
        <f>IF(OR($AJ$43="Yes",ISBLANK(Generator_Info!C30)),0,((E39-I39)*IF(K39="n/a",1,K39))/1000)</f>
        <v>0</v>
      </c>
      <c r="N39" s="49">
        <f>IF(OR($G$3=$Z$25,$AJ$44="Yes",ISBLANK(Generator_Info!D30)),0,((E39-J39)*IF(L39="n/a",1,L39))/1000)</f>
        <v>0</v>
      </c>
      <c r="O39" s="86"/>
      <c r="P39" s="86"/>
      <c r="Q39" s="86"/>
      <c r="R39" s="86"/>
      <c r="S39" s="86"/>
      <c r="T39" s="86"/>
      <c r="U39" s="86"/>
      <c r="V39" s="86"/>
      <c r="W39" s="86"/>
      <c r="X39" s="86"/>
      <c r="Z39" s="4"/>
      <c r="AA39" s="4">
        <v>2021</v>
      </c>
      <c r="AC39" s="4" t="s">
        <v>129</v>
      </c>
      <c r="AD39" s="24">
        <v>1</v>
      </c>
      <c r="AG39" s="90">
        <f>IF(SUM(AG40:AG41)&lt;&gt;0,$AG$36+1,$AG$36)</f>
        <v>0</v>
      </c>
      <c r="AH39" s="90" t="s">
        <v>33</v>
      </c>
      <c r="AI39" s="90" t="s">
        <v>179</v>
      </c>
      <c r="AJ39" s="90"/>
      <c r="AK39" s="90">
        <f>IF(OR(AJ40="many",AJ41="many"),"Multiple",AK40&amp;AK41)</f>
      </c>
      <c r="AL39" s="90">
        <f>IF(SUM(AG40:AG41)=2,"Please answer the questions on whether any fossil fuel is used for "&amp;AL40&amp;" and "&amp;AL41,IF(SUM(AG40:AG41)=1,"Please answer the question(s) on whether any fossil fuel is used for "&amp;AL40&amp;AL41,""))</f>
      </c>
      <c r="AV39" s="23">
        <f>RIGHT(Generator_Info!C30,3)</f>
      </c>
      <c r="AW39" s="23" t="str">
        <f>IF(LEN(Generator_Info!C30)=10,LEFT(AV39,1),"Unknown")</f>
        <v>Unknown</v>
      </c>
      <c r="AX39" s="23">
        <f t="shared" si="4"/>
        <v>1</v>
      </c>
      <c r="AY39" s="23">
        <f t="shared" si="9"/>
        <v>0</v>
      </c>
      <c r="AZ39" s="23">
        <f t="shared" si="0"/>
        <v>0</v>
      </c>
      <c r="BB39" s="23">
        <f>IF(OR(AW39="b",AW39="n"),SUM($BB$25:BB38)+1,0)</f>
        <v>0</v>
      </c>
      <c r="BM39" s="23">
        <f>IF(E39&lt;&gt;0,IF(D39="please answer",SUM($BM$25:BM38)+1,0),0)</f>
        <v>0</v>
      </c>
      <c r="BN39" s="23">
        <f>IF($E39&lt;&gt;0,IF(ISBLANK(F39),SUM($BN$25:BN38)+1,0),0)</f>
        <v>0</v>
      </c>
      <c r="BO39" s="23">
        <f>IF(AND($E39&lt;&gt;0,ISBLANK(G39)=TRUE,Generator_Info!J30&lt;&gt;Generator_Info!$K$19),SUM($BO$25:BO38)+1,0)</f>
        <v>0</v>
      </c>
      <c r="BP39" s="23">
        <f>IF($E39&lt;&gt;0,IF(ISBLANK(H39),SUM($BP$25:BP38)+1,0),0)</f>
        <v>0</v>
      </c>
      <c r="BQ39" s="23">
        <f>IF($E39&lt;I39,SUM($BQ$25:BQ38)+1,0)</f>
        <v>0</v>
      </c>
      <c r="BR39" s="23">
        <f>IF($E39&lt;J39,SUM($BR$25:BR38)+1,0)</f>
        <v>0</v>
      </c>
      <c r="BS39" s="23">
        <f>IF(OR(AW39="b"),SUM($BS$25:BS38)+1,0)</f>
        <v>0</v>
      </c>
      <c r="BT39" s="23">
        <f t="shared" si="11"/>
        <v>0</v>
      </c>
      <c r="BU39" s="23">
        <f t="shared" si="11"/>
        <v>0</v>
      </c>
      <c r="BV39" s="23">
        <f t="shared" si="10"/>
        <v>39</v>
      </c>
      <c r="BW39" s="23" t="str">
        <f>IF(ISBLANK(Generator_Info!B30),"Station "&amp;Generator_Info!A30,Generator_Info!B30)</f>
        <v>Station 15</v>
      </c>
    </row>
    <row r="40" spans="1:75" s="23" customFormat="1" ht="12.75">
      <c r="A40" s="23">
        <v>16</v>
      </c>
      <c r="B40" s="114">
        <f>IF(ISBLANK(Generator_Info!B31),"",Generator_Info!B31)</f>
      </c>
      <c r="C40" s="116"/>
      <c r="D40" s="103" t="s">
        <v>8</v>
      </c>
      <c r="E40" s="44"/>
      <c r="F40" s="44"/>
      <c r="G40" s="44"/>
      <c r="H40" s="44"/>
      <c r="I40" s="87">
        <f>IF(AND(F40+G40+H40&lt;=0.005*E40,Generator_Info!J31&lt;&gt;Generator_Info!$K$19),IF(Generator_Info!I31="No",0,Input_Output_Info!F40),Input_Output_Info!F40+Input_Output_Info!H40+IF(Generator_Info!J31=Generator_Info!$K$18,0,Input_Output_Info!G40))</f>
        <v>0</v>
      </c>
      <c r="J40" s="87">
        <f>IF(Generator_Info!J31=Generator_Info!$K$18,0,Input_Output_Info!G40)+IF(Generator_Info!I31="No",0,Input_Output_Info!F40)</f>
        <v>0</v>
      </c>
      <c r="K40" s="88">
        <f>IF(AND(ISBLANK(Generator_Info!C31),ISBLANK(Generator_Info!B31)=FALSE),"n/a",$AX40)</f>
        <v>1</v>
      </c>
      <c r="L40" s="88">
        <f>IF(OR($G$3=$Z$25,AND(ISBLANK(Generator_Info!D31),ISBLANK(Generator_Info!B31)=FALSE)),"n/a",$AX40)</f>
        <v>1</v>
      </c>
      <c r="M40" s="49">
        <f>IF(OR($AJ$43="Yes",ISBLANK(Generator_Info!C31)),0,((E40-I40)*IF(K40="n/a",1,K40))/1000)</f>
        <v>0</v>
      </c>
      <c r="N40" s="49">
        <f>IF(OR($G$3=$Z$25,$AJ$44="Yes",ISBLANK(Generator_Info!D31)),0,((E40-J40)*IF(L40="n/a",1,L40))/1000)</f>
        <v>0</v>
      </c>
      <c r="O40" s="86"/>
      <c r="P40" s="86"/>
      <c r="Q40" s="86"/>
      <c r="R40" s="86"/>
      <c r="S40" s="86"/>
      <c r="T40" s="86"/>
      <c r="U40" s="86"/>
      <c r="V40" s="86"/>
      <c r="W40" s="86"/>
      <c r="X40" s="86"/>
      <c r="Z40" s="4"/>
      <c r="AA40" s="4">
        <v>2022</v>
      </c>
      <c r="AC40" s="4" t="s">
        <v>130</v>
      </c>
      <c r="AD40" s="24" t="s">
        <v>143</v>
      </c>
      <c r="AG40" s="95">
        <f>IF(AJ40&lt;&gt;"No",1,0)</f>
        <v>0</v>
      </c>
      <c r="AH40" s="97"/>
      <c r="AI40" s="34" t="s">
        <v>177</v>
      </c>
      <c r="AJ40" s="89" t="str">
        <f>IF(BT113=0,"No",IF(BT113+BU113&gt;6,"Many","Yes"))</f>
        <v>No</v>
      </c>
      <c r="AK40" s="89">
        <f>IF(AJ40&lt;&gt;"Yes","",BT112)</f>
      </c>
      <c r="AL40" s="89">
        <f>IF(AJ40&lt;&gt;"No","Article 8(3) purposes","")</f>
      </c>
      <c r="AV40" s="23">
        <f>RIGHT(Generator_Info!C31,3)</f>
      </c>
      <c r="AW40" s="23" t="str">
        <f>IF(LEN(Generator_Info!C31)=10,LEFT(AV40,1),"Unknown")</f>
        <v>Unknown</v>
      </c>
      <c r="AX40" s="23">
        <f t="shared" si="4"/>
        <v>1</v>
      </c>
      <c r="AY40" s="23">
        <f t="shared" si="9"/>
        <v>0</v>
      </c>
      <c r="AZ40" s="23">
        <f t="shared" si="0"/>
        <v>0</v>
      </c>
      <c r="BB40" s="23">
        <f>IF(OR(AW40="b",AW40="n"),SUM($BB$25:BB39)+1,0)</f>
        <v>0</v>
      </c>
      <c r="BM40" s="23">
        <f>IF(E40&lt;&gt;0,IF(D40="please answer",SUM($BM$25:BM39)+1,0),0)</f>
        <v>0</v>
      </c>
      <c r="BN40" s="23">
        <f>IF($E40&lt;&gt;0,IF(ISBLANK(F40),SUM($BN$25:BN39)+1,0),0)</f>
        <v>0</v>
      </c>
      <c r="BO40" s="23">
        <f>IF(AND($E40&lt;&gt;0,ISBLANK(G40)=TRUE,Generator_Info!J31&lt;&gt;Generator_Info!$K$19),SUM($BO$25:BO39)+1,0)</f>
        <v>0</v>
      </c>
      <c r="BP40" s="23">
        <f>IF($E40&lt;&gt;0,IF(ISBLANK(H40),SUM($BP$25:BP39)+1,0),0)</f>
        <v>0</v>
      </c>
      <c r="BQ40" s="23">
        <f>IF($E40&lt;I40,SUM($BQ$25:BQ39)+1,0)</f>
        <v>0</v>
      </c>
      <c r="BR40" s="23">
        <f>IF($E40&lt;J40,SUM($BR$25:BR39)+1,0)</f>
        <v>0</v>
      </c>
      <c r="BS40" s="23">
        <f>IF(OR(AW40="b"),SUM($BS$25:BS39)+1,0)</f>
        <v>0</v>
      </c>
      <c r="BT40" s="23">
        <f t="shared" si="11"/>
        <v>0</v>
      </c>
      <c r="BU40" s="23">
        <f t="shared" si="11"/>
        <v>0</v>
      </c>
      <c r="BV40" s="23">
        <f t="shared" si="10"/>
        <v>40</v>
      </c>
      <c r="BW40" s="23" t="str">
        <f>IF(ISBLANK(Generator_Info!B31),"Station "&amp;Generator_Info!A31,Generator_Info!B31)</f>
        <v>Station 16</v>
      </c>
    </row>
    <row r="41" spans="1:75" s="23" customFormat="1" ht="12.75">
      <c r="A41" s="23">
        <v>17</v>
      </c>
      <c r="B41" s="114">
        <f>IF(ISBLANK(Generator_Info!B32),"",Generator_Info!B32)</f>
      </c>
      <c r="C41" s="116"/>
      <c r="D41" s="103" t="s">
        <v>8</v>
      </c>
      <c r="E41" s="44"/>
      <c r="F41" s="44"/>
      <c r="G41" s="44"/>
      <c r="H41" s="44"/>
      <c r="I41" s="87">
        <f>IF(AND(F41+G41+H41&lt;=0.005*E41,Generator_Info!J32&lt;&gt;Generator_Info!$K$19),IF(Generator_Info!I32="No",0,Input_Output_Info!F41),Input_Output_Info!F41+Input_Output_Info!H41+IF(Generator_Info!J32=Generator_Info!$K$18,0,Input_Output_Info!G41))</f>
        <v>0</v>
      </c>
      <c r="J41" s="87">
        <f>IF(Generator_Info!J32=Generator_Info!$K$18,0,Input_Output_Info!G41)+IF(Generator_Info!I32="No",0,Input_Output_Info!F41)</f>
        <v>0</v>
      </c>
      <c r="K41" s="88">
        <f>IF(AND(ISBLANK(Generator_Info!C32),ISBLANK(Generator_Info!B32)=FALSE),"n/a",$AX41)</f>
        <v>1</v>
      </c>
      <c r="L41" s="88">
        <f>IF(OR($G$3=$Z$25,AND(ISBLANK(Generator_Info!D32),ISBLANK(Generator_Info!B32)=FALSE)),"n/a",$AX41)</f>
        <v>1</v>
      </c>
      <c r="M41" s="49">
        <f>IF(OR($AJ$43="Yes",ISBLANK(Generator_Info!C32)),0,((E41-I41)*IF(K41="n/a",1,K41))/1000)</f>
        <v>0</v>
      </c>
      <c r="N41" s="49">
        <f>IF(OR($G$3=$Z$25,$AJ$44="Yes",ISBLANK(Generator_Info!D32)),0,((E41-J41)*IF(L41="n/a",1,L41))/1000)</f>
        <v>0</v>
      </c>
      <c r="O41" s="86"/>
      <c r="P41" s="86"/>
      <c r="Q41" s="86"/>
      <c r="R41" s="86"/>
      <c r="S41" s="86"/>
      <c r="T41" s="86"/>
      <c r="U41" s="86"/>
      <c r="V41" s="86"/>
      <c r="W41" s="86"/>
      <c r="X41" s="86"/>
      <c r="Z41" s="4"/>
      <c r="AA41" s="4">
        <v>2023</v>
      </c>
      <c r="AC41" s="4" t="s">
        <v>131</v>
      </c>
      <c r="AD41" s="24" t="s">
        <v>143</v>
      </c>
      <c r="AG41" s="96">
        <f>IF(AJ41&lt;&gt;"No",1,0)</f>
        <v>0</v>
      </c>
      <c r="AI41" s="34" t="s">
        <v>178</v>
      </c>
      <c r="AJ41" s="89" t="str">
        <f>IF(BU113=0,"No",IF(BT113+BU113&gt;6,"Many","Yes"))</f>
        <v>No</v>
      </c>
      <c r="AK41" s="89">
        <f>IF(AJ41&lt;&gt;"Yes","",BU112)</f>
      </c>
      <c r="AL41" s="89">
        <f>IF(AJ41&lt;&gt;"No","Regulation 47(10) purposes","")</f>
      </c>
      <c r="AV41" s="23">
        <f>RIGHT(Generator_Info!C32,3)</f>
      </c>
      <c r="AW41" s="23" t="str">
        <f>IF(LEN(Generator_Info!C32)=10,LEFT(AV41,1),"Unknown")</f>
        <v>Unknown</v>
      </c>
      <c r="AX41" s="23">
        <f t="shared" si="4"/>
        <v>1</v>
      </c>
      <c r="AY41" s="23">
        <f t="shared" si="9"/>
        <v>0</v>
      </c>
      <c r="AZ41" s="23">
        <f t="shared" si="0"/>
        <v>0</v>
      </c>
      <c r="BB41" s="23">
        <f>IF(OR(AW41="b",AW41="n"),SUM($BB$25:BB40)+1,0)</f>
        <v>0</v>
      </c>
      <c r="BM41" s="23">
        <f>IF(E41&lt;&gt;0,IF(D41="please answer",SUM($BM$25:BM40)+1,0),0)</f>
        <v>0</v>
      </c>
      <c r="BN41" s="23">
        <f>IF($E41&lt;&gt;0,IF(ISBLANK(F41),SUM($BN$25:BN40)+1,0),0)</f>
        <v>0</v>
      </c>
      <c r="BO41" s="23">
        <f>IF(AND($E41&lt;&gt;0,ISBLANK(G41)=TRUE,Generator_Info!J32&lt;&gt;Generator_Info!$K$19),SUM($BO$25:BO40)+1,0)</f>
        <v>0</v>
      </c>
      <c r="BP41" s="23">
        <f>IF($E41&lt;&gt;0,IF(ISBLANK(H41),SUM($BP$25:BP40)+1,0),0)</f>
        <v>0</v>
      </c>
      <c r="BQ41" s="23">
        <f>IF($E41&lt;I41,SUM($BQ$25:BQ40)+1,0)</f>
        <v>0</v>
      </c>
      <c r="BR41" s="23">
        <f>IF($E41&lt;J41,SUM($BR$25:BR40)+1,0)</f>
        <v>0</v>
      </c>
      <c r="BS41" s="23">
        <f>IF(OR(AW41="b"),SUM($BS$25:BS40)+1,0)</f>
        <v>0</v>
      </c>
      <c r="BT41" s="23">
        <f t="shared" si="11"/>
        <v>0</v>
      </c>
      <c r="BU41" s="23">
        <f t="shared" si="11"/>
        <v>0</v>
      </c>
      <c r="BV41" s="23">
        <f t="shared" si="10"/>
        <v>41</v>
      </c>
      <c r="BW41" s="23" t="str">
        <f>IF(ISBLANK(Generator_Info!B32),"Station "&amp;Generator_Info!A32,Generator_Info!B32)</f>
        <v>Station 17</v>
      </c>
    </row>
    <row r="42" spans="1:75" s="23" customFormat="1" ht="12.75">
      <c r="A42" s="23">
        <v>18</v>
      </c>
      <c r="B42" s="114">
        <f>IF(ISBLANK(Generator_Info!B33),"",Generator_Info!B33)</f>
      </c>
      <c r="C42" s="116"/>
      <c r="D42" s="103" t="s">
        <v>8</v>
      </c>
      <c r="E42" s="44"/>
      <c r="F42" s="44"/>
      <c r="G42" s="44"/>
      <c r="H42" s="44"/>
      <c r="I42" s="87">
        <f>IF(AND(F42+G42+H42&lt;=0.005*E42,Generator_Info!J33&lt;&gt;Generator_Info!$K$19),IF(Generator_Info!I33="No",0,Input_Output_Info!F42),Input_Output_Info!F42+Input_Output_Info!H42+IF(Generator_Info!J33=Generator_Info!$K$18,0,Input_Output_Info!G42))</f>
        <v>0</v>
      </c>
      <c r="J42" s="87">
        <f>IF(Generator_Info!J33=Generator_Info!$K$18,0,Input_Output_Info!G42)+IF(Generator_Info!I33="No",0,Input_Output_Info!F42)</f>
        <v>0</v>
      </c>
      <c r="K42" s="88">
        <f>IF(AND(ISBLANK(Generator_Info!C33),ISBLANK(Generator_Info!B33)=FALSE),"n/a",$AX42)</f>
        <v>1</v>
      </c>
      <c r="L42" s="88">
        <f>IF(OR($G$3=$Z$25,AND(ISBLANK(Generator_Info!D33),ISBLANK(Generator_Info!B33)=FALSE)),"n/a",$AX42)</f>
        <v>1</v>
      </c>
      <c r="M42" s="49">
        <f>IF(OR($AJ$43="Yes",ISBLANK(Generator_Info!C33)),0,((E42-I42)*IF(K42="n/a",1,K42))/1000)</f>
        <v>0</v>
      </c>
      <c r="N42" s="49">
        <f>IF(OR($G$3=$Z$25,$AJ$44="Yes",ISBLANK(Generator_Info!D33)),0,((E42-J42)*IF(L42="n/a",1,L42))/1000)</f>
        <v>0</v>
      </c>
      <c r="O42" s="86"/>
      <c r="P42" s="86"/>
      <c r="Q42" s="86"/>
      <c r="R42" s="86"/>
      <c r="S42" s="86"/>
      <c r="T42" s="86"/>
      <c r="U42" s="86"/>
      <c r="V42" s="86"/>
      <c r="W42" s="86"/>
      <c r="X42" s="86"/>
      <c r="Z42" s="4"/>
      <c r="AA42" s="4">
        <v>2024</v>
      </c>
      <c r="AC42" s="4" t="s">
        <v>132</v>
      </c>
      <c r="AD42" s="24">
        <v>1</v>
      </c>
      <c r="AG42" s="90"/>
      <c r="AH42" s="90"/>
      <c r="AI42" s="90" t="s">
        <v>180</v>
      </c>
      <c r="AJ42" s="90"/>
      <c r="AK42" s="90"/>
      <c r="AL42" s="90">
        <f>IF(SUM(AG43:AG44)=2,"Please complete all fields so that your ROC and LEC claims can be calculated, see above",IF(SUM(AG43:AG44)=1,"Please complete all fields so that your "&amp;AL43&amp;AL44&amp;" claim can be calculated, see above",""))</f>
      </c>
      <c r="AV42" s="23">
        <f>RIGHT(Generator_Info!C33,3)</f>
      </c>
      <c r="AW42" s="23" t="str">
        <f>IF(LEN(Generator_Info!C33)=10,LEFT(AV42,1),"Unknown")</f>
        <v>Unknown</v>
      </c>
      <c r="AX42" s="23">
        <f t="shared" si="4"/>
        <v>1</v>
      </c>
      <c r="AY42" s="23">
        <f t="shared" si="9"/>
        <v>0</v>
      </c>
      <c r="AZ42" s="23">
        <f t="shared" si="0"/>
        <v>0</v>
      </c>
      <c r="BB42" s="23">
        <f>IF(OR(AW42="b",AW42="n"),SUM($BB$25:BB41)+1,0)</f>
        <v>0</v>
      </c>
      <c r="BM42" s="23">
        <f>IF(E42&lt;&gt;0,IF(D42="please answer",SUM($BM$25:BM41)+1,0),0)</f>
        <v>0</v>
      </c>
      <c r="BN42" s="23">
        <f>IF($E42&lt;&gt;0,IF(ISBLANK(F42),SUM($BN$25:BN41)+1,0),0)</f>
        <v>0</v>
      </c>
      <c r="BO42" s="23">
        <f>IF(AND($E42&lt;&gt;0,ISBLANK(G42)=TRUE,Generator_Info!J33&lt;&gt;Generator_Info!$K$19),SUM($BO$25:BO41)+1,0)</f>
        <v>0</v>
      </c>
      <c r="BP42" s="23">
        <f>IF($E42&lt;&gt;0,IF(ISBLANK(H42),SUM($BP$25:BP41)+1,0),0)</f>
        <v>0</v>
      </c>
      <c r="BQ42" s="23">
        <f>IF($E42&lt;I42,SUM($BQ$25:BQ41)+1,0)</f>
        <v>0</v>
      </c>
      <c r="BR42" s="23">
        <f>IF($E42&lt;J42,SUM($BR$25:BR41)+1,0)</f>
        <v>0</v>
      </c>
      <c r="BS42" s="23">
        <f>IF(OR(AW42="b"),SUM($BS$25:BS41)+1,0)</f>
        <v>0</v>
      </c>
      <c r="BT42" s="23">
        <f t="shared" si="11"/>
        <v>0</v>
      </c>
      <c r="BU42" s="23">
        <f t="shared" si="11"/>
        <v>0</v>
      </c>
      <c r="BV42" s="23">
        <f t="shared" si="10"/>
        <v>42</v>
      </c>
      <c r="BW42" s="23" t="str">
        <f>IF(ISBLANK(Generator_Info!B33),"Station "&amp;Generator_Info!A33,Generator_Info!B33)</f>
        <v>Station 18</v>
      </c>
    </row>
    <row r="43" spans="1:75" s="23" customFormat="1" ht="12.75">
      <c r="A43" s="23">
        <v>19</v>
      </c>
      <c r="B43" s="114">
        <f>IF(ISBLANK(Generator_Info!B34),"",Generator_Info!B34)</f>
      </c>
      <c r="C43" s="116"/>
      <c r="D43" s="103" t="s">
        <v>8</v>
      </c>
      <c r="E43" s="44"/>
      <c r="F43" s="44"/>
      <c r="G43" s="44"/>
      <c r="H43" s="44"/>
      <c r="I43" s="87">
        <f>IF(AND(F43+G43+H43&lt;=0.005*E43,Generator_Info!J34&lt;&gt;Generator_Info!$K$19),IF(Generator_Info!I34="No",0,Input_Output_Info!F43),Input_Output_Info!F43+Input_Output_Info!H43+IF(Generator_Info!J34=Generator_Info!$K$18,0,Input_Output_Info!G43))</f>
        <v>0</v>
      </c>
      <c r="J43" s="87">
        <f>IF(Generator_Info!J34=Generator_Info!$K$18,0,Input_Output_Info!G43)+IF(Generator_Info!I34="No",0,Input_Output_Info!F43)</f>
        <v>0</v>
      </c>
      <c r="K43" s="88">
        <f>IF(AND(ISBLANK(Generator_Info!C34),ISBLANK(Generator_Info!B34)=FALSE),"n/a",$AX43)</f>
        <v>1</v>
      </c>
      <c r="L43" s="88">
        <f>IF(OR($G$3=$Z$25,AND(ISBLANK(Generator_Info!D34),ISBLANK(Generator_Info!B34)=FALSE)),"n/a",$AX43)</f>
        <v>1</v>
      </c>
      <c r="M43" s="49">
        <f>IF(OR($AJ$43="Yes",ISBLANK(Generator_Info!C34)),0,((E43-I43)*IF(K43="n/a",1,K43))/1000)</f>
        <v>0</v>
      </c>
      <c r="N43" s="49">
        <f>IF(OR($G$3=$Z$25,$AJ$44="Yes",ISBLANK(Generator_Info!D34)),0,((E43-J43)*IF(L43="n/a",1,L43))/1000)</f>
        <v>0</v>
      </c>
      <c r="O43" s="86"/>
      <c r="P43" s="86"/>
      <c r="Q43" s="86"/>
      <c r="R43" s="86"/>
      <c r="S43" s="86"/>
      <c r="T43" s="86"/>
      <c r="U43" s="86"/>
      <c r="V43" s="86"/>
      <c r="W43" s="86"/>
      <c r="X43" s="86"/>
      <c r="Z43" s="4"/>
      <c r="AA43" s="4">
        <v>2025</v>
      </c>
      <c r="AC43" s="4" t="s">
        <v>133</v>
      </c>
      <c r="AD43" s="24" t="s">
        <v>143</v>
      </c>
      <c r="AG43" s="89">
        <f>IF(AJ43&lt;&gt;"No",1,0)</f>
        <v>0</v>
      </c>
      <c r="AH43" s="89" t="s">
        <v>152</v>
      </c>
      <c r="AI43" s="89" t="s">
        <v>153</v>
      </c>
      <c r="AJ43" s="89" t="str">
        <f>IF(SUM(AG26,AG27,AG31,AG33,AG34,AG35,AG37,AG40),"Yes","No")</f>
        <v>No</v>
      </c>
      <c r="AK43" s="89"/>
      <c r="AL43" s="89">
        <f>IF(AJ43&lt;&gt;"No","ROC","")</f>
      </c>
      <c r="AV43" s="23">
        <f>RIGHT(Generator_Info!C34,3)</f>
      </c>
      <c r="AW43" s="23" t="str">
        <f>IF(LEN(Generator_Info!C34)=10,LEFT(AV43,1),"Unknown")</f>
        <v>Unknown</v>
      </c>
      <c r="AX43" s="23">
        <f t="shared" si="4"/>
        <v>1</v>
      </c>
      <c r="AY43" s="23">
        <f t="shared" si="9"/>
        <v>0</v>
      </c>
      <c r="AZ43" s="23">
        <f t="shared" si="0"/>
        <v>0</v>
      </c>
      <c r="BB43" s="23">
        <f>IF(OR(AW43="b",AW43="n"),SUM($BB$25:BB42)+1,0)</f>
        <v>0</v>
      </c>
      <c r="BM43" s="23">
        <f>IF(E43&lt;&gt;0,IF(D43="please answer",SUM($BM$25:BM42)+1,0),0)</f>
        <v>0</v>
      </c>
      <c r="BN43" s="23">
        <f>IF($E43&lt;&gt;0,IF(ISBLANK(F43),SUM($BN$25:BN42)+1,0),0)</f>
        <v>0</v>
      </c>
      <c r="BO43" s="23">
        <f>IF(AND($E43&lt;&gt;0,ISBLANK(G43)=TRUE,Generator_Info!J34&lt;&gt;Generator_Info!$K$19),SUM($BO$25:BO42)+1,0)</f>
        <v>0</v>
      </c>
      <c r="BP43" s="23">
        <f>IF($E43&lt;&gt;0,IF(ISBLANK(H43),SUM($BP$25:BP42)+1,0),0)</f>
        <v>0</v>
      </c>
      <c r="BQ43" s="23">
        <f>IF($E43&lt;I43,SUM($BQ$25:BQ42)+1,0)</f>
        <v>0</v>
      </c>
      <c r="BR43" s="23">
        <f>IF($E43&lt;J43,SUM($BR$25:BR42)+1,0)</f>
        <v>0</v>
      </c>
      <c r="BS43" s="23">
        <f>IF(OR(AW43="b"),SUM($BS$25:BS42)+1,0)</f>
        <v>0</v>
      </c>
      <c r="BT43" s="23">
        <f t="shared" si="11"/>
        <v>0</v>
      </c>
      <c r="BU43" s="23">
        <f t="shared" si="11"/>
        <v>0</v>
      </c>
      <c r="BV43" s="23">
        <f t="shared" si="10"/>
        <v>43</v>
      </c>
      <c r="BW43" s="23" t="str">
        <f>IF(ISBLANK(Generator_Info!B34),"Station "&amp;Generator_Info!A34,Generator_Info!B34)</f>
        <v>Station 19</v>
      </c>
    </row>
    <row r="44" spans="1:75" s="23" customFormat="1" ht="12.75">
      <c r="A44" s="23">
        <v>20</v>
      </c>
      <c r="B44" s="114">
        <f>IF(ISBLANK(Generator_Info!B35),"",Generator_Info!B35)</f>
      </c>
      <c r="C44" s="116"/>
      <c r="D44" s="103" t="s">
        <v>8</v>
      </c>
      <c r="E44" s="44"/>
      <c r="F44" s="44"/>
      <c r="G44" s="44"/>
      <c r="H44" s="44"/>
      <c r="I44" s="87">
        <f>IF(AND(F44+G44+H44&lt;=0.005*E44,Generator_Info!J35&lt;&gt;Generator_Info!$K$19),IF(Generator_Info!I35="No",0,Input_Output_Info!F44),Input_Output_Info!F44+Input_Output_Info!H44+IF(Generator_Info!J35=Generator_Info!$K$18,0,Input_Output_Info!G44))</f>
        <v>0</v>
      </c>
      <c r="J44" s="87">
        <f>IF(Generator_Info!J35=Generator_Info!$K$18,0,Input_Output_Info!G44)+IF(Generator_Info!I35="No",0,Input_Output_Info!F44)</f>
        <v>0</v>
      </c>
      <c r="K44" s="88">
        <f>IF(AND(ISBLANK(Generator_Info!C35),ISBLANK(Generator_Info!B35)=FALSE),"n/a",$AX44)</f>
        <v>1</v>
      </c>
      <c r="L44" s="88">
        <f>IF(OR($G$3=$Z$25,AND(ISBLANK(Generator_Info!D35),ISBLANK(Generator_Info!B35)=FALSE)),"n/a",$AX44)</f>
        <v>1</v>
      </c>
      <c r="M44" s="49">
        <f>IF(OR($AJ$43="Yes",ISBLANK(Generator_Info!C35)),0,((E44-I44)*IF(K44="n/a",1,K44))/1000)</f>
        <v>0</v>
      </c>
      <c r="N44" s="49">
        <f>IF(OR($G$3=$Z$25,$AJ$44="Yes",ISBLANK(Generator_Info!D35)),0,((E44-J44)*IF(L44="n/a",1,L44))/1000)</f>
        <v>0</v>
      </c>
      <c r="O44" s="86"/>
      <c r="P44" s="86"/>
      <c r="Q44" s="86"/>
      <c r="R44" s="86"/>
      <c r="S44" s="86"/>
      <c r="T44" s="86"/>
      <c r="U44" s="86"/>
      <c r="V44" s="86"/>
      <c r="W44" s="86"/>
      <c r="X44" s="86"/>
      <c r="Z44" s="4"/>
      <c r="AA44" s="4">
        <v>2026</v>
      </c>
      <c r="AC44" s="4" t="s">
        <v>134</v>
      </c>
      <c r="AD44" s="24" t="s">
        <v>143</v>
      </c>
      <c r="AG44" s="89">
        <f>IF(AJ44&lt;&gt;"No",1,0)</f>
        <v>0</v>
      </c>
      <c r="AH44" s="89"/>
      <c r="AI44" s="89" t="s">
        <v>154</v>
      </c>
      <c r="AJ44" s="89" t="str">
        <f>IF(SUM(AG26,AG27,AG31,AG34,AG38,AG41),"Yes","No")</f>
        <v>No</v>
      </c>
      <c r="AK44" s="89"/>
      <c r="AL44" s="89">
        <f>IF(AJ44&lt;&gt;"No","LEC","")</f>
      </c>
      <c r="AV44" s="23">
        <f>RIGHT(Generator_Info!C35,3)</f>
      </c>
      <c r="AW44" s="23" t="str">
        <f>IF(LEN(Generator_Info!C35)=10,LEFT(AV44,1),"Unknown")</f>
        <v>Unknown</v>
      </c>
      <c r="AX44" s="23">
        <f t="shared" si="4"/>
        <v>1</v>
      </c>
      <c r="AY44" s="23">
        <f t="shared" si="5"/>
        <v>0</v>
      </c>
      <c r="AZ44" s="23">
        <f t="shared" si="0"/>
        <v>0</v>
      </c>
      <c r="BB44" s="23">
        <f>IF(OR(AW44="b",AW44="n"),SUM($BB$25:BB43)+1,0)</f>
        <v>0</v>
      </c>
      <c r="BM44" s="23">
        <f>IF(E44&lt;&gt;0,IF(D44="please answer",SUM($BM$25:BM43)+1,0),0)</f>
        <v>0</v>
      </c>
      <c r="BN44" s="23">
        <f>IF($E44&lt;&gt;0,IF(ISBLANK(F44),SUM($BN$25:BN43)+1,0),0)</f>
        <v>0</v>
      </c>
      <c r="BO44" s="23">
        <f>IF(AND($E44&lt;&gt;0,ISBLANK(G44)=TRUE,Generator_Info!J35&lt;&gt;Generator_Info!$K$19),SUM($BO$25:BO43)+1,0)</f>
        <v>0</v>
      </c>
      <c r="BP44" s="23">
        <f>IF($E44&lt;&gt;0,IF(ISBLANK(H44),SUM($BP$25:BP43)+1,0),0)</f>
        <v>0</v>
      </c>
      <c r="BQ44" s="23">
        <f>IF($E44&lt;I44,SUM($BQ$25:BQ43)+1,0)</f>
        <v>0</v>
      </c>
      <c r="BR44" s="23">
        <f>IF($E44&lt;J44,SUM($BR$25:BR43)+1,0)</f>
        <v>0</v>
      </c>
      <c r="BS44" s="23">
        <f>IF(OR(AW44="b"),SUM($BS$25:BS43)+1,0)</f>
        <v>0</v>
      </c>
      <c r="BT44" s="23">
        <f t="shared" si="11"/>
        <v>0</v>
      </c>
      <c r="BU44" s="23">
        <f t="shared" si="11"/>
        <v>0</v>
      </c>
      <c r="BV44" s="23">
        <f t="shared" si="8"/>
        <v>44</v>
      </c>
      <c r="BW44" s="23" t="str">
        <f>IF(ISBLANK(Generator_Info!B35),"Station "&amp;Generator_Info!A35,Generator_Info!B35)</f>
        <v>Station 20</v>
      </c>
    </row>
    <row r="45" spans="1:75" s="23" customFormat="1" ht="12.75">
      <c r="A45" s="23">
        <v>21</v>
      </c>
      <c r="B45" s="114">
        <f>IF(ISBLANK(Generator_Info!B36),"",Generator_Info!B36)</f>
      </c>
      <c r="C45" s="116"/>
      <c r="D45" s="103" t="s">
        <v>8</v>
      </c>
      <c r="E45" s="44"/>
      <c r="F45" s="44"/>
      <c r="G45" s="44"/>
      <c r="H45" s="44"/>
      <c r="I45" s="87">
        <f>IF(AND(F45+G45+H45&lt;=0.005*E45,Generator_Info!J36&lt;&gt;Generator_Info!$K$19),IF(Generator_Info!I36="No",0,Input_Output_Info!F45),Input_Output_Info!F45+Input_Output_Info!H45+IF(Generator_Info!J36=Generator_Info!$K$18,0,Input_Output_Info!G45))</f>
        <v>0</v>
      </c>
      <c r="J45" s="87">
        <f>IF(Generator_Info!J36=Generator_Info!$K$18,0,Input_Output_Info!G45)+IF(Generator_Info!I36="No",0,Input_Output_Info!F45)</f>
        <v>0</v>
      </c>
      <c r="K45" s="88">
        <f>IF(AND(ISBLANK(Generator_Info!C36),ISBLANK(Generator_Info!B36)=FALSE),"n/a",$AX45)</f>
        <v>1</v>
      </c>
      <c r="L45" s="88">
        <f>IF(OR($G$3=$Z$25,AND(ISBLANK(Generator_Info!D36),ISBLANK(Generator_Info!B36)=FALSE)),"n/a",$AX45)</f>
        <v>1</v>
      </c>
      <c r="M45" s="49">
        <f>IF(OR($AJ$43="Yes",ISBLANK(Generator_Info!C36)),0,((E45-I45)*IF(K45="n/a",1,K45))/1000)</f>
        <v>0</v>
      </c>
      <c r="N45" s="49">
        <f>IF(OR($G$3=$Z$25,$AJ$44="Yes",ISBLANK(Generator_Info!D36)),0,((E45-J45)*IF(L45="n/a",1,L45))/1000)</f>
        <v>0</v>
      </c>
      <c r="O45" s="86"/>
      <c r="P45" s="86"/>
      <c r="Q45" s="86"/>
      <c r="R45" s="86"/>
      <c r="S45" s="86"/>
      <c r="T45" s="86"/>
      <c r="U45" s="86"/>
      <c r="V45" s="86"/>
      <c r="W45" s="86"/>
      <c r="X45" s="86"/>
      <c r="Z45" s="4"/>
      <c r="AA45" s="4">
        <v>2027</v>
      </c>
      <c r="AC45" s="4" t="s">
        <v>135</v>
      </c>
      <c r="AD45" s="24" t="s">
        <v>143</v>
      </c>
      <c r="AV45" s="23">
        <f>RIGHT(Generator_Info!C36,3)</f>
      </c>
      <c r="AW45" s="23" t="str">
        <f>IF(LEN(Generator_Info!C36)=10,LEFT(AV45,1),"Unknown")</f>
        <v>Unknown</v>
      </c>
      <c r="AX45" s="23">
        <f t="shared" si="4"/>
        <v>1</v>
      </c>
      <c r="AY45" s="23">
        <f t="shared" si="5"/>
        <v>0</v>
      </c>
      <c r="AZ45" s="23">
        <f t="shared" si="0"/>
        <v>0</v>
      </c>
      <c r="BB45" s="23">
        <f>IF(OR(AW45="b",AW45="n"),SUM($BB$25:BB44)+1,0)</f>
        <v>0</v>
      </c>
      <c r="BM45" s="23">
        <f>IF(E45&lt;&gt;0,IF(D45="please answer",SUM($BM$25:BM44)+1,0),0)</f>
        <v>0</v>
      </c>
      <c r="BN45" s="23">
        <f>IF($E45&lt;&gt;0,IF(ISBLANK(F45),SUM($BN$25:BN44)+1,0),0)</f>
        <v>0</v>
      </c>
      <c r="BO45" s="23">
        <f>IF(AND($E45&lt;&gt;0,ISBLANK(G45)=TRUE,Generator_Info!J36&lt;&gt;Generator_Info!$K$19),SUM($BO$25:BO44)+1,0)</f>
        <v>0</v>
      </c>
      <c r="BP45" s="23">
        <f>IF($E45&lt;&gt;0,IF(ISBLANK(H45),SUM($BP$25:BP44)+1,0),0)</f>
        <v>0</v>
      </c>
      <c r="BQ45" s="23">
        <f>IF($E45&lt;I45,SUM($BQ$25:BQ44)+1,0)</f>
        <v>0</v>
      </c>
      <c r="BR45" s="23">
        <f>IF($E45&lt;J45,SUM($BR$25:BR44)+1,0)</f>
        <v>0</v>
      </c>
      <c r="BS45" s="23">
        <f>IF(OR(AW45="b"),SUM($BS$25:BS44)+1,0)</f>
        <v>0</v>
      </c>
      <c r="BV45" s="23">
        <f t="shared" si="8"/>
        <v>45</v>
      </c>
      <c r="BW45" s="23" t="str">
        <f>IF(ISBLANK(Generator_Info!B36),"Station "&amp;Generator_Info!A36,Generator_Info!B36)</f>
        <v>Station 21</v>
      </c>
    </row>
    <row r="46" spans="1:75" s="23" customFormat="1" ht="12.75">
      <c r="A46" s="23">
        <v>22</v>
      </c>
      <c r="B46" s="114">
        <f>IF(ISBLANK(Generator_Info!B37),"",Generator_Info!B37)</f>
      </c>
      <c r="C46" s="116"/>
      <c r="D46" s="103" t="s">
        <v>8</v>
      </c>
      <c r="E46" s="44"/>
      <c r="F46" s="44"/>
      <c r="G46" s="44"/>
      <c r="H46" s="44"/>
      <c r="I46" s="87">
        <f>IF(AND(F46+G46+H46&lt;=0.005*E46,Generator_Info!J37&lt;&gt;Generator_Info!$K$19),IF(Generator_Info!I37="No",0,Input_Output_Info!F46),Input_Output_Info!F46+Input_Output_Info!H46+IF(Generator_Info!J37=Generator_Info!$K$18,0,Input_Output_Info!G46))</f>
        <v>0</v>
      </c>
      <c r="J46" s="87">
        <f>IF(Generator_Info!J37=Generator_Info!$K$18,0,Input_Output_Info!G46)+IF(Generator_Info!I37="No",0,Input_Output_Info!F46)</f>
        <v>0</v>
      </c>
      <c r="K46" s="88">
        <f>IF(AND(ISBLANK(Generator_Info!C37),ISBLANK(Generator_Info!B37)=FALSE),"n/a",$AX46)</f>
        <v>1</v>
      </c>
      <c r="L46" s="88">
        <f>IF(OR($G$3=$Z$25,AND(ISBLANK(Generator_Info!D37),ISBLANK(Generator_Info!B37)=FALSE)),"n/a",$AX46)</f>
        <v>1</v>
      </c>
      <c r="M46" s="49">
        <f>IF(OR($AJ$43="Yes",ISBLANK(Generator_Info!C37)),0,((E46-I46)*IF(K46="n/a",1,K46))/1000)</f>
        <v>0</v>
      </c>
      <c r="N46" s="49">
        <f>IF(OR($G$3=$Z$25,$AJ$44="Yes",ISBLANK(Generator_Info!D37)),0,((E46-J46)*IF(L46="n/a",1,L46))/1000)</f>
        <v>0</v>
      </c>
      <c r="O46" s="86"/>
      <c r="P46" s="86"/>
      <c r="Q46" s="86"/>
      <c r="R46" s="86"/>
      <c r="S46" s="86"/>
      <c r="T46" s="86"/>
      <c r="U46" s="86"/>
      <c r="V46" s="86"/>
      <c r="W46" s="86"/>
      <c r="X46" s="86"/>
      <c r="AC46" s="4" t="s">
        <v>136</v>
      </c>
      <c r="AD46" s="24">
        <v>1</v>
      </c>
      <c r="AV46" s="23">
        <f>RIGHT(Generator_Info!C37,3)</f>
      </c>
      <c r="AW46" s="23" t="str">
        <f>IF(LEN(Generator_Info!C37)=10,LEFT(AV46,1),"Unknown")</f>
        <v>Unknown</v>
      </c>
      <c r="AX46" s="23">
        <f t="shared" si="4"/>
        <v>1</v>
      </c>
      <c r="AY46" s="23">
        <f t="shared" si="5"/>
        <v>0</v>
      </c>
      <c r="AZ46" s="23">
        <f t="shared" si="0"/>
        <v>0</v>
      </c>
      <c r="BB46" s="23">
        <f>IF(OR(AW46="b",AW46="n"),SUM($BB$25:BB45)+1,0)</f>
        <v>0</v>
      </c>
      <c r="BM46" s="23">
        <f>IF(E46&lt;&gt;0,IF(D46="please answer",SUM($BM$25:BM45)+1,0),0)</f>
        <v>0</v>
      </c>
      <c r="BN46" s="23">
        <f>IF($E46&lt;&gt;0,IF(ISBLANK(F46),SUM($BN$25:BN45)+1,0),0)</f>
        <v>0</v>
      </c>
      <c r="BO46" s="23">
        <f>IF(AND($E46&lt;&gt;0,ISBLANK(G46)=TRUE,Generator_Info!J37&lt;&gt;Generator_Info!$K$19),SUM($BO$25:BO45)+1,0)</f>
        <v>0</v>
      </c>
      <c r="BP46" s="23">
        <f>IF($E46&lt;&gt;0,IF(ISBLANK(H46),SUM($BP$25:BP45)+1,0),0)</f>
        <v>0</v>
      </c>
      <c r="BQ46" s="23">
        <f>IF($E46&lt;I46,SUM($BQ$25:BQ45)+1,0)</f>
        <v>0</v>
      </c>
      <c r="BR46" s="23">
        <f>IF($E46&lt;J46,SUM($BR$25:BR45)+1,0)</f>
        <v>0</v>
      </c>
      <c r="BS46" s="23">
        <f>IF(OR(AW46="b"),SUM($BS$25:BS45)+1,0)</f>
        <v>0</v>
      </c>
      <c r="BV46" s="23">
        <f t="shared" si="8"/>
        <v>46</v>
      </c>
      <c r="BW46" s="23" t="str">
        <f>IF(ISBLANK(Generator_Info!B37),"Station "&amp;Generator_Info!A37,Generator_Info!B37)</f>
        <v>Station 22</v>
      </c>
    </row>
    <row r="47" spans="1:75" s="23" customFormat="1" ht="12.75">
      <c r="A47" s="23">
        <v>23</v>
      </c>
      <c r="B47" s="114">
        <f>IF(ISBLANK(Generator_Info!B38),"",Generator_Info!B38)</f>
      </c>
      <c r="C47" s="116"/>
      <c r="D47" s="103" t="s">
        <v>8</v>
      </c>
      <c r="E47" s="44"/>
      <c r="F47" s="44"/>
      <c r="G47" s="44"/>
      <c r="H47" s="44"/>
      <c r="I47" s="87">
        <f>IF(AND(F47+G47+H47&lt;=0.005*E47,Generator_Info!J38&lt;&gt;Generator_Info!$K$19),IF(Generator_Info!I38="No",0,Input_Output_Info!F47),Input_Output_Info!F47+Input_Output_Info!H47+IF(Generator_Info!J38=Generator_Info!$K$18,0,Input_Output_Info!G47))</f>
        <v>0</v>
      </c>
      <c r="J47" s="87">
        <f>IF(Generator_Info!J38=Generator_Info!$K$18,0,Input_Output_Info!G47)+IF(Generator_Info!I38="No",0,Input_Output_Info!F47)</f>
        <v>0</v>
      </c>
      <c r="K47" s="88">
        <f>IF(AND(ISBLANK(Generator_Info!C38),ISBLANK(Generator_Info!B38)=FALSE),"n/a",$AX47)</f>
        <v>1</v>
      </c>
      <c r="L47" s="88">
        <f>IF(OR($G$3=$Z$25,AND(ISBLANK(Generator_Info!D38),ISBLANK(Generator_Info!B38)=FALSE)),"n/a",$AX47)</f>
        <v>1</v>
      </c>
      <c r="M47" s="49">
        <f>IF(OR($AJ$43="Yes",ISBLANK(Generator_Info!C38)),0,((E47-I47)*IF(K47="n/a",1,K47))/1000)</f>
        <v>0</v>
      </c>
      <c r="N47" s="49">
        <f>IF(OR($G$3=$Z$25,$AJ$44="Yes",ISBLANK(Generator_Info!D38)),0,((E47-J47)*IF(L47="n/a",1,L47))/1000)</f>
        <v>0</v>
      </c>
      <c r="O47" s="86"/>
      <c r="P47" s="86"/>
      <c r="Q47" s="86"/>
      <c r="R47" s="86"/>
      <c r="S47" s="86"/>
      <c r="T47" s="86"/>
      <c r="U47" s="86"/>
      <c r="V47" s="86"/>
      <c r="W47" s="86"/>
      <c r="X47" s="86"/>
      <c r="AC47" s="4" t="s">
        <v>137</v>
      </c>
      <c r="AD47" s="24" t="s">
        <v>143</v>
      </c>
      <c r="AV47" s="23">
        <f>RIGHT(Generator_Info!C38,3)</f>
      </c>
      <c r="AW47" s="23" t="str">
        <f>IF(LEN(Generator_Info!C38)=10,LEFT(AV47,1),"Unknown")</f>
        <v>Unknown</v>
      </c>
      <c r="AX47" s="23">
        <f t="shared" si="4"/>
        <v>1</v>
      </c>
      <c r="AY47" s="23">
        <f t="shared" si="5"/>
        <v>0</v>
      </c>
      <c r="AZ47" s="23">
        <f t="shared" si="0"/>
        <v>0</v>
      </c>
      <c r="BB47" s="23">
        <f>IF(OR(AW47="b",AW47="n"),SUM($BB$25:BB46)+1,0)</f>
        <v>0</v>
      </c>
      <c r="BM47" s="23">
        <f>IF(E47&lt;&gt;0,IF(D47="please answer",SUM($BM$25:BM46)+1,0),0)</f>
        <v>0</v>
      </c>
      <c r="BN47" s="23">
        <f>IF($E47&lt;&gt;0,IF(ISBLANK(F47),SUM($BN$25:BN46)+1,0),0)</f>
        <v>0</v>
      </c>
      <c r="BO47" s="23">
        <f>IF(AND($E47&lt;&gt;0,ISBLANK(G47)=TRUE,Generator_Info!J38&lt;&gt;Generator_Info!$K$19),SUM($BO$25:BO46)+1,0)</f>
        <v>0</v>
      </c>
      <c r="BP47" s="23">
        <f>IF($E47&lt;&gt;0,IF(ISBLANK(H47),SUM($BP$25:BP46)+1,0),0)</f>
        <v>0</v>
      </c>
      <c r="BQ47" s="23">
        <f>IF($E47&lt;I47,SUM($BQ$25:BQ46)+1,0)</f>
        <v>0</v>
      </c>
      <c r="BR47" s="23">
        <f>IF($E47&lt;J47,SUM($BR$25:BR46)+1,0)</f>
        <v>0</v>
      </c>
      <c r="BS47" s="23">
        <f>IF(OR(AW47="b"),SUM($BS$25:BS46)+1,0)</f>
        <v>0</v>
      </c>
      <c r="BV47" s="23">
        <f t="shared" si="8"/>
        <v>47</v>
      </c>
      <c r="BW47" s="23" t="str">
        <f>IF(ISBLANK(Generator_Info!B38),"Station "&amp;Generator_Info!A38,Generator_Info!B38)</f>
        <v>Station 23</v>
      </c>
    </row>
    <row r="48" spans="1:75" s="23" customFormat="1" ht="12.75">
      <c r="A48" s="23">
        <v>24</v>
      </c>
      <c r="B48" s="114">
        <f>IF(ISBLANK(Generator_Info!B39),"",Generator_Info!B39)</f>
      </c>
      <c r="C48" s="116"/>
      <c r="D48" s="103" t="s">
        <v>8</v>
      </c>
      <c r="E48" s="44"/>
      <c r="F48" s="44"/>
      <c r="G48" s="44"/>
      <c r="H48" s="44"/>
      <c r="I48" s="87">
        <f>IF(AND(F48+G48+H48&lt;=0.005*E48,Generator_Info!J39&lt;&gt;Generator_Info!$K$19),IF(Generator_Info!I39="No",0,Input_Output_Info!F48),Input_Output_Info!F48+Input_Output_Info!H48+IF(Generator_Info!J39=Generator_Info!$K$18,0,Input_Output_Info!G48))</f>
        <v>0</v>
      </c>
      <c r="J48" s="87">
        <f>IF(Generator_Info!J39=Generator_Info!$K$18,0,Input_Output_Info!G48)+IF(Generator_Info!I39="No",0,Input_Output_Info!F48)</f>
        <v>0</v>
      </c>
      <c r="K48" s="88">
        <f>IF(AND(ISBLANK(Generator_Info!C39),ISBLANK(Generator_Info!B39)=FALSE),"n/a",$AX48)</f>
        <v>1</v>
      </c>
      <c r="L48" s="88">
        <f>IF(OR($G$3=$Z$25,AND(ISBLANK(Generator_Info!D39),ISBLANK(Generator_Info!B39)=FALSE)),"n/a",$AX48)</f>
        <v>1</v>
      </c>
      <c r="M48" s="49">
        <f>IF(OR($AJ$43="Yes",ISBLANK(Generator_Info!C39)),0,((E48-I48)*IF(K48="n/a",1,K48))/1000)</f>
        <v>0</v>
      </c>
      <c r="N48" s="49">
        <f>IF(OR($G$3=$Z$25,$AJ$44="Yes",ISBLANK(Generator_Info!D39)),0,((E48-J48)*IF(L48="n/a",1,L48))/1000)</f>
        <v>0</v>
      </c>
      <c r="O48" s="86"/>
      <c r="P48" s="86"/>
      <c r="Q48" s="86"/>
      <c r="R48" s="86"/>
      <c r="S48" s="86"/>
      <c r="T48" s="86"/>
      <c r="U48" s="86"/>
      <c r="V48" s="86"/>
      <c r="W48" s="86"/>
      <c r="X48" s="86"/>
      <c r="AC48" s="4" t="s">
        <v>138</v>
      </c>
      <c r="AD48" s="24" t="s">
        <v>143</v>
      </c>
      <c r="AV48" s="23">
        <f>RIGHT(Generator_Info!C39,3)</f>
      </c>
      <c r="AW48" s="23" t="str">
        <f>IF(LEN(Generator_Info!C39)=10,LEFT(AV48,1),"Unknown")</f>
        <v>Unknown</v>
      </c>
      <c r="AX48" s="23">
        <f t="shared" si="4"/>
        <v>1</v>
      </c>
      <c r="AY48" s="23">
        <f t="shared" si="5"/>
        <v>0</v>
      </c>
      <c r="AZ48" s="23">
        <f t="shared" si="0"/>
        <v>0</v>
      </c>
      <c r="BB48" s="23">
        <f>IF(OR(AW48="b",AW48="n"),SUM($BB$25:BB47)+1,0)</f>
        <v>0</v>
      </c>
      <c r="BM48" s="23">
        <f>IF(E48&lt;&gt;0,IF(D48="please answer",SUM($BM$25:BM47)+1,0),0)</f>
        <v>0</v>
      </c>
      <c r="BN48" s="23">
        <f>IF($E48&lt;&gt;0,IF(ISBLANK(F48),SUM($BN$25:BN47)+1,0),0)</f>
        <v>0</v>
      </c>
      <c r="BO48" s="23">
        <f>IF(AND($E48&lt;&gt;0,ISBLANK(G48)=TRUE,Generator_Info!J39&lt;&gt;Generator_Info!$K$19),SUM($BO$25:BO47)+1,0)</f>
        <v>0</v>
      </c>
      <c r="BP48" s="23">
        <f>IF($E48&lt;&gt;0,IF(ISBLANK(H48),SUM($BP$25:BP47)+1,0),0)</f>
        <v>0</v>
      </c>
      <c r="BQ48" s="23">
        <f>IF($E48&lt;I48,SUM($BQ$25:BQ47)+1,0)</f>
        <v>0</v>
      </c>
      <c r="BR48" s="23">
        <f>IF($E48&lt;J48,SUM($BR$25:BR47)+1,0)</f>
        <v>0</v>
      </c>
      <c r="BS48" s="23">
        <f>IF(OR(AW48="b"),SUM($BS$25:BS47)+1,0)</f>
        <v>0</v>
      </c>
      <c r="BV48" s="23">
        <f t="shared" si="8"/>
        <v>48</v>
      </c>
      <c r="BW48" s="23" t="str">
        <f>IF(ISBLANK(Generator_Info!B39),"Station "&amp;Generator_Info!A39,Generator_Info!B39)</f>
        <v>Station 24</v>
      </c>
    </row>
    <row r="49" spans="1:75" s="23" customFormat="1" ht="12.75">
      <c r="A49" s="23">
        <v>25</v>
      </c>
      <c r="B49" s="114">
        <f>IF(ISBLANK(Generator_Info!B40),"",Generator_Info!B40)</f>
      </c>
      <c r="C49" s="116"/>
      <c r="D49" s="103" t="s">
        <v>8</v>
      </c>
      <c r="E49" s="44"/>
      <c r="F49" s="44"/>
      <c r="G49" s="44"/>
      <c r="H49" s="44"/>
      <c r="I49" s="87">
        <f>IF(AND(F49+G49+H49&lt;=0.005*E49,Generator_Info!J40&lt;&gt;Generator_Info!$K$19),IF(Generator_Info!I40="No",0,Input_Output_Info!F49),Input_Output_Info!F49+Input_Output_Info!H49+IF(Generator_Info!J40=Generator_Info!$K$18,0,Input_Output_Info!G49))</f>
        <v>0</v>
      </c>
      <c r="J49" s="87">
        <f>IF(Generator_Info!J40=Generator_Info!$K$18,0,Input_Output_Info!G49)+IF(Generator_Info!I40="No",0,Input_Output_Info!F49)</f>
        <v>0</v>
      </c>
      <c r="K49" s="88">
        <f>IF(AND(ISBLANK(Generator_Info!C40),ISBLANK(Generator_Info!B40)=FALSE),"n/a",$AX49)</f>
        <v>1</v>
      </c>
      <c r="L49" s="88">
        <f>IF(OR($G$3=$Z$25,AND(ISBLANK(Generator_Info!D40),ISBLANK(Generator_Info!B40)=FALSE)),"n/a",$AX49)</f>
        <v>1</v>
      </c>
      <c r="M49" s="49">
        <f>IF(OR($AJ$43="Yes",ISBLANK(Generator_Info!C40)),0,((E49-I49)*IF(K49="n/a",1,K49))/1000)</f>
        <v>0</v>
      </c>
      <c r="N49" s="49">
        <f>IF(OR($G$3=$Z$25,$AJ$44="Yes",ISBLANK(Generator_Info!D40)),0,((E49-J49)*IF(L49="n/a",1,L49))/1000)</f>
        <v>0</v>
      </c>
      <c r="O49" s="86"/>
      <c r="P49" s="86"/>
      <c r="Q49" s="86"/>
      <c r="R49" s="86"/>
      <c r="S49" s="86"/>
      <c r="T49" s="86"/>
      <c r="U49" s="86"/>
      <c r="V49" s="86"/>
      <c r="W49" s="86"/>
      <c r="X49" s="86"/>
      <c r="AC49" s="4" t="s">
        <v>139</v>
      </c>
      <c r="AD49" s="24">
        <v>1</v>
      </c>
      <c r="AV49" s="23">
        <f>RIGHT(Generator_Info!C40,3)</f>
      </c>
      <c r="AW49" s="23" t="str">
        <f>IF(LEN(Generator_Info!C40)=10,LEFT(AV49,1),"Unknown")</f>
        <v>Unknown</v>
      </c>
      <c r="AX49" s="23">
        <f t="shared" si="4"/>
        <v>1</v>
      </c>
      <c r="AY49" s="23">
        <f t="shared" si="5"/>
        <v>0</v>
      </c>
      <c r="AZ49" s="23">
        <f t="shared" si="0"/>
        <v>0</v>
      </c>
      <c r="BB49" s="23">
        <f>IF(OR(AW49="b",AW49="n"),SUM($BB$25:BB48)+1,0)</f>
        <v>0</v>
      </c>
      <c r="BM49" s="23">
        <f>IF(E49&lt;&gt;0,IF(D49="please answer",SUM($BM$25:BM48)+1,0),0)</f>
        <v>0</v>
      </c>
      <c r="BN49" s="23">
        <f>IF($E49&lt;&gt;0,IF(ISBLANK(F49),SUM($BN$25:BN48)+1,0),0)</f>
        <v>0</v>
      </c>
      <c r="BO49" s="23">
        <f>IF(AND($E49&lt;&gt;0,ISBLANK(G49)=TRUE,Generator_Info!J40&lt;&gt;Generator_Info!$K$19),SUM($BO$25:BO48)+1,0)</f>
        <v>0</v>
      </c>
      <c r="BP49" s="23">
        <f>IF($E49&lt;&gt;0,IF(ISBLANK(H49),SUM($BP$25:BP48)+1,0),0)</f>
        <v>0</v>
      </c>
      <c r="BQ49" s="23">
        <f>IF($E49&lt;I49,SUM($BQ$25:BQ48)+1,0)</f>
        <v>0</v>
      </c>
      <c r="BR49" s="23">
        <f>IF($E49&lt;J49,SUM($BR$25:BR48)+1,0)</f>
        <v>0</v>
      </c>
      <c r="BS49" s="23">
        <f>IF(OR(AW49="b"),SUM($BS$25:BS48)+1,0)</f>
        <v>0</v>
      </c>
      <c r="BV49" s="23">
        <f t="shared" si="8"/>
        <v>49</v>
      </c>
      <c r="BW49" s="23" t="str">
        <f>IF(ISBLANK(Generator_Info!B40),"Station "&amp;Generator_Info!A40,Generator_Info!B40)</f>
        <v>Station 25</v>
      </c>
    </row>
    <row r="50" spans="1:75" s="23" customFormat="1" ht="12.75">
      <c r="A50" s="23">
        <v>26</v>
      </c>
      <c r="B50" s="114">
        <f>IF(ISBLANK(Generator_Info!B41),"",Generator_Info!B41)</f>
      </c>
      <c r="C50" s="116"/>
      <c r="D50" s="103" t="s">
        <v>8</v>
      </c>
      <c r="E50" s="44"/>
      <c r="F50" s="44"/>
      <c r="G50" s="44"/>
      <c r="H50" s="44"/>
      <c r="I50" s="87">
        <f>IF(AND(F50+G50+H50&lt;=0.005*E50,Generator_Info!J41&lt;&gt;Generator_Info!$K$19),IF(Generator_Info!I41="No",0,Input_Output_Info!F50),Input_Output_Info!F50+Input_Output_Info!H50+IF(Generator_Info!J41=Generator_Info!$K$18,0,Input_Output_Info!G50))</f>
        <v>0</v>
      </c>
      <c r="J50" s="87">
        <f>IF(Generator_Info!J41=Generator_Info!$K$18,0,Input_Output_Info!G50)+IF(Generator_Info!I41="No",0,Input_Output_Info!F50)</f>
        <v>0</v>
      </c>
      <c r="K50" s="88">
        <f>IF(AND(ISBLANK(Generator_Info!C41),ISBLANK(Generator_Info!B41)=FALSE),"n/a",$AX50)</f>
        <v>1</v>
      </c>
      <c r="L50" s="88">
        <f>IF(OR($G$3=$Z$25,AND(ISBLANK(Generator_Info!D41),ISBLANK(Generator_Info!B41)=FALSE)),"n/a",$AX50)</f>
        <v>1</v>
      </c>
      <c r="M50" s="49">
        <f>IF(OR($AJ$43="Yes",ISBLANK(Generator_Info!C41)),0,((E50-I50)*IF(K50="n/a",1,K50))/1000)</f>
        <v>0</v>
      </c>
      <c r="N50" s="49">
        <f>IF(OR($G$3=$Z$25,$AJ$44="Yes",ISBLANK(Generator_Info!D41)),0,((E50-J50)*IF(L50="n/a",1,L50))/1000)</f>
        <v>0</v>
      </c>
      <c r="O50" s="86"/>
      <c r="P50" s="86"/>
      <c r="Q50" s="86"/>
      <c r="R50" s="86"/>
      <c r="S50" s="86"/>
      <c r="T50" s="86"/>
      <c r="U50" s="86"/>
      <c r="V50" s="86"/>
      <c r="W50" s="86"/>
      <c r="X50" s="86"/>
      <c r="AC50" s="4" t="s">
        <v>140</v>
      </c>
      <c r="AD50" s="24" t="s">
        <v>143</v>
      </c>
      <c r="AV50" s="23">
        <f>RIGHT(Generator_Info!C41,3)</f>
      </c>
      <c r="AW50" s="23" t="str">
        <f>IF(LEN(Generator_Info!C41)=10,LEFT(AV50,1),"Unknown")</f>
        <v>Unknown</v>
      </c>
      <c r="AX50" s="23">
        <f t="shared" si="4"/>
        <v>1</v>
      </c>
      <c r="AY50" s="23">
        <f t="shared" si="5"/>
        <v>0</v>
      </c>
      <c r="AZ50" s="23">
        <f t="shared" si="0"/>
        <v>0</v>
      </c>
      <c r="BB50" s="23">
        <f>IF(OR(AW50="b",AW50="n"),SUM($BB$25:BB49)+1,0)</f>
        <v>0</v>
      </c>
      <c r="BM50" s="23">
        <f>IF(E50&lt;&gt;0,IF(D50="please answer",SUM($BM$25:BM49)+1,0),0)</f>
        <v>0</v>
      </c>
      <c r="BN50" s="23">
        <f>IF($E50&lt;&gt;0,IF(ISBLANK(F50),SUM($BN$25:BN49)+1,0),0)</f>
        <v>0</v>
      </c>
      <c r="BO50" s="23">
        <f>IF(AND($E50&lt;&gt;0,ISBLANK(G50)=TRUE,Generator_Info!J41&lt;&gt;Generator_Info!$K$19),SUM($BO$25:BO49)+1,0)</f>
        <v>0</v>
      </c>
      <c r="BP50" s="23">
        <f>IF($E50&lt;&gt;0,IF(ISBLANK(H50),SUM($BP$25:BP49)+1,0),0)</f>
        <v>0</v>
      </c>
      <c r="BQ50" s="23">
        <f>IF($E50&lt;I50,SUM($BQ$25:BQ49)+1,0)</f>
        <v>0</v>
      </c>
      <c r="BR50" s="23">
        <f>IF($E50&lt;J50,SUM($BR$25:BR49)+1,0)</f>
        <v>0</v>
      </c>
      <c r="BS50" s="23">
        <f>IF(OR(AW50="b"),SUM($BS$25:BS49)+1,0)</f>
        <v>0</v>
      </c>
      <c r="BV50" s="23">
        <f t="shared" si="8"/>
        <v>50</v>
      </c>
      <c r="BW50" s="23" t="str">
        <f>IF(ISBLANK(Generator_Info!B41),"Station "&amp;Generator_Info!A41,Generator_Info!B41)</f>
        <v>Station 26</v>
      </c>
    </row>
    <row r="51" spans="1:75" s="23" customFormat="1" ht="12.75">
      <c r="A51" s="23">
        <v>27</v>
      </c>
      <c r="B51" s="114">
        <f>IF(ISBLANK(Generator_Info!B42),"",Generator_Info!B42)</f>
      </c>
      <c r="C51" s="116"/>
      <c r="D51" s="103" t="s">
        <v>8</v>
      </c>
      <c r="E51" s="44"/>
      <c r="F51" s="44"/>
      <c r="G51" s="44"/>
      <c r="H51" s="44"/>
      <c r="I51" s="87">
        <f>IF(AND(F51+G51+H51&lt;=0.005*E51,Generator_Info!J42&lt;&gt;Generator_Info!$K$19),IF(Generator_Info!I42="No",0,Input_Output_Info!F51),Input_Output_Info!F51+Input_Output_Info!H51+IF(Generator_Info!J42=Generator_Info!$K$18,0,Input_Output_Info!G51))</f>
        <v>0</v>
      </c>
      <c r="J51" s="87">
        <f>IF(Generator_Info!J42=Generator_Info!$K$18,0,Input_Output_Info!G51)+IF(Generator_Info!I42="No",0,Input_Output_Info!F51)</f>
        <v>0</v>
      </c>
      <c r="K51" s="88">
        <f>IF(AND(ISBLANK(Generator_Info!C42),ISBLANK(Generator_Info!B42)=FALSE),"n/a",$AX51)</f>
        <v>1</v>
      </c>
      <c r="L51" s="88">
        <f>IF(OR($G$3=$Z$25,AND(ISBLANK(Generator_Info!D42),ISBLANK(Generator_Info!B42)=FALSE)),"n/a",$AX51)</f>
        <v>1</v>
      </c>
      <c r="M51" s="49">
        <f>IF(OR($AJ$43="Yes",ISBLANK(Generator_Info!C42)),0,((E51-I51)*IF(K51="n/a",1,K51))/1000)</f>
        <v>0</v>
      </c>
      <c r="N51" s="49">
        <f>IF(OR($G$3=$Z$25,$AJ$44="Yes",ISBLANK(Generator_Info!D42)),0,((E51-J51)*IF(L51="n/a",1,L51))/1000)</f>
        <v>0</v>
      </c>
      <c r="O51" s="86"/>
      <c r="P51" s="86"/>
      <c r="Q51" s="86"/>
      <c r="R51" s="86"/>
      <c r="S51" s="86"/>
      <c r="T51" s="86"/>
      <c r="U51" s="86"/>
      <c r="V51" s="86"/>
      <c r="W51" s="86"/>
      <c r="X51" s="86"/>
      <c r="AC51" s="4" t="s">
        <v>141</v>
      </c>
      <c r="AD51" s="24" t="s">
        <v>143</v>
      </c>
      <c r="AV51" s="23">
        <f>RIGHT(Generator_Info!C42,3)</f>
      </c>
      <c r="AW51" s="23" t="str">
        <f>IF(LEN(Generator_Info!C42)=10,LEFT(AV51,1),"Unknown")</f>
        <v>Unknown</v>
      </c>
      <c r="AX51" s="23">
        <f t="shared" si="4"/>
        <v>1</v>
      </c>
      <c r="AY51" s="23">
        <f t="shared" si="5"/>
        <v>0</v>
      </c>
      <c r="AZ51" s="23">
        <f t="shared" si="0"/>
        <v>0</v>
      </c>
      <c r="BB51" s="23">
        <f>IF(OR(AW51="b",AW51="n"),SUM($BB$25:BB50)+1,0)</f>
        <v>0</v>
      </c>
      <c r="BM51" s="23">
        <f>IF(E51&lt;&gt;0,IF(D51="please answer",SUM($BM$25:BM50)+1,0),0)</f>
        <v>0</v>
      </c>
      <c r="BN51" s="23">
        <f>IF($E51&lt;&gt;0,IF(ISBLANK(F51),SUM($BN$25:BN50)+1,0),0)</f>
        <v>0</v>
      </c>
      <c r="BO51" s="23">
        <f>IF(AND($E51&lt;&gt;0,ISBLANK(G51)=TRUE,Generator_Info!J42&lt;&gt;Generator_Info!$K$19),SUM($BO$25:BO50)+1,0)</f>
        <v>0</v>
      </c>
      <c r="BP51" s="23">
        <f>IF($E51&lt;&gt;0,IF(ISBLANK(H51),SUM($BP$25:BP50)+1,0),0)</f>
        <v>0</v>
      </c>
      <c r="BQ51" s="23">
        <f>IF($E51&lt;I51,SUM($BQ$25:BQ50)+1,0)</f>
        <v>0</v>
      </c>
      <c r="BR51" s="23">
        <f>IF($E51&lt;J51,SUM($BR$25:BR50)+1,0)</f>
        <v>0</v>
      </c>
      <c r="BS51" s="23">
        <f>IF(OR(AW51="b"),SUM($BS$25:BS50)+1,0)</f>
        <v>0</v>
      </c>
      <c r="BV51" s="23">
        <f t="shared" si="8"/>
        <v>51</v>
      </c>
      <c r="BW51" s="23" t="str">
        <f>IF(ISBLANK(Generator_Info!B42),"Station "&amp;Generator_Info!A42,Generator_Info!B42)</f>
        <v>Station 27</v>
      </c>
    </row>
    <row r="52" spans="1:75" s="23" customFormat="1" ht="14.25">
      <c r="A52" s="23">
        <v>28</v>
      </c>
      <c r="B52" s="114">
        <f>IF(ISBLANK(Generator_Info!B43),"",Generator_Info!B43)</f>
      </c>
      <c r="C52" s="116"/>
      <c r="D52" s="103" t="s">
        <v>8</v>
      </c>
      <c r="E52" s="44"/>
      <c r="F52" s="44"/>
      <c r="G52" s="44"/>
      <c r="H52" s="44"/>
      <c r="I52" s="87">
        <f>IF(AND(F52+G52+H52&lt;=0.005*E52,Generator_Info!J43&lt;&gt;Generator_Info!$K$19),IF(Generator_Info!I43="No",0,Input_Output_Info!F52),Input_Output_Info!F52+Input_Output_Info!H52+IF(Generator_Info!J43=Generator_Info!$K$18,0,Input_Output_Info!G52))</f>
        <v>0</v>
      </c>
      <c r="J52" s="87">
        <f>IF(Generator_Info!J43=Generator_Info!$K$18,0,Input_Output_Info!G52)+IF(Generator_Info!I43="No",0,Input_Output_Info!F52)</f>
        <v>0</v>
      </c>
      <c r="K52" s="88">
        <f>IF(AND(ISBLANK(Generator_Info!C43),ISBLANK(Generator_Info!B43)=FALSE),"n/a",$AX52)</f>
        <v>1</v>
      </c>
      <c r="L52" s="88">
        <f>IF(OR($G$3=$Z$25,AND(ISBLANK(Generator_Info!D43),ISBLANK(Generator_Info!B43)=FALSE)),"n/a",$AX52)</f>
        <v>1</v>
      </c>
      <c r="M52" s="49">
        <f>IF(OR($AJ$43="Yes",ISBLANK(Generator_Info!C43)),0,((E52-I52)*IF(K52="n/a",1,K52))/1000)</f>
        <v>0</v>
      </c>
      <c r="N52" s="49">
        <f>IF(OR($G$3=$Z$25,$AJ$44="Yes",ISBLANK(Generator_Info!D43)),0,((E52-J52)*IF(L52="n/a",1,L52))/1000)</f>
        <v>0</v>
      </c>
      <c r="O52" s="86"/>
      <c r="P52" s="86"/>
      <c r="Q52" s="86"/>
      <c r="R52" s="86"/>
      <c r="S52" s="86"/>
      <c r="T52" s="86"/>
      <c r="U52" s="86"/>
      <c r="V52" s="86"/>
      <c r="W52" s="86"/>
      <c r="X52" s="86"/>
      <c r="AD52" s="45"/>
      <c r="AV52" s="23">
        <f>RIGHT(Generator_Info!C43,3)</f>
      </c>
      <c r="AW52" s="23" t="str">
        <f>IF(LEN(Generator_Info!C43)=10,LEFT(AV52,1),"Unknown")</f>
        <v>Unknown</v>
      </c>
      <c r="AX52" s="23">
        <f t="shared" si="4"/>
        <v>1</v>
      </c>
      <c r="AY52" s="23">
        <f t="shared" si="5"/>
        <v>0</v>
      </c>
      <c r="AZ52" s="23">
        <f t="shared" si="0"/>
        <v>0</v>
      </c>
      <c r="BB52" s="23">
        <f>IF(OR(AW52="b",AW52="n"),SUM($BB$25:BB51)+1,0)</f>
        <v>0</v>
      </c>
      <c r="BM52" s="23">
        <f>IF(E52&lt;&gt;0,IF(D52="please answer",SUM($BM$25:BM51)+1,0),0)</f>
        <v>0</v>
      </c>
      <c r="BN52" s="23">
        <f>IF($E52&lt;&gt;0,IF(ISBLANK(F52),SUM($BN$25:BN51)+1,0),0)</f>
        <v>0</v>
      </c>
      <c r="BO52" s="23">
        <f>IF(AND($E52&lt;&gt;0,ISBLANK(G52)=TRUE,Generator_Info!J43&lt;&gt;Generator_Info!$K$19),SUM($BO$25:BO51)+1,0)</f>
        <v>0</v>
      </c>
      <c r="BP52" s="23">
        <f>IF($E52&lt;&gt;0,IF(ISBLANK(H52),SUM($BP$25:BP51)+1,0),0)</f>
        <v>0</v>
      </c>
      <c r="BQ52" s="23">
        <f>IF($E52&lt;I52,SUM($BQ$25:BQ51)+1,0)</f>
        <v>0</v>
      </c>
      <c r="BR52" s="23">
        <f>IF($E52&lt;J52,SUM($BR$25:BR51)+1,0)</f>
        <v>0</v>
      </c>
      <c r="BS52" s="23">
        <f>IF(OR(AW52="b"),SUM($BS$25:BS51)+1,0)</f>
        <v>0</v>
      </c>
      <c r="BV52" s="23">
        <f t="shared" si="8"/>
        <v>52</v>
      </c>
      <c r="BW52" s="23" t="str">
        <f>IF(ISBLANK(Generator_Info!B43),"Station "&amp;Generator_Info!A43,Generator_Info!B43)</f>
        <v>Station 28</v>
      </c>
    </row>
    <row r="53" spans="1:75" s="23" customFormat="1" ht="12.75">
      <c r="A53" s="23">
        <v>29</v>
      </c>
      <c r="B53" s="114">
        <f>IF(ISBLANK(Generator_Info!B44),"",Generator_Info!B44)</f>
      </c>
      <c r="C53" s="116"/>
      <c r="D53" s="103" t="s">
        <v>8</v>
      </c>
      <c r="E53" s="44"/>
      <c r="F53" s="44"/>
      <c r="G53" s="44"/>
      <c r="H53" s="44"/>
      <c r="I53" s="87">
        <f>IF(AND(F53+G53+H53&lt;=0.005*E53,Generator_Info!J44&lt;&gt;Generator_Info!$K$19),IF(Generator_Info!I44="No",0,Input_Output_Info!F53),Input_Output_Info!F53+Input_Output_Info!H53+IF(Generator_Info!J44=Generator_Info!$K$18,0,Input_Output_Info!G53))</f>
        <v>0</v>
      </c>
      <c r="J53" s="87">
        <f>IF(Generator_Info!J44=Generator_Info!$K$18,0,Input_Output_Info!G53)+IF(Generator_Info!I44="No",0,Input_Output_Info!F53)</f>
        <v>0</v>
      </c>
      <c r="K53" s="88">
        <f>IF(AND(ISBLANK(Generator_Info!C44),ISBLANK(Generator_Info!B44)=FALSE),"n/a",$AX53)</f>
        <v>1</v>
      </c>
      <c r="L53" s="88">
        <f>IF(OR($G$3=$Z$25,AND(ISBLANK(Generator_Info!D44),ISBLANK(Generator_Info!B44)=FALSE)),"n/a",$AX53)</f>
        <v>1</v>
      </c>
      <c r="M53" s="49">
        <f>IF(OR($AJ$43="Yes",ISBLANK(Generator_Info!C44)),0,((E53-I53)*IF(K53="n/a",1,K53))/1000)</f>
        <v>0</v>
      </c>
      <c r="N53" s="49">
        <f>IF(OR($G$3=$Z$25,$AJ$44="Yes",ISBLANK(Generator_Info!D44)),0,((E53-J53)*IF(L53="n/a",1,L53))/1000)</f>
        <v>0</v>
      </c>
      <c r="O53" s="86"/>
      <c r="P53" s="86"/>
      <c r="Q53" s="86"/>
      <c r="R53" s="86"/>
      <c r="S53" s="86"/>
      <c r="T53" s="86"/>
      <c r="U53" s="86"/>
      <c r="V53" s="86"/>
      <c r="W53" s="86"/>
      <c r="X53" s="86"/>
      <c r="AV53" s="23">
        <f>RIGHT(Generator_Info!C44,3)</f>
      </c>
      <c r="AW53" s="23" t="str">
        <f>IF(LEN(Generator_Info!C44)=10,LEFT(AV53,1),"Unknown")</f>
        <v>Unknown</v>
      </c>
      <c r="AX53" s="23">
        <f t="shared" si="4"/>
        <v>1</v>
      </c>
      <c r="AY53" s="23">
        <f t="shared" si="5"/>
        <v>0</v>
      </c>
      <c r="AZ53" s="23">
        <f t="shared" si="0"/>
        <v>0</v>
      </c>
      <c r="BB53" s="23">
        <f>IF(OR(AW53="b",AW53="n"),SUM($BB$25:BB52)+1,0)</f>
        <v>0</v>
      </c>
      <c r="BM53" s="23">
        <f>IF(E53&lt;&gt;0,IF(D53="please answer",SUM($BM$25:BM52)+1,0),0)</f>
        <v>0</v>
      </c>
      <c r="BN53" s="23">
        <f>IF($E53&lt;&gt;0,IF(ISBLANK(F53),SUM($BN$25:BN52)+1,0),0)</f>
        <v>0</v>
      </c>
      <c r="BO53" s="23">
        <f>IF(AND($E53&lt;&gt;0,ISBLANK(G53)=TRUE,Generator_Info!J44&lt;&gt;Generator_Info!$K$19),SUM($BO$25:BO52)+1,0)</f>
        <v>0</v>
      </c>
      <c r="BP53" s="23">
        <f>IF($E53&lt;&gt;0,IF(ISBLANK(H53),SUM($BP$25:BP52)+1,0),0)</f>
        <v>0</v>
      </c>
      <c r="BQ53" s="23">
        <f>IF($E53&lt;I53,SUM($BQ$25:BQ52)+1,0)</f>
        <v>0</v>
      </c>
      <c r="BR53" s="23">
        <f>IF($E53&lt;J53,SUM($BR$25:BR52)+1,0)</f>
        <v>0</v>
      </c>
      <c r="BS53" s="23">
        <f>IF(OR(AW53="b"),SUM($BS$25:BS52)+1,0)</f>
        <v>0</v>
      </c>
      <c r="BV53" s="23">
        <f t="shared" si="8"/>
        <v>53</v>
      </c>
      <c r="BW53" s="23" t="str">
        <f>IF(ISBLANK(Generator_Info!B44),"Station "&amp;Generator_Info!A44,Generator_Info!B44)</f>
        <v>Station 29</v>
      </c>
    </row>
    <row r="54" spans="1:75" s="23" customFormat="1" ht="12.75">
      <c r="A54" s="23">
        <v>30</v>
      </c>
      <c r="B54" s="114">
        <f>IF(ISBLANK(Generator_Info!B45),"",Generator_Info!B45)</f>
      </c>
      <c r="C54" s="116"/>
      <c r="D54" s="103" t="s">
        <v>8</v>
      </c>
      <c r="E54" s="44"/>
      <c r="F54" s="44"/>
      <c r="G54" s="44"/>
      <c r="H54" s="44"/>
      <c r="I54" s="87">
        <f>IF(AND(F54+G54+H54&lt;=0.005*E54,Generator_Info!J45&lt;&gt;Generator_Info!$K$19),IF(Generator_Info!I45="No",0,Input_Output_Info!F54),Input_Output_Info!F54+Input_Output_Info!H54+IF(Generator_Info!J45=Generator_Info!$K$18,0,Input_Output_Info!G54))</f>
        <v>0</v>
      </c>
      <c r="J54" s="87">
        <f>IF(Generator_Info!J45=Generator_Info!$K$18,0,Input_Output_Info!G54)+IF(Generator_Info!I45="No",0,Input_Output_Info!F54)</f>
        <v>0</v>
      </c>
      <c r="K54" s="88">
        <f>IF(AND(ISBLANK(Generator_Info!C45),ISBLANK(Generator_Info!B45)=FALSE),"n/a",$AX54)</f>
        <v>1</v>
      </c>
      <c r="L54" s="88">
        <f>IF(OR($G$3=$Z$25,AND(ISBLANK(Generator_Info!D45),ISBLANK(Generator_Info!B45)=FALSE)),"n/a",$AX54)</f>
        <v>1</v>
      </c>
      <c r="M54" s="49">
        <f>IF(OR($AJ$43="Yes",ISBLANK(Generator_Info!C45)),0,((E54-I54)*IF(K54="n/a",1,K54))/1000)</f>
        <v>0</v>
      </c>
      <c r="N54" s="49">
        <f>IF(OR($G$3=$Z$25,$AJ$44="Yes",ISBLANK(Generator_Info!D45)),0,((E54-J54)*IF(L54="n/a",1,L54))/1000)</f>
        <v>0</v>
      </c>
      <c r="O54" s="86"/>
      <c r="P54" s="86"/>
      <c r="Q54" s="86"/>
      <c r="R54" s="86"/>
      <c r="S54" s="86"/>
      <c r="T54" s="86"/>
      <c r="U54" s="86"/>
      <c r="V54" s="86"/>
      <c r="W54" s="86"/>
      <c r="X54" s="86"/>
      <c r="AV54" s="23">
        <f>RIGHT(Generator_Info!C45,3)</f>
      </c>
      <c r="AW54" s="23" t="str">
        <f>IF(LEN(Generator_Info!C45)=10,LEFT(AV54,1),"Unknown")</f>
        <v>Unknown</v>
      </c>
      <c r="AX54" s="23">
        <f t="shared" si="4"/>
        <v>1</v>
      </c>
      <c r="AY54" s="23">
        <f t="shared" si="5"/>
        <v>0</v>
      </c>
      <c r="AZ54" s="23">
        <f t="shared" si="0"/>
        <v>0</v>
      </c>
      <c r="BB54" s="23">
        <f>IF(OR(AW54="b",AW54="n"),SUM($BB$25:BB53)+1,0)</f>
        <v>0</v>
      </c>
      <c r="BM54" s="23">
        <f>IF(E54&lt;&gt;0,IF(D54="please answer",SUM($BM$25:BM53)+1,0),0)</f>
        <v>0</v>
      </c>
      <c r="BN54" s="23">
        <f>IF($E54&lt;&gt;0,IF(ISBLANK(F54),SUM($BN$25:BN53)+1,0),0)</f>
        <v>0</v>
      </c>
      <c r="BO54" s="23">
        <f>IF(AND($E54&lt;&gt;0,ISBLANK(G54)=TRUE,Generator_Info!J45&lt;&gt;Generator_Info!$K$19),SUM($BO$25:BO53)+1,0)</f>
        <v>0</v>
      </c>
      <c r="BP54" s="23">
        <f>IF($E54&lt;&gt;0,IF(ISBLANK(H54),SUM($BP$25:BP53)+1,0),0)</f>
        <v>0</v>
      </c>
      <c r="BQ54" s="23">
        <f>IF($E54&lt;I54,SUM($BQ$25:BQ53)+1,0)</f>
        <v>0</v>
      </c>
      <c r="BR54" s="23">
        <f>IF($E54&lt;J54,SUM($BR$25:BR53)+1,0)</f>
        <v>0</v>
      </c>
      <c r="BS54" s="23">
        <f>IF(OR(AW54="b"),SUM($BS$25:BS53)+1,0)</f>
        <v>0</v>
      </c>
      <c r="BV54" s="23">
        <f t="shared" si="8"/>
        <v>54</v>
      </c>
      <c r="BW54" s="23" t="str">
        <f>IF(ISBLANK(Generator_Info!B45),"Station "&amp;Generator_Info!A45,Generator_Info!B45)</f>
        <v>Station 30</v>
      </c>
    </row>
    <row r="55" spans="1:75" s="23" customFormat="1" ht="12.75">
      <c r="A55" s="23">
        <v>31</v>
      </c>
      <c r="B55" s="114">
        <f>IF(ISBLANK(Generator_Info!B46),"",Generator_Info!B46)</f>
      </c>
      <c r="C55" s="116"/>
      <c r="D55" s="103" t="s">
        <v>8</v>
      </c>
      <c r="E55" s="44"/>
      <c r="F55" s="44"/>
      <c r="G55" s="44"/>
      <c r="H55" s="44"/>
      <c r="I55" s="87">
        <f>IF(AND(F55+G55+H55&lt;=0.005*E55,Generator_Info!J46&lt;&gt;Generator_Info!$K$19),IF(Generator_Info!I46="No",0,Input_Output_Info!F55),Input_Output_Info!F55+Input_Output_Info!H55+IF(Generator_Info!J46=Generator_Info!$K$18,0,Input_Output_Info!G55))</f>
        <v>0</v>
      </c>
      <c r="J55" s="87">
        <f>IF(Generator_Info!J46=Generator_Info!$K$18,0,Input_Output_Info!G55)+IF(Generator_Info!I46="No",0,Input_Output_Info!F55)</f>
        <v>0</v>
      </c>
      <c r="K55" s="88">
        <f>IF(AND(ISBLANK(Generator_Info!C46),ISBLANK(Generator_Info!B46)=FALSE),"n/a",$AX55)</f>
        <v>1</v>
      </c>
      <c r="L55" s="88">
        <f>IF(OR($G$3=$Z$25,AND(ISBLANK(Generator_Info!D46),ISBLANK(Generator_Info!B46)=FALSE)),"n/a",$AX55)</f>
        <v>1</v>
      </c>
      <c r="M55" s="49">
        <f>IF(OR($AJ$43="Yes",ISBLANK(Generator_Info!C46)),0,((E55-I55)*IF(K55="n/a",1,K55))/1000)</f>
        <v>0</v>
      </c>
      <c r="N55" s="49">
        <f>IF(OR($G$3=$Z$25,$AJ$44="Yes",ISBLANK(Generator_Info!D46)),0,((E55-J55)*IF(L55="n/a",1,L55))/1000)</f>
        <v>0</v>
      </c>
      <c r="O55" s="86"/>
      <c r="P55" s="86"/>
      <c r="Q55" s="86"/>
      <c r="R55" s="86"/>
      <c r="S55" s="86"/>
      <c r="T55" s="86"/>
      <c r="U55" s="86"/>
      <c r="V55" s="86"/>
      <c r="W55" s="86"/>
      <c r="X55" s="86"/>
      <c r="AV55" s="23">
        <f>RIGHT(Generator_Info!C46,3)</f>
      </c>
      <c r="AW55" s="23" t="str">
        <f>IF(LEN(Generator_Info!C46)=10,LEFT(AV55,1),"Unknown")</f>
        <v>Unknown</v>
      </c>
      <c r="AX55" s="23">
        <f t="shared" si="4"/>
        <v>1</v>
      </c>
      <c r="AY55" s="23">
        <f t="shared" si="5"/>
        <v>0</v>
      </c>
      <c r="AZ55" s="23">
        <f t="shared" si="0"/>
        <v>0</v>
      </c>
      <c r="BB55" s="23">
        <f>IF(OR(AW55="b",AW55="n"),SUM($BB$25:BB54)+1,0)</f>
        <v>0</v>
      </c>
      <c r="BM55" s="23">
        <f>IF(E55&lt;&gt;0,IF(D55="please answer",SUM($BM$25:BM54)+1,0),0)</f>
        <v>0</v>
      </c>
      <c r="BN55" s="23">
        <f>IF($E55&lt;&gt;0,IF(ISBLANK(F55),SUM($BN$25:BN54)+1,0),0)</f>
        <v>0</v>
      </c>
      <c r="BO55" s="23">
        <f>IF(AND($E55&lt;&gt;0,ISBLANK(G55)=TRUE,Generator_Info!J46&lt;&gt;Generator_Info!$K$19),SUM($BO$25:BO54)+1,0)</f>
        <v>0</v>
      </c>
      <c r="BP55" s="23">
        <f>IF($E55&lt;&gt;0,IF(ISBLANK(H55),SUM($BP$25:BP54)+1,0),0)</f>
        <v>0</v>
      </c>
      <c r="BQ55" s="23">
        <f>IF($E55&lt;I55,SUM($BQ$25:BQ54)+1,0)</f>
        <v>0</v>
      </c>
      <c r="BR55" s="23">
        <f>IF($E55&lt;J55,SUM($BR$25:BR54)+1,0)</f>
        <v>0</v>
      </c>
      <c r="BS55" s="23">
        <f>IF(OR(AW55="b"),SUM($BS$25:BS54)+1,0)</f>
        <v>0</v>
      </c>
      <c r="BV55" s="23">
        <f t="shared" si="8"/>
        <v>55</v>
      </c>
      <c r="BW55" s="23" t="str">
        <f>IF(ISBLANK(Generator_Info!B46),"Station "&amp;Generator_Info!A46,Generator_Info!B46)</f>
        <v>Station 31</v>
      </c>
    </row>
    <row r="56" spans="1:75" s="23" customFormat="1" ht="12.75">
      <c r="A56" s="23">
        <v>32</v>
      </c>
      <c r="B56" s="114">
        <f>IF(ISBLANK(Generator_Info!B47),"",Generator_Info!B47)</f>
      </c>
      <c r="C56" s="116"/>
      <c r="D56" s="103" t="s">
        <v>8</v>
      </c>
      <c r="E56" s="44"/>
      <c r="F56" s="44"/>
      <c r="G56" s="44"/>
      <c r="H56" s="44"/>
      <c r="I56" s="87">
        <f>IF(AND(F56+G56+H56&lt;=0.005*E56,Generator_Info!J47&lt;&gt;Generator_Info!$K$19),IF(Generator_Info!I47="No",0,Input_Output_Info!F56),Input_Output_Info!F56+Input_Output_Info!H56+IF(Generator_Info!J47=Generator_Info!$K$18,0,Input_Output_Info!G56))</f>
        <v>0</v>
      </c>
      <c r="J56" s="87">
        <f>IF(Generator_Info!J47=Generator_Info!$K$18,0,Input_Output_Info!G56)+IF(Generator_Info!I47="No",0,Input_Output_Info!F56)</f>
        <v>0</v>
      </c>
      <c r="K56" s="88">
        <f>IF(AND(ISBLANK(Generator_Info!C47),ISBLANK(Generator_Info!B47)=FALSE),"n/a",$AX56)</f>
        <v>1</v>
      </c>
      <c r="L56" s="88">
        <f>IF(OR($G$3=$Z$25,AND(ISBLANK(Generator_Info!D47),ISBLANK(Generator_Info!B47)=FALSE)),"n/a",$AX56)</f>
        <v>1</v>
      </c>
      <c r="M56" s="49">
        <f>IF(OR($AJ$43="Yes",ISBLANK(Generator_Info!C47)),0,((E56-I56)*IF(K56="n/a",1,K56))/1000)</f>
        <v>0</v>
      </c>
      <c r="N56" s="49">
        <f>IF(OR($G$3=$Z$25,$AJ$44="Yes",ISBLANK(Generator_Info!D47)),0,((E56-J56)*IF(L56="n/a",1,L56))/1000)</f>
        <v>0</v>
      </c>
      <c r="O56" s="86"/>
      <c r="P56" s="86"/>
      <c r="Q56" s="86"/>
      <c r="R56" s="86"/>
      <c r="S56" s="86"/>
      <c r="T56" s="86"/>
      <c r="U56" s="86"/>
      <c r="V56" s="86"/>
      <c r="W56" s="86"/>
      <c r="X56" s="86"/>
      <c r="AV56" s="23">
        <f>RIGHT(Generator_Info!C47,3)</f>
      </c>
      <c r="AW56" s="23" t="str">
        <f>IF(LEN(Generator_Info!C47)=10,LEFT(AV56,1),"Unknown")</f>
        <v>Unknown</v>
      </c>
      <c r="AX56" s="23">
        <f t="shared" si="4"/>
        <v>1</v>
      </c>
      <c r="AY56" s="23">
        <f t="shared" si="5"/>
        <v>0</v>
      </c>
      <c r="AZ56" s="23">
        <f t="shared" si="0"/>
        <v>0</v>
      </c>
      <c r="BB56" s="23">
        <f>IF(OR(AW56="b",AW56="n"),SUM($BB$25:BB55)+1,0)</f>
        <v>0</v>
      </c>
      <c r="BM56" s="23">
        <f>IF(E56&lt;&gt;0,IF(D56="please answer",SUM($BM$25:BM55)+1,0),0)</f>
        <v>0</v>
      </c>
      <c r="BN56" s="23">
        <f>IF($E56&lt;&gt;0,IF(ISBLANK(F56),SUM($BN$25:BN55)+1,0),0)</f>
        <v>0</v>
      </c>
      <c r="BO56" s="23">
        <f>IF(AND($E56&lt;&gt;0,ISBLANK(G56)=TRUE,Generator_Info!J47&lt;&gt;Generator_Info!$K$19),SUM($BO$25:BO55)+1,0)</f>
        <v>0</v>
      </c>
      <c r="BP56" s="23">
        <f>IF($E56&lt;&gt;0,IF(ISBLANK(H56),SUM($BP$25:BP55)+1,0),0)</f>
        <v>0</v>
      </c>
      <c r="BQ56" s="23">
        <f>IF($E56&lt;I56,SUM($BQ$25:BQ55)+1,0)</f>
        <v>0</v>
      </c>
      <c r="BR56" s="23">
        <f>IF($E56&lt;J56,SUM($BR$25:BR55)+1,0)</f>
        <v>0</v>
      </c>
      <c r="BS56" s="23">
        <f>IF(OR(AW56="b"),SUM($BS$25:BS55)+1,0)</f>
        <v>0</v>
      </c>
      <c r="BV56" s="23">
        <f t="shared" si="8"/>
        <v>56</v>
      </c>
      <c r="BW56" s="23" t="str">
        <f>IF(ISBLANK(Generator_Info!B47),"Station "&amp;Generator_Info!A47,Generator_Info!B47)</f>
        <v>Station 32</v>
      </c>
    </row>
    <row r="57" spans="1:75" s="23" customFormat="1" ht="12.75">
      <c r="A57" s="23">
        <v>33</v>
      </c>
      <c r="B57" s="114">
        <f>IF(ISBLANK(Generator_Info!B48),"",Generator_Info!B48)</f>
      </c>
      <c r="C57" s="116"/>
      <c r="D57" s="103" t="s">
        <v>8</v>
      </c>
      <c r="E57" s="44"/>
      <c r="F57" s="44"/>
      <c r="G57" s="44"/>
      <c r="H57" s="44"/>
      <c r="I57" s="87">
        <f>IF(AND(F57+G57+H57&lt;=0.005*E57,Generator_Info!J48&lt;&gt;Generator_Info!$K$19),IF(Generator_Info!I48="No",0,Input_Output_Info!F57),Input_Output_Info!F57+Input_Output_Info!H57+IF(Generator_Info!J48=Generator_Info!$K$18,0,Input_Output_Info!G57))</f>
        <v>0</v>
      </c>
      <c r="J57" s="87">
        <f>IF(Generator_Info!J48=Generator_Info!$K$18,0,Input_Output_Info!G57)+IF(Generator_Info!I48="No",0,Input_Output_Info!F57)</f>
        <v>0</v>
      </c>
      <c r="K57" s="88">
        <f>IF(AND(ISBLANK(Generator_Info!C48),ISBLANK(Generator_Info!B48)=FALSE),"n/a",$AX57)</f>
        <v>1</v>
      </c>
      <c r="L57" s="88">
        <f>IF(OR($G$3=$Z$25,AND(ISBLANK(Generator_Info!D48),ISBLANK(Generator_Info!B48)=FALSE)),"n/a",$AX57)</f>
        <v>1</v>
      </c>
      <c r="M57" s="49">
        <f>IF(OR($AJ$43="Yes",ISBLANK(Generator_Info!C48)),0,((E57-I57)*IF(K57="n/a",1,K57))/1000)</f>
        <v>0</v>
      </c>
      <c r="N57" s="49">
        <f>IF(OR($G$3=$Z$25,$AJ$44="Yes",ISBLANK(Generator_Info!D48)),0,((E57-J57)*IF(L57="n/a",1,L57))/1000)</f>
        <v>0</v>
      </c>
      <c r="O57" s="86"/>
      <c r="P57" s="86"/>
      <c r="Q57" s="86"/>
      <c r="R57" s="86"/>
      <c r="S57" s="86"/>
      <c r="T57" s="86"/>
      <c r="U57" s="86"/>
      <c r="V57" s="86"/>
      <c r="W57" s="86"/>
      <c r="X57" s="86"/>
      <c r="AV57" s="23">
        <f>RIGHT(Generator_Info!C48,3)</f>
      </c>
      <c r="AW57" s="23" t="str">
        <f>IF(LEN(Generator_Info!C48)=10,LEFT(AV57,1),"Unknown")</f>
        <v>Unknown</v>
      </c>
      <c r="AX57" s="23">
        <f t="shared" si="4"/>
        <v>1</v>
      </c>
      <c r="AY57" s="23">
        <f t="shared" si="5"/>
        <v>0</v>
      </c>
      <c r="AZ57" s="23">
        <f t="shared" si="0"/>
        <v>0</v>
      </c>
      <c r="BB57" s="23">
        <f>IF(OR(AW57="b",AW57="n"),SUM($BB$25:BB56)+1,0)</f>
        <v>0</v>
      </c>
      <c r="BM57" s="23">
        <f>IF(E57&lt;&gt;0,IF(D57="please answer",SUM($BM$25:BM56)+1,0),0)</f>
        <v>0</v>
      </c>
      <c r="BN57" s="23">
        <f>IF($E57&lt;&gt;0,IF(ISBLANK(F57),SUM($BN$25:BN56)+1,0),0)</f>
        <v>0</v>
      </c>
      <c r="BO57" s="23">
        <f>IF(AND($E57&lt;&gt;0,ISBLANK(G57)=TRUE,Generator_Info!J48&lt;&gt;Generator_Info!$K$19),SUM($BO$25:BO56)+1,0)</f>
        <v>0</v>
      </c>
      <c r="BP57" s="23">
        <f>IF($E57&lt;&gt;0,IF(ISBLANK(H57),SUM($BP$25:BP56)+1,0),0)</f>
        <v>0</v>
      </c>
      <c r="BQ57" s="23">
        <f>IF($E57&lt;I57,SUM($BQ$25:BQ56)+1,0)</f>
        <v>0</v>
      </c>
      <c r="BR57" s="23">
        <f>IF($E57&lt;J57,SUM($BR$25:BR56)+1,0)</f>
        <v>0</v>
      </c>
      <c r="BS57" s="23">
        <f>IF(OR(AW57="b"),SUM($BS$25:BS56)+1,0)</f>
        <v>0</v>
      </c>
      <c r="BV57" s="23">
        <f t="shared" si="8"/>
        <v>57</v>
      </c>
      <c r="BW57" s="23" t="str">
        <f>IF(ISBLANK(Generator_Info!B48),"Station "&amp;Generator_Info!A48,Generator_Info!B48)</f>
        <v>Station 33</v>
      </c>
    </row>
    <row r="58" spans="1:75" s="23" customFormat="1" ht="12.75">
      <c r="A58" s="23">
        <v>34</v>
      </c>
      <c r="B58" s="114">
        <f>IF(ISBLANK(Generator_Info!B49),"",Generator_Info!B49)</f>
      </c>
      <c r="C58" s="116"/>
      <c r="D58" s="103" t="s">
        <v>8</v>
      </c>
      <c r="E58" s="44"/>
      <c r="F58" s="44"/>
      <c r="G58" s="44"/>
      <c r="H58" s="44"/>
      <c r="I58" s="87">
        <f>IF(AND(F58+G58+H58&lt;=0.005*E58,Generator_Info!J49&lt;&gt;Generator_Info!$K$19),IF(Generator_Info!I49="No",0,Input_Output_Info!F58),Input_Output_Info!F58+Input_Output_Info!H58+IF(Generator_Info!J49=Generator_Info!$K$18,0,Input_Output_Info!G58))</f>
        <v>0</v>
      </c>
      <c r="J58" s="87">
        <f>IF(Generator_Info!J49=Generator_Info!$K$18,0,Input_Output_Info!G58)+IF(Generator_Info!I49="No",0,Input_Output_Info!F58)</f>
        <v>0</v>
      </c>
      <c r="K58" s="88">
        <f>IF(AND(ISBLANK(Generator_Info!C49),ISBLANK(Generator_Info!B49)=FALSE),"n/a",$AX58)</f>
        <v>1</v>
      </c>
      <c r="L58" s="88">
        <f>IF(OR($G$3=$Z$25,AND(ISBLANK(Generator_Info!D49),ISBLANK(Generator_Info!B49)=FALSE)),"n/a",$AX58)</f>
        <v>1</v>
      </c>
      <c r="M58" s="49">
        <f>IF(OR($AJ$43="Yes",ISBLANK(Generator_Info!C49)),0,((E58-I58)*IF(K58="n/a",1,K58))/1000)</f>
        <v>0</v>
      </c>
      <c r="N58" s="49">
        <f>IF(OR($G$3=$Z$25,$AJ$44="Yes",ISBLANK(Generator_Info!D49)),0,((E58-J58)*IF(L58="n/a",1,L58))/1000)</f>
        <v>0</v>
      </c>
      <c r="O58" s="86"/>
      <c r="P58" s="86"/>
      <c r="Q58" s="86"/>
      <c r="R58" s="86"/>
      <c r="S58" s="86"/>
      <c r="T58" s="86"/>
      <c r="U58" s="86"/>
      <c r="V58" s="86"/>
      <c r="W58" s="86"/>
      <c r="X58" s="86"/>
      <c r="AV58" s="23">
        <f>RIGHT(Generator_Info!C49,3)</f>
      </c>
      <c r="AW58" s="23" t="str">
        <f>IF(LEN(Generator_Info!C49)=10,LEFT(AV58,1),"Unknown")</f>
        <v>Unknown</v>
      </c>
      <c r="AX58" s="23">
        <f t="shared" si="4"/>
        <v>1</v>
      </c>
      <c r="AY58" s="23">
        <f t="shared" si="5"/>
        <v>0</v>
      </c>
      <c r="AZ58" s="23">
        <f t="shared" si="0"/>
        <v>0</v>
      </c>
      <c r="BB58" s="23">
        <f>IF(OR(AW58="b",AW58="n"),SUM($BB$25:BB57)+1,0)</f>
        <v>0</v>
      </c>
      <c r="BM58" s="23">
        <f>IF(E58&lt;&gt;0,IF(D58="please answer",SUM($BM$25:BM57)+1,0),0)</f>
        <v>0</v>
      </c>
      <c r="BN58" s="23">
        <f>IF($E58&lt;&gt;0,IF(ISBLANK(F58),SUM($BN$25:BN57)+1,0),0)</f>
        <v>0</v>
      </c>
      <c r="BO58" s="23">
        <f>IF(AND($E58&lt;&gt;0,ISBLANK(G58)=TRUE,Generator_Info!J49&lt;&gt;Generator_Info!$K$19),SUM($BO$25:BO57)+1,0)</f>
        <v>0</v>
      </c>
      <c r="BP58" s="23">
        <f>IF($E58&lt;&gt;0,IF(ISBLANK(H58),SUM($BP$25:BP57)+1,0),0)</f>
        <v>0</v>
      </c>
      <c r="BQ58" s="23">
        <f>IF($E58&lt;I58,SUM($BQ$25:BQ57)+1,0)</f>
        <v>0</v>
      </c>
      <c r="BR58" s="23">
        <f>IF($E58&lt;J58,SUM($BR$25:BR57)+1,0)</f>
        <v>0</v>
      </c>
      <c r="BS58" s="23">
        <f>IF(OR(AW58="b"),SUM($BS$25:BS57)+1,0)</f>
        <v>0</v>
      </c>
      <c r="BV58" s="23">
        <f t="shared" si="8"/>
        <v>58</v>
      </c>
      <c r="BW58" s="23" t="str">
        <f>IF(ISBLANK(Generator_Info!B49),"Station "&amp;Generator_Info!A49,Generator_Info!B49)</f>
        <v>Station 34</v>
      </c>
    </row>
    <row r="59" spans="1:75" s="23" customFormat="1" ht="12.75">
      <c r="A59" s="23">
        <v>35</v>
      </c>
      <c r="B59" s="114">
        <f>IF(ISBLANK(Generator_Info!B50),"",Generator_Info!B50)</f>
      </c>
      <c r="C59" s="116"/>
      <c r="D59" s="103" t="s">
        <v>8</v>
      </c>
      <c r="E59" s="44"/>
      <c r="F59" s="44"/>
      <c r="G59" s="44"/>
      <c r="H59" s="44"/>
      <c r="I59" s="87">
        <f>IF(AND(F59+G59+H59&lt;=0.005*E59,Generator_Info!J50&lt;&gt;Generator_Info!$K$19),IF(Generator_Info!I50="No",0,Input_Output_Info!F59),Input_Output_Info!F59+Input_Output_Info!H59+IF(Generator_Info!J50=Generator_Info!$K$18,0,Input_Output_Info!G59))</f>
        <v>0</v>
      </c>
      <c r="J59" s="87">
        <f>IF(Generator_Info!J50=Generator_Info!$K$18,0,Input_Output_Info!G59)+IF(Generator_Info!I50="No",0,Input_Output_Info!F59)</f>
        <v>0</v>
      </c>
      <c r="K59" s="88">
        <f>IF(AND(ISBLANK(Generator_Info!C50),ISBLANK(Generator_Info!B50)=FALSE),"n/a",$AX59)</f>
        <v>1</v>
      </c>
      <c r="L59" s="88">
        <f>IF(OR($G$3=$Z$25,AND(ISBLANK(Generator_Info!D50),ISBLANK(Generator_Info!B50)=FALSE)),"n/a",$AX59)</f>
        <v>1</v>
      </c>
      <c r="M59" s="49">
        <f>IF(OR($AJ$43="Yes",ISBLANK(Generator_Info!C50)),0,((E59-I59)*IF(K59="n/a",1,K59))/1000)</f>
        <v>0</v>
      </c>
      <c r="N59" s="49">
        <f>IF(OR($G$3=$Z$25,$AJ$44="Yes",ISBLANK(Generator_Info!D50)),0,((E59-J59)*IF(L59="n/a",1,L59))/1000)</f>
        <v>0</v>
      </c>
      <c r="O59" s="86"/>
      <c r="P59" s="86"/>
      <c r="Q59" s="86"/>
      <c r="R59" s="86"/>
      <c r="S59" s="86"/>
      <c r="T59" s="86"/>
      <c r="U59" s="86"/>
      <c r="V59" s="86"/>
      <c r="W59" s="86"/>
      <c r="X59" s="86"/>
      <c r="AV59" s="23">
        <f>RIGHT(Generator_Info!C50,3)</f>
      </c>
      <c r="AW59" s="23" t="str">
        <f>IF(LEN(Generator_Info!C50)=10,LEFT(AV59,1),"Unknown")</f>
        <v>Unknown</v>
      </c>
      <c r="AX59" s="23">
        <f t="shared" si="4"/>
        <v>1</v>
      </c>
      <c r="AY59" s="23">
        <f t="shared" si="5"/>
        <v>0</v>
      </c>
      <c r="AZ59" s="23">
        <f t="shared" si="0"/>
        <v>0</v>
      </c>
      <c r="BB59" s="23">
        <f>IF(OR(AW59="b",AW59="n"),SUM($BB$25:BB58)+1,0)</f>
        <v>0</v>
      </c>
      <c r="BM59" s="23">
        <f>IF(E59&lt;&gt;0,IF(D59="please answer",SUM($BM$25:BM58)+1,0),0)</f>
        <v>0</v>
      </c>
      <c r="BN59" s="23">
        <f>IF($E59&lt;&gt;0,IF(ISBLANK(F59),SUM($BN$25:BN58)+1,0),0)</f>
        <v>0</v>
      </c>
      <c r="BO59" s="23">
        <f>IF(AND($E59&lt;&gt;0,ISBLANK(G59)=TRUE,Generator_Info!J50&lt;&gt;Generator_Info!$K$19),SUM($BO$25:BO58)+1,0)</f>
        <v>0</v>
      </c>
      <c r="BP59" s="23">
        <f>IF($E59&lt;&gt;0,IF(ISBLANK(H59),SUM($BP$25:BP58)+1,0),0)</f>
        <v>0</v>
      </c>
      <c r="BQ59" s="23">
        <f>IF($E59&lt;I59,SUM($BQ$25:BQ58)+1,0)</f>
        <v>0</v>
      </c>
      <c r="BR59" s="23">
        <f>IF($E59&lt;J59,SUM($BR$25:BR58)+1,0)</f>
        <v>0</v>
      </c>
      <c r="BS59" s="23">
        <f>IF(OR(AW59="b"),SUM($BS$25:BS58)+1,0)</f>
        <v>0</v>
      </c>
      <c r="BV59" s="23">
        <f t="shared" si="8"/>
        <v>59</v>
      </c>
      <c r="BW59" s="23" t="str">
        <f>IF(ISBLANK(Generator_Info!B50),"Station "&amp;Generator_Info!A50,Generator_Info!B50)</f>
        <v>Station 35</v>
      </c>
    </row>
    <row r="60" spans="1:75" s="23" customFormat="1" ht="12.75">
      <c r="A60" s="23">
        <v>36</v>
      </c>
      <c r="B60" s="114">
        <f>IF(ISBLANK(Generator_Info!B51),"",Generator_Info!B51)</f>
      </c>
      <c r="C60" s="116"/>
      <c r="D60" s="103" t="s">
        <v>8</v>
      </c>
      <c r="E60" s="44"/>
      <c r="F60" s="44"/>
      <c r="G60" s="44"/>
      <c r="H60" s="44"/>
      <c r="I60" s="87">
        <f>IF(AND(F60+G60+H60&lt;=0.005*E60,Generator_Info!J51&lt;&gt;Generator_Info!$K$19),IF(Generator_Info!I51="No",0,Input_Output_Info!F60),Input_Output_Info!F60+Input_Output_Info!H60+IF(Generator_Info!J51=Generator_Info!$K$18,0,Input_Output_Info!G60))</f>
        <v>0</v>
      </c>
      <c r="J60" s="87">
        <f>IF(Generator_Info!J51=Generator_Info!$K$18,0,Input_Output_Info!G60)+IF(Generator_Info!I51="No",0,Input_Output_Info!F60)</f>
        <v>0</v>
      </c>
      <c r="K60" s="88">
        <f>IF(AND(ISBLANK(Generator_Info!C51),ISBLANK(Generator_Info!B51)=FALSE),"n/a",$AX60)</f>
        <v>1</v>
      </c>
      <c r="L60" s="88">
        <f>IF(OR($G$3=$Z$25,AND(ISBLANK(Generator_Info!D51),ISBLANK(Generator_Info!B51)=FALSE)),"n/a",$AX60)</f>
        <v>1</v>
      </c>
      <c r="M60" s="49">
        <f>IF(OR($AJ$43="Yes",ISBLANK(Generator_Info!C51)),0,((E60-I60)*IF(K60="n/a",1,K60))/1000)</f>
        <v>0</v>
      </c>
      <c r="N60" s="49">
        <f>IF(OR($G$3=$Z$25,$AJ$44="Yes",ISBLANK(Generator_Info!D51)),0,((E60-J60)*IF(L60="n/a",1,L60))/1000)</f>
        <v>0</v>
      </c>
      <c r="O60" s="86"/>
      <c r="P60" s="86"/>
      <c r="Q60" s="86"/>
      <c r="R60" s="86"/>
      <c r="S60" s="86"/>
      <c r="T60" s="86"/>
      <c r="U60" s="86"/>
      <c r="V60" s="86"/>
      <c r="W60" s="86"/>
      <c r="X60" s="86"/>
      <c r="AV60" s="23">
        <f>RIGHT(Generator_Info!C51,3)</f>
      </c>
      <c r="AW60" s="23" t="str">
        <f>IF(LEN(Generator_Info!C51)=10,LEFT(AV60,1),"Unknown")</f>
        <v>Unknown</v>
      </c>
      <c r="AX60" s="23">
        <f t="shared" si="4"/>
        <v>1</v>
      </c>
      <c r="AY60" s="23">
        <f t="shared" si="5"/>
        <v>0</v>
      </c>
      <c r="AZ60" s="23">
        <f t="shared" si="0"/>
        <v>0</v>
      </c>
      <c r="BB60" s="23">
        <f>IF(OR(AW60="b",AW60="n"),SUM($BB$25:BB59)+1,0)</f>
        <v>0</v>
      </c>
      <c r="BM60" s="23">
        <f>IF(E60&lt;&gt;0,IF(D60="please answer",SUM($BM$25:BM59)+1,0),0)</f>
        <v>0</v>
      </c>
      <c r="BN60" s="23">
        <f>IF($E60&lt;&gt;0,IF(ISBLANK(F60),SUM($BN$25:BN59)+1,0),0)</f>
        <v>0</v>
      </c>
      <c r="BO60" s="23">
        <f>IF(AND($E60&lt;&gt;0,ISBLANK(G60)=TRUE,Generator_Info!J51&lt;&gt;Generator_Info!$K$19),SUM($BO$25:BO59)+1,0)</f>
        <v>0</v>
      </c>
      <c r="BP60" s="23">
        <f>IF($E60&lt;&gt;0,IF(ISBLANK(H60),SUM($BP$25:BP59)+1,0),0)</f>
        <v>0</v>
      </c>
      <c r="BQ60" s="23">
        <f>IF($E60&lt;I60,SUM($BQ$25:BQ59)+1,0)</f>
        <v>0</v>
      </c>
      <c r="BR60" s="23">
        <f>IF($E60&lt;J60,SUM($BR$25:BR59)+1,0)</f>
        <v>0</v>
      </c>
      <c r="BS60" s="23">
        <f>IF(OR(AW60="b"),SUM($BS$25:BS59)+1,0)</f>
        <v>0</v>
      </c>
      <c r="BV60" s="23">
        <f t="shared" si="8"/>
        <v>60</v>
      </c>
      <c r="BW60" s="23" t="str">
        <f>IF(ISBLANK(Generator_Info!B51),"Station "&amp;Generator_Info!A51,Generator_Info!B51)</f>
        <v>Station 36</v>
      </c>
    </row>
    <row r="61" spans="1:75" s="23" customFormat="1" ht="12.75">
      <c r="A61" s="23">
        <v>37</v>
      </c>
      <c r="B61" s="114">
        <f>IF(ISBLANK(Generator_Info!B52),"",Generator_Info!B52)</f>
      </c>
      <c r="C61" s="116"/>
      <c r="D61" s="103" t="s">
        <v>8</v>
      </c>
      <c r="E61" s="44"/>
      <c r="F61" s="44"/>
      <c r="G61" s="44"/>
      <c r="H61" s="44"/>
      <c r="I61" s="87">
        <f>IF(AND(F61+G61+H61&lt;=0.005*E61,Generator_Info!J52&lt;&gt;Generator_Info!$K$19),IF(Generator_Info!I52="No",0,Input_Output_Info!F61),Input_Output_Info!F61+Input_Output_Info!H61+IF(Generator_Info!J52=Generator_Info!$K$18,0,Input_Output_Info!G61))</f>
        <v>0</v>
      </c>
      <c r="J61" s="87">
        <f>IF(Generator_Info!J52=Generator_Info!$K$18,0,Input_Output_Info!G61)+IF(Generator_Info!I52="No",0,Input_Output_Info!F61)</f>
        <v>0</v>
      </c>
      <c r="K61" s="88">
        <f>IF(AND(ISBLANK(Generator_Info!C52),ISBLANK(Generator_Info!B52)=FALSE),"n/a",$AX61)</f>
        <v>1</v>
      </c>
      <c r="L61" s="88">
        <f>IF(OR($G$3=$Z$25,AND(ISBLANK(Generator_Info!D52),ISBLANK(Generator_Info!B52)=FALSE)),"n/a",$AX61)</f>
        <v>1</v>
      </c>
      <c r="M61" s="49">
        <f>IF(OR($AJ$43="Yes",ISBLANK(Generator_Info!C52)),0,((E61-I61)*IF(K61="n/a",1,K61))/1000)</f>
        <v>0</v>
      </c>
      <c r="N61" s="49">
        <f>IF(OR($G$3=$Z$25,$AJ$44="Yes",ISBLANK(Generator_Info!D52)),0,((E61-J61)*IF(L61="n/a",1,L61))/1000)</f>
        <v>0</v>
      </c>
      <c r="O61" s="86"/>
      <c r="P61" s="86"/>
      <c r="Q61" s="86"/>
      <c r="R61" s="86"/>
      <c r="S61" s="86"/>
      <c r="T61" s="86"/>
      <c r="U61" s="86"/>
      <c r="V61" s="86"/>
      <c r="W61" s="86"/>
      <c r="X61" s="86"/>
      <c r="AV61" s="23">
        <f>RIGHT(Generator_Info!C52,3)</f>
      </c>
      <c r="AW61" s="23" t="str">
        <f>IF(LEN(Generator_Info!C52)=10,LEFT(AV61,1),"Unknown")</f>
        <v>Unknown</v>
      </c>
      <c r="AX61" s="23">
        <f t="shared" si="4"/>
        <v>1</v>
      </c>
      <c r="AY61" s="23">
        <f t="shared" si="5"/>
        <v>0</v>
      </c>
      <c r="AZ61" s="23">
        <f t="shared" si="0"/>
        <v>0</v>
      </c>
      <c r="BB61" s="23">
        <f>IF(OR(AW61="b",AW61="n"),SUM($BB$25:BB60)+1,0)</f>
        <v>0</v>
      </c>
      <c r="BM61" s="23">
        <f>IF(E61&lt;&gt;0,IF(D61="please answer",SUM($BM$25:BM60)+1,0),0)</f>
        <v>0</v>
      </c>
      <c r="BN61" s="23">
        <f>IF($E61&lt;&gt;0,IF(ISBLANK(F61),SUM($BN$25:BN60)+1,0),0)</f>
        <v>0</v>
      </c>
      <c r="BO61" s="23">
        <f>IF(AND($E61&lt;&gt;0,ISBLANK(G61)=TRUE,Generator_Info!J52&lt;&gt;Generator_Info!$K$19),SUM($BO$25:BO60)+1,0)</f>
        <v>0</v>
      </c>
      <c r="BP61" s="23">
        <f>IF($E61&lt;&gt;0,IF(ISBLANK(H61),SUM($BP$25:BP60)+1,0),0)</f>
        <v>0</v>
      </c>
      <c r="BQ61" s="23">
        <f>IF($E61&lt;I61,SUM($BQ$25:BQ60)+1,0)</f>
        <v>0</v>
      </c>
      <c r="BR61" s="23">
        <f>IF($E61&lt;J61,SUM($BR$25:BR60)+1,0)</f>
        <v>0</v>
      </c>
      <c r="BS61" s="23">
        <f>IF(OR(AW61="b"),SUM($BS$25:BS60)+1,0)</f>
        <v>0</v>
      </c>
      <c r="BV61" s="23">
        <f t="shared" si="8"/>
        <v>61</v>
      </c>
      <c r="BW61" s="23" t="str">
        <f>IF(ISBLANK(Generator_Info!B52),"Station "&amp;Generator_Info!A52,Generator_Info!B52)</f>
        <v>Station 37</v>
      </c>
    </row>
    <row r="62" spans="1:75" s="23" customFormat="1" ht="12.75">
      <c r="A62" s="23">
        <v>38</v>
      </c>
      <c r="B62" s="114">
        <f>IF(ISBLANK(Generator_Info!B53),"",Generator_Info!B53)</f>
      </c>
      <c r="C62" s="116"/>
      <c r="D62" s="103" t="s">
        <v>8</v>
      </c>
      <c r="E62" s="44"/>
      <c r="F62" s="44"/>
      <c r="G62" s="44"/>
      <c r="H62" s="44"/>
      <c r="I62" s="87">
        <f>IF(AND(F62+G62+H62&lt;=0.005*E62,Generator_Info!J53&lt;&gt;Generator_Info!$K$19),IF(Generator_Info!I53="No",0,Input_Output_Info!F62),Input_Output_Info!F62+Input_Output_Info!H62+IF(Generator_Info!J53=Generator_Info!$K$18,0,Input_Output_Info!G62))</f>
        <v>0</v>
      </c>
      <c r="J62" s="87">
        <f>IF(Generator_Info!J53=Generator_Info!$K$18,0,Input_Output_Info!G62)+IF(Generator_Info!I53="No",0,Input_Output_Info!F62)</f>
        <v>0</v>
      </c>
      <c r="K62" s="88">
        <f>IF(AND(ISBLANK(Generator_Info!C53),ISBLANK(Generator_Info!B53)=FALSE),"n/a",$AX62)</f>
        <v>1</v>
      </c>
      <c r="L62" s="88">
        <f>IF(OR($G$3=$Z$25,AND(ISBLANK(Generator_Info!D53),ISBLANK(Generator_Info!B53)=FALSE)),"n/a",$AX62)</f>
        <v>1</v>
      </c>
      <c r="M62" s="49">
        <f>IF(OR($AJ$43="Yes",ISBLANK(Generator_Info!C53)),0,((E62-I62)*IF(K62="n/a",1,K62))/1000)</f>
        <v>0</v>
      </c>
      <c r="N62" s="49">
        <f>IF(OR($G$3=$Z$25,$AJ$44="Yes",ISBLANK(Generator_Info!D53)),0,((E62-J62)*IF(L62="n/a",1,L62))/1000)</f>
        <v>0</v>
      </c>
      <c r="O62" s="86"/>
      <c r="P62" s="86"/>
      <c r="Q62" s="86"/>
      <c r="R62" s="86"/>
      <c r="S62" s="86"/>
      <c r="T62" s="86"/>
      <c r="U62" s="86"/>
      <c r="V62" s="86"/>
      <c r="W62" s="86"/>
      <c r="X62" s="86"/>
      <c r="AV62" s="23">
        <f>RIGHT(Generator_Info!C53,3)</f>
      </c>
      <c r="AW62" s="23" t="str">
        <f>IF(LEN(Generator_Info!C53)=10,LEFT(AV62,1),"Unknown")</f>
        <v>Unknown</v>
      </c>
      <c r="AX62" s="23">
        <f t="shared" si="4"/>
        <v>1</v>
      </c>
      <c r="AY62" s="23">
        <f t="shared" si="5"/>
        <v>0</v>
      </c>
      <c r="AZ62" s="23">
        <f t="shared" si="0"/>
        <v>0</v>
      </c>
      <c r="BB62" s="23">
        <f>IF(OR(AW62="b",AW62="n"),SUM($BB$25:BB61)+1,0)</f>
        <v>0</v>
      </c>
      <c r="BM62" s="23">
        <f>IF(E62&lt;&gt;0,IF(D62="please answer",SUM($BM$25:BM61)+1,0),0)</f>
        <v>0</v>
      </c>
      <c r="BN62" s="23">
        <f>IF($E62&lt;&gt;0,IF(ISBLANK(F62),SUM($BN$25:BN61)+1,0),0)</f>
        <v>0</v>
      </c>
      <c r="BO62" s="23">
        <f>IF(AND($E62&lt;&gt;0,ISBLANK(G62)=TRUE,Generator_Info!J53&lt;&gt;Generator_Info!$K$19),SUM($BO$25:BO61)+1,0)</f>
        <v>0</v>
      </c>
      <c r="BP62" s="23">
        <f>IF($E62&lt;&gt;0,IF(ISBLANK(H62),SUM($BP$25:BP61)+1,0),0)</f>
        <v>0</v>
      </c>
      <c r="BQ62" s="23">
        <f>IF($E62&lt;I62,SUM($BQ$25:BQ61)+1,0)</f>
        <v>0</v>
      </c>
      <c r="BR62" s="23">
        <f>IF($E62&lt;J62,SUM($BR$25:BR61)+1,0)</f>
        <v>0</v>
      </c>
      <c r="BS62" s="23">
        <f>IF(OR(AW62="b"),SUM($BS$25:BS61)+1,0)</f>
        <v>0</v>
      </c>
      <c r="BV62" s="23">
        <f t="shared" si="8"/>
        <v>62</v>
      </c>
      <c r="BW62" s="23" t="str">
        <f>IF(ISBLANK(Generator_Info!B53),"Station "&amp;Generator_Info!A53,Generator_Info!B53)</f>
        <v>Station 38</v>
      </c>
    </row>
    <row r="63" spans="1:75" s="23" customFormat="1" ht="12.75">
      <c r="A63" s="23">
        <v>39</v>
      </c>
      <c r="B63" s="114">
        <f>IF(ISBLANK(Generator_Info!B54),"",Generator_Info!B54)</f>
      </c>
      <c r="C63" s="116"/>
      <c r="D63" s="103" t="s">
        <v>8</v>
      </c>
      <c r="E63" s="44"/>
      <c r="F63" s="44"/>
      <c r="G63" s="44"/>
      <c r="H63" s="44"/>
      <c r="I63" s="87">
        <f>IF(AND(F63+G63+H63&lt;=0.005*E63,Generator_Info!J54&lt;&gt;Generator_Info!$K$19),IF(Generator_Info!I54="No",0,Input_Output_Info!F63),Input_Output_Info!F63+Input_Output_Info!H63+IF(Generator_Info!J54=Generator_Info!$K$18,0,Input_Output_Info!G63))</f>
        <v>0</v>
      </c>
      <c r="J63" s="87">
        <f>IF(Generator_Info!J54=Generator_Info!$K$18,0,Input_Output_Info!G63)+IF(Generator_Info!I54="No",0,Input_Output_Info!F63)</f>
        <v>0</v>
      </c>
      <c r="K63" s="88">
        <f>IF(AND(ISBLANK(Generator_Info!C54),ISBLANK(Generator_Info!B54)=FALSE),"n/a",$AX63)</f>
        <v>1</v>
      </c>
      <c r="L63" s="88">
        <f>IF(OR($G$3=$Z$25,AND(ISBLANK(Generator_Info!D54),ISBLANK(Generator_Info!B54)=FALSE)),"n/a",$AX63)</f>
        <v>1</v>
      </c>
      <c r="M63" s="49">
        <f>IF(OR($AJ$43="Yes",ISBLANK(Generator_Info!C54)),0,((E63-I63)*IF(K63="n/a",1,K63))/1000)</f>
        <v>0</v>
      </c>
      <c r="N63" s="49">
        <f>IF(OR($G$3=$Z$25,$AJ$44="Yes",ISBLANK(Generator_Info!D54)),0,((E63-J63)*IF(L63="n/a",1,L63))/1000)</f>
        <v>0</v>
      </c>
      <c r="O63" s="86"/>
      <c r="P63" s="86"/>
      <c r="Q63" s="86"/>
      <c r="R63" s="86"/>
      <c r="S63" s="86"/>
      <c r="T63" s="86"/>
      <c r="U63" s="86"/>
      <c r="V63" s="86"/>
      <c r="W63" s="86"/>
      <c r="X63" s="86"/>
      <c r="AV63" s="23">
        <f>RIGHT(Generator_Info!C54,3)</f>
      </c>
      <c r="AW63" s="23" t="str">
        <f>IF(LEN(Generator_Info!C54)=10,LEFT(AV63,1),"Unknown")</f>
        <v>Unknown</v>
      </c>
      <c r="AX63" s="23">
        <f t="shared" si="4"/>
        <v>1</v>
      </c>
      <c r="AY63" s="23">
        <f t="shared" si="5"/>
        <v>0</v>
      </c>
      <c r="AZ63" s="23">
        <f t="shared" si="0"/>
        <v>0</v>
      </c>
      <c r="BB63" s="23">
        <f>IF(OR(AW63="b",AW63="n"),SUM($BB$25:BB62)+1,0)</f>
        <v>0</v>
      </c>
      <c r="BM63" s="23">
        <f>IF(E63&lt;&gt;0,IF(D63="please answer",SUM($BM$25:BM62)+1,0),0)</f>
        <v>0</v>
      </c>
      <c r="BN63" s="23">
        <f>IF($E63&lt;&gt;0,IF(ISBLANK(F63),SUM($BN$25:BN62)+1,0),0)</f>
        <v>0</v>
      </c>
      <c r="BO63" s="23">
        <f>IF(AND($E63&lt;&gt;0,ISBLANK(G63)=TRUE,Generator_Info!J54&lt;&gt;Generator_Info!$K$19),SUM($BO$25:BO62)+1,0)</f>
        <v>0</v>
      </c>
      <c r="BP63" s="23">
        <f>IF($E63&lt;&gt;0,IF(ISBLANK(H63),SUM($BP$25:BP62)+1,0),0)</f>
        <v>0</v>
      </c>
      <c r="BQ63" s="23">
        <f>IF($E63&lt;I63,SUM($BQ$25:BQ62)+1,0)</f>
        <v>0</v>
      </c>
      <c r="BR63" s="23">
        <f>IF($E63&lt;J63,SUM($BR$25:BR62)+1,0)</f>
        <v>0</v>
      </c>
      <c r="BS63" s="23">
        <f>IF(OR(AW63="b"),SUM($BS$25:BS62)+1,0)</f>
        <v>0</v>
      </c>
      <c r="BV63" s="23">
        <f t="shared" si="8"/>
        <v>63</v>
      </c>
      <c r="BW63" s="23" t="str">
        <f>IF(ISBLANK(Generator_Info!B54),"Station "&amp;Generator_Info!A54,Generator_Info!B54)</f>
        <v>Station 39</v>
      </c>
    </row>
    <row r="64" spans="1:75" s="23" customFormat="1" ht="12.75">
      <c r="A64" s="23">
        <v>40</v>
      </c>
      <c r="B64" s="114">
        <f>IF(ISBLANK(Generator_Info!B55),"",Generator_Info!B55)</f>
      </c>
      <c r="C64" s="116"/>
      <c r="D64" s="103" t="s">
        <v>8</v>
      </c>
      <c r="E64" s="44"/>
      <c r="F64" s="44"/>
      <c r="G64" s="44"/>
      <c r="H64" s="44"/>
      <c r="I64" s="87">
        <f>IF(AND(F64+G64+H64&lt;=0.005*E64,Generator_Info!J55&lt;&gt;Generator_Info!$K$19),IF(Generator_Info!I55="No",0,Input_Output_Info!F64),Input_Output_Info!F64+Input_Output_Info!H64+IF(Generator_Info!J55=Generator_Info!$K$18,0,Input_Output_Info!G64))</f>
        <v>0</v>
      </c>
      <c r="J64" s="87">
        <f>IF(Generator_Info!J55=Generator_Info!$K$18,0,Input_Output_Info!G64)+IF(Generator_Info!I55="No",0,Input_Output_Info!F64)</f>
        <v>0</v>
      </c>
      <c r="K64" s="88">
        <f>IF(AND(ISBLANK(Generator_Info!C55),ISBLANK(Generator_Info!B55)=FALSE),"n/a",$AX64)</f>
        <v>1</v>
      </c>
      <c r="L64" s="88">
        <f>IF(OR($G$3=$Z$25,AND(ISBLANK(Generator_Info!D55),ISBLANK(Generator_Info!B55)=FALSE)),"n/a",$AX64)</f>
        <v>1</v>
      </c>
      <c r="M64" s="49">
        <f>IF(OR($AJ$43="Yes",ISBLANK(Generator_Info!C55)),0,((E64-I64)*IF(K64="n/a",1,K64))/1000)</f>
        <v>0</v>
      </c>
      <c r="N64" s="49">
        <f>IF(OR($G$3=$Z$25,$AJ$44="Yes",ISBLANK(Generator_Info!D55)),0,((E64-J64)*IF(L64="n/a",1,L64))/1000)</f>
        <v>0</v>
      </c>
      <c r="O64" s="86"/>
      <c r="P64" s="86"/>
      <c r="Q64" s="86"/>
      <c r="R64" s="86"/>
      <c r="S64" s="86"/>
      <c r="T64" s="86"/>
      <c r="U64" s="86"/>
      <c r="V64" s="86"/>
      <c r="W64" s="86"/>
      <c r="X64" s="86"/>
      <c r="AV64" s="23">
        <f>RIGHT(Generator_Info!C55,3)</f>
      </c>
      <c r="AW64" s="23" t="str">
        <f>IF(LEN(Generator_Info!C55)=10,LEFT(AV64,1),"Unknown")</f>
        <v>Unknown</v>
      </c>
      <c r="AX64" s="23">
        <f t="shared" si="4"/>
        <v>1</v>
      </c>
      <c r="AY64" s="23">
        <f t="shared" si="5"/>
        <v>0</v>
      </c>
      <c r="AZ64" s="23">
        <f t="shared" si="0"/>
        <v>0</v>
      </c>
      <c r="BB64" s="23">
        <f>IF(OR(AW64="b",AW64="n"),SUM($BB$25:BB63)+1,0)</f>
        <v>0</v>
      </c>
      <c r="BM64" s="23">
        <f>IF(E64&lt;&gt;0,IF(D64="please answer",SUM($BM$25:BM63)+1,0),0)</f>
        <v>0</v>
      </c>
      <c r="BN64" s="23">
        <f>IF($E64&lt;&gt;0,IF(ISBLANK(F64),SUM($BN$25:BN63)+1,0),0)</f>
        <v>0</v>
      </c>
      <c r="BO64" s="23">
        <f>IF(AND($E64&lt;&gt;0,ISBLANK(G64)=TRUE,Generator_Info!J55&lt;&gt;Generator_Info!$K$19),SUM($BO$25:BO63)+1,0)</f>
        <v>0</v>
      </c>
      <c r="BP64" s="23">
        <f>IF($E64&lt;&gt;0,IF(ISBLANK(H64),SUM($BP$25:BP63)+1,0),0)</f>
        <v>0</v>
      </c>
      <c r="BQ64" s="23">
        <f>IF($E64&lt;I64,SUM($BQ$25:BQ63)+1,0)</f>
        <v>0</v>
      </c>
      <c r="BR64" s="23">
        <f>IF($E64&lt;J64,SUM($BR$25:BR63)+1,0)</f>
        <v>0</v>
      </c>
      <c r="BS64" s="23">
        <f>IF(OR(AW64="b"),SUM($BS$25:BS63)+1,0)</f>
        <v>0</v>
      </c>
      <c r="BV64" s="23">
        <f t="shared" si="8"/>
        <v>64</v>
      </c>
      <c r="BW64" s="23" t="str">
        <f>IF(ISBLANK(Generator_Info!B55),"Station "&amp;Generator_Info!A55,Generator_Info!B55)</f>
        <v>Station 40</v>
      </c>
    </row>
    <row r="65" spans="1:75" s="23" customFormat="1" ht="12.75">
      <c r="A65" s="23">
        <v>41</v>
      </c>
      <c r="B65" s="114">
        <f>IF(ISBLANK(Generator_Info!B56),"",Generator_Info!B56)</f>
      </c>
      <c r="C65" s="116"/>
      <c r="D65" s="103" t="s">
        <v>8</v>
      </c>
      <c r="E65" s="44"/>
      <c r="F65" s="44"/>
      <c r="G65" s="44"/>
      <c r="H65" s="44"/>
      <c r="I65" s="87">
        <f>IF(AND(F65+G65+H65&lt;=0.005*E65,Generator_Info!J56&lt;&gt;Generator_Info!$K$19),IF(Generator_Info!I56="No",0,Input_Output_Info!F65),Input_Output_Info!F65+Input_Output_Info!H65+IF(Generator_Info!J56=Generator_Info!$K$18,0,Input_Output_Info!G65))</f>
        <v>0</v>
      </c>
      <c r="J65" s="87">
        <f>IF(Generator_Info!J56=Generator_Info!$K$18,0,Input_Output_Info!G65)+IF(Generator_Info!I56="No",0,Input_Output_Info!F65)</f>
        <v>0</v>
      </c>
      <c r="K65" s="88">
        <f>IF(AND(ISBLANK(Generator_Info!C56),ISBLANK(Generator_Info!B56)=FALSE),"n/a",$AX65)</f>
        <v>1</v>
      </c>
      <c r="L65" s="88">
        <f>IF(OR($G$3=$Z$25,AND(ISBLANK(Generator_Info!D56),ISBLANK(Generator_Info!B56)=FALSE)),"n/a",$AX65)</f>
        <v>1</v>
      </c>
      <c r="M65" s="49">
        <f>IF(OR($AJ$43="Yes",ISBLANK(Generator_Info!C56)),0,((E65-I65)*IF(K65="n/a",1,K65))/1000)</f>
        <v>0</v>
      </c>
      <c r="N65" s="49">
        <f>IF(OR($G$3=$Z$25,$AJ$44="Yes",ISBLANK(Generator_Info!D56)),0,((E65-J65)*IF(L65="n/a",1,L65))/1000)</f>
        <v>0</v>
      </c>
      <c r="O65" s="86"/>
      <c r="P65" s="86"/>
      <c r="Q65" s="86"/>
      <c r="R65" s="86"/>
      <c r="S65" s="86"/>
      <c r="T65" s="86"/>
      <c r="U65" s="86"/>
      <c r="V65" s="86"/>
      <c r="W65" s="86"/>
      <c r="X65" s="86"/>
      <c r="AV65" s="23">
        <f>RIGHT(Generator_Info!C56,3)</f>
      </c>
      <c r="AW65" s="23" t="str">
        <f>IF(LEN(Generator_Info!C56)=10,LEFT(AV65,1),"Unknown")</f>
        <v>Unknown</v>
      </c>
      <c r="AX65" s="23">
        <f t="shared" si="4"/>
        <v>1</v>
      </c>
      <c r="AY65" s="23">
        <f t="shared" si="5"/>
        <v>0</v>
      </c>
      <c r="AZ65" s="23">
        <f t="shared" si="0"/>
        <v>0</v>
      </c>
      <c r="BB65" s="23">
        <f>IF(OR(AW65="b",AW65="n"),SUM($BB$25:BB64)+1,0)</f>
        <v>0</v>
      </c>
      <c r="BM65" s="23">
        <f>IF(E65&lt;&gt;0,IF(D65="please answer",SUM($BM$25:BM64)+1,0),0)</f>
        <v>0</v>
      </c>
      <c r="BN65" s="23">
        <f>IF($E65&lt;&gt;0,IF(ISBLANK(F65),SUM($BN$25:BN64)+1,0),0)</f>
        <v>0</v>
      </c>
      <c r="BO65" s="23">
        <f>IF(AND($E65&lt;&gt;0,ISBLANK(G65)=TRUE,Generator_Info!J56&lt;&gt;Generator_Info!$K$19),SUM($BO$25:BO64)+1,0)</f>
        <v>0</v>
      </c>
      <c r="BP65" s="23">
        <f>IF($E65&lt;&gt;0,IF(ISBLANK(H65),SUM($BP$25:BP64)+1,0),0)</f>
        <v>0</v>
      </c>
      <c r="BQ65" s="23">
        <f>IF($E65&lt;I65,SUM($BQ$25:BQ64)+1,0)</f>
        <v>0</v>
      </c>
      <c r="BR65" s="23">
        <f>IF($E65&lt;J65,SUM($BR$25:BR64)+1,0)</f>
        <v>0</v>
      </c>
      <c r="BS65" s="23">
        <f>IF(OR(AW65="b"),SUM($BS$25:BS64)+1,0)</f>
        <v>0</v>
      </c>
      <c r="BV65" s="23">
        <f t="shared" si="8"/>
        <v>65</v>
      </c>
      <c r="BW65" s="23" t="str">
        <f>IF(ISBLANK(Generator_Info!B56),"Station "&amp;Generator_Info!A56,Generator_Info!B56)</f>
        <v>Station 41</v>
      </c>
    </row>
    <row r="66" spans="1:75" s="23" customFormat="1" ht="12.75">
      <c r="A66" s="23">
        <v>42</v>
      </c>
      <c r="B66" s="114">
        <f>IF(ISBLANK(Generator_Info!B57),"",Generator_Info!B57)</f>
      </c>
      <c r="C66" s="116"/>
      <c r="D66" s="103" t="s">
        <v>8</v>
      </c>
      <c r="E66" s="44"/>
      <c r="F66" s="44"/>
      <c r="G66" s="44"/>
      <c r="H66" s="44"/>
      <c r="I66" s="87">
        <f>IF(AND(F66+G66+H66&lt;=0.005*E66,Generator_Info!J57&lt;&gt;Generator_Info!$K$19),IF(Generator_Info!I57="No",0,Input_Output_Info!F66),Input_Output_Info!F66+Input_Output_Info!H66+IF(Generator_Info!J57=Generator_Info!$K$18,0,Input_Output_Info!G66))</f>
        <v>0</v>
      </c>
      <c r="J66" s="87">
        <f>IF(Generator_Info!J57=Generator_Info!$K$18,0,Input_Output_Info!G66)+IF(Generator_Info!I57="No",0,Input_Output_Info!F66)</f>
        <v>0</v>
      </c>
      <c r="K66" s="88">
        <f>IF(AND(ISBLANK(Generator_Info!C57),ISBLANK(Generator_Info!B57)=FALSE),"n/a",$AX66)</f>
        <v>1</v>
      </c>
      <c r="L66" s="88">
        <f>IF(OR($G$3=$Z$25,AND(ISBLANK(Generator_Info!D57),ISBLANK(Generator_Info!B57)=FALSE)),"n/a",$AX66)</f>
        <v>1</v>
      </c>
      <c r="M66" s="49">
        <f>IF(OR($AJ$43="Yes",ISBLANK(Generator_Info!C57)),0,((E66-I66)*IF(K66="n/a",1,K66))/1000)</f>
        <v>0</v>
      </c>
      <c r="N66" s="49">
        <f>IF(OR($G$3=$Z$25,$AJ$44="Yes",ISBLANK(Generator_Info!D57)),0,((E66-J66)*IF(L66="n/a",1,L66))/1000)</f>
        <v>0</v>
      </c>
      <c r="O66" s="86"/>
      <c r="P66" s="86"/>
      <c r="Q66" s="86"/>
      <c r="R66" s="86"/>
      <c r="S66" s="86"/>
      <c r="T66" s="86"/>
      <c r="U66" s="86"/>
      <c r="V66" s="86"/>
      <c r="W66" s="86"/>
      <c r="X66" s="86"/>
      <c r="AV66" s="23">
        <f>RIGHT(Generator_Info!C57,3)</f>
      </c>
      <c r="AW66" s="23" t="str">
        <f>IF(LEN(Generator_Info!C57)=10,LEFT(AV66,1),"Unknown")</f>
        <v>Unknown</v>
      </c>
      <c r="AX66" s="23">
        <f t="shared" si="4"/>
        <v>1</v>
      </c>
      <c r="AY66" s="23">
        <f t="shared" si="5"/>
        <v>0</v>
      </c>
      <c r="AZ66" s="23">
        <f t="shared" si="0"/>
        <v>0</v>
      </c>
      <c r="BB66" s="23">
        <f>IF(OR(AW66="b",AW66="n"),SUM($BB$25:BB65)+1,0)</f>
        <v>0</v>
      </c>
      <c r="BM66" s="23">
        <f>IF(E66&lt;&gt;0,IF(D66="please answer",SUM($BM$25:BM65)+1,0),0)</f>
        <v>0</v>
      </c>
      <c r="BN66" s="23">
        <f>IF($E66&lt;&gt;0,IF(ISBLANK(F66),SUM($BN$25:BN65)+1,0),0)</f>
        <v>0</v>
      </c>
      <c r="BO66" s="23">
        <f>IF(AND($E66&lt;&gt;0,ISBLANK(G66)=TRUE,Generator_Info!J57&lt;&gt;Generator_Info!$K$19),SUM($BO$25:BO65)+1,0)</f>
        <v>0</v>
      </c>
      <c r="BP66" s="23">
        <f>IF($E66&lt;&gt;0,IF(ISBLANK(H66),SUM($BP$25:BP65)+1,0),0)</f>
        <v>0</v>
      </c>
      <c r="BQ66" s="23">
        <f>IF($E66&lt;I66,SUM($BQ$25:BQ65)+1,0)</f>
        <v>0</v>
      </c>
      <c r="BR66" s="23">
        <f>IF($E66&lt;J66,SUM($BR$25:BR65)+1,0)</f>
        <v>0</v>
      </c>
      <c r="BS66" s="23">
        <f>IF(OR(AW66="b"),SUM($BS$25:BS65)+1,0)</f>
        <v>0</v>
      </c>
      <c r="BV66" s="23">
        <f t="shared" si="8"/>
        <v>66</v>
      </c>
      <c r="BW66" s="23" t="str">
        <f>IF(ISBLANK(Generator_Info!B57),"Station "&amp;Generator_Info!A57,Generator_Info!B57)</f>
        <v>Station 42</v>
      </c>
    </row>
    <row r="67" spans="1:75" s="23" customFormat="1" ht="12.75">
      <c r="A67" s="23">
        <v>43</v>
      </c>
      <c r="B67" s="114">
        <f>IF(ISBLANK(Generator_Info!B58),"",Generator_Info!B58)</f>
      </c>
      <c r="C67" s="116"/>
      <c r="D67" s="103" t="s">
        <v>8</v>
      </c>
      <c r="E67" s="44"/>
      <c r="F67" s="44"/>
      <c r="G67" s="44"/>
      <c r="H67" s="44"/>
      <c r="I67" s="87">
        <f>IF(AND(F67+G67+H67&lt;=0.005*E67,Generator_Info!J58&lt;&gt;Generator_Info!$K$19),IF(Generator_Info!I58="No",0,Input_Output_Info!F67),Input_Output_Info!F67+Input_Output_Info!H67+IF(Generator_Info!J58=Generator_Info!$K$18,0,Input_Output_Info!G67))</f>
        <v>0</v>
      </c>
      <c r="J67" s="87">
        <f>IF(Generator_Info!J58=Generator_Info!$K$18,0,Input_Output_Info!G67)+IF(Generator_Info!I58="No",0,Input_Output_Info!F67)</f>
        <v>0</v>
      </c>
      <c r="K67" s="88">
        <f>IF(AND(ISBLANK(Generator_Info!C58),ISBLANK(Generator_Info!B58)=FALSE),"n/a",$AX67)</f>
        <v>1</v>
      </c>
      <c r="L67" s="88">
        <f>IF(OR($G$3=$Z$25,AND(ISBLANK(Generator_Info!D58),ISBLANK(Generator_Info!B58)=FALSE)),"n/a",$AX67)</f>
        <v>1</v>
      </c>
      <c r="M67" s="49">
        <f>IF(OR($AJ$43="Yes",ISBLANK(Generator_Info!C58)),0,((E67-I67)*IF(K67="n/a",1,K67))/1000)</f>
        <v>0</v>
      </c>
      <c r="N67" s="49">
        <f>IF(OR($G$3=$Z$25,$AJ$44="Yes",ISBLANK(Generator_Info!D58)),0,((E67-J67)*IF(L67="n/a",1,L67))/1000)</f>
        <v>0</v>
      </c>
      <c r="O67" s="86"/>
      <c r="P67" s="86"/>
      <c r="Q67" s="86"/>
      <c r="R67" s="86"/>
      <c r="S67" s="86"/>
      <c r="T67" s="86"/>
      <c r="U67" s="86"/>
      <c r="V67" s="86"/>
      <c r="W67" s="86"/>
      <c r="X67" s="86"/>
      <c r="AV67" s="23">
        <f>RIGHT(Generator_Info!C58,3)</f>
      </c>
      <c r="AW67" s="23" t="str">
        <f>IF(LEN(Generator_Info!C58)=10,LEFT(AV67,1),"Unknown")</f>
        <v>Unknown</v>
      </c>
      <c r="AX67" s="23">
        <f t="shared" si="4"/>
        <v>1</v>
      </c>
      <c r="AY67" s="23">
        <f t="shared" si="5"/>
        <v>0</v>
      </c>
      <c r="AZ67" s="23">
        <f t="shared" si="0"/>
        <v>0</v>
      </c>
      <c r="BB67" s="23">
        <f>IF(OR(AW67="b",AW67="n"),SUM($BB$25:BB66)+1,0)</f>
        <v>0</v>
      </c>
      <c r="BM67" s="23">
        <f>IF(E67&lt;&gt;0,IF(D67="please answer",SUM($BM$25:BM66)+1,0),0)</f>
        <v>0</v>
      </c>
      <c r="BN67" s="23">
        <f>IF($E67&lt;&gt;0,IF(ISBLANK(F67),SUM($BN$25:BN66)+1,0),0)</f>
        <v>0</v>
      </c>
      <c r="BO67" s="23">
        <f>IF(AND($E67&lt;&gt;0,ISBLANK(G67)=TRUE,Generator_Info!J58&lt;&gt;Generator_Info!$K$19),SUM($BO$25:BO66)+1,0)</f>
        <v>0</v>
      </c>
      <c r="BP67" s="23">
        <f>IF($E67&lt;&gt;0,IF(ISBLANK(H67),SUM($BP$25:BP66)+1,0),0)</f>
        <v>0</v>
      </c>
      <c r="BQ67" s="23">
        <f>IF($E67&lt;I67,SUM($BQ$25:BQ66)+1,0)</f>
        <v>0</v>
      </c>
      <c r="BR67" s="23">
        <f>IF($E67&lt;J67,SUM($BR$25:BR66)+1,0)</f>
        <v>0</v>
      </c>
      <c r="BS67" s="23">
        <f>IF(OR(AW67="b"),SUM($BS$25:BS66)+1,0)</f>
        <v>0</v>
      </c>
      <c r="BV67" s="23">
        <f t="shared" si="8"/>
        <v>67</v>
      </c>
      <c r="BW67" s="23" t="str">
        <f>IF(ISBLANK(Generator_Info!B58),"Station "&amp;Generator_Info!A58,Generator_Info!B58)</f>
        <v>Station 43</v>
      </c>
    </row>
    <row r="68" spans="1:75" s="23" customFormat="1" ht="12.75">
      <c r="A68" s="23">
        <v>44</v>
      </c>
      <c r="B68" s="114">
        <f>IF(ISBLANK(Generator_Info!B59),"",Generator_Info!B59)</f>
      </c>
      <c r="C68" s="116"/>
      <c r="D68" s="103" t="s">
        <v>8</v>
      </c>
      <c r="E68" s="44"/>
      <c r="F68" s="44"/>
      <c r="G68" s="44"/>
      <c r="H68" s="44"/>
      <c r="I68" s="87">
        <f>IF(AND(F68+G68+H68&lt;=0.005*E68,Generator_Info!J59&lt;&gt;Generator_Info!$K$19),IF(Generator_Info!I59="No",0,Input_Output_Info!F68),Input_Output_Info!F68+Input_Output_Info!H68+IF(Generator_Info!J59=Generator_Info!$K$18,0,Input_Output_Info!G68))</f>
        <v>0</v>
      </c>
      <c r="J68" s="87">
        <f>IF(Generator_Info!J59=Generator_Info!$K$18,0,Input_Output_Info!G68)+IF(Generator_Info!I59="No",0,Input_Output_Info!F68)</f>
        <v>0</v>
      </c>
      <c r="K68" s="88">
        <f>IF(AND(ISBLANK(Generator_Info!C59),ISBLANK(Generator_Info!B59)=FALSE),"n/a",$AX68)</f>
        <v>1</v>
      </c>
      <c r="L68" s="88">
        <f>IF(OR($G$3=$Z$25,AND(ISBLANK(Generator_Info!D59),ISBLANK(Generator_Info!B59)=FALSE)),"n/a",$AX68)</f>
        <v>1</v>
      </c>
      <c r="M68" s="49">
        <f>IF(OR($AJ$43="Yes",ISBLANK(Generator_Info!C59)),0,((E68-I68)*IF(K68="n/a",1,K68))/1000)</f>
        <v>0</v>
      </c>
      <c r="N68" s="49">
        <f>IF(OR($G$3=$Z$25,$AJ$44="Yes",ISBLANK(Generator_Info!D59)),0,((E68-J68)*IF(L68="n/a",1,L68))/1000)</f>
        <v>0</v>
      </c>
      <c r="O68" s="86"/>
      <c r="P68" s="86"/>
      <c r="Q68" s="86"/>
      <c r="R68" s="86"/>
      <c r="S68" s="86"/>
      <c r="T68" s="86"/>
      <c r="U68" s="86"/>
      <c r="V68" s="86"/>
      <c r="W68" s="86"/>
      <c r="X68" s="86"/>
      <c r="AV68" s="23">
        <f>RIGHT(Generator_Info!C59,3)</f>
      </c>
      <c r="AW68" s="23" t="str">
        <f>IF(LEN(Generator_Info!C59)=10,LEFT(AV68,1),"Unknown")</f>
        <v>Unknown</v>
      </c>
      <c r="AX68" s="23">
        <f t="shared" si="4"/>
        <v>1</v>
      </c>
      <c r="AY68" s="23">
        <f t="shared" si="5"/>
        <v>0</v>
      </c>
      <c r="AZ68" s="23">
        <f t="shared" si="0"/>
        <v>0</v>
      </c>
      <c r="BB68" s="23">
        <f>IF(OR(AW68="b",AW68="n"),SUM($BB$25:BB67)+1,0)</f>
        <v>0</v>
      </c>
      <c r="BM68" s="23">
        <f>IF(E68&lt;&gt;0,IF(D68="please answer",SUM($BM$25:BM67)+1,0),0)</f>
        <v>0</v>
      </c>
      <c r="BN68" s="23">
        <f>IF($E68&lt;&gt;0,IF(ISBLANK(F68),SUM($BN$25:BN67)+1,0),0)</f>
        <v>0</v>
      </c>
      <c r="BO68" s="23">
        <f>IF(AND($E68&lt;&gt;0,ISBLANK(G68)=TRUE,Generator_Info!J59&lt;&gt;Generator_Info!$K$19),SUM($BO$25:BO67)+1,0)</f>
        <v>0</v>
      </c>
      <c r="BP68" s="23">
        <f>IF($E68&lt;&gt;0,IF(ISBLANK(H68),SUM($BP$25:BP67)+1,0),0)</f>
        <v>0</v>
      </c>
      <c r="BQ68" s="23">
        <f>IF($E68&lt;I68,SUM($BQ$25:BQ67)+1,0)</f>
        <v>0</v>
      </c>
      <c r="BR68" s="23">
        <f>IF($E68&lt;J68,SUM($BR$25:BR67)+1,0)</f>
        <v>0</v>
      </c>
      <c r="BS68" s="23">
        <f>IF(OR(AW68="b"),SUM($BS$25:BS67)+1,0)</f>
        <v>0</v>
      </c>
      <c r="BV68" s="23">
        <f t="shared" si="8"/>
        <v>68</v>
      </c>
      <c r="BW68" s="23" t="str">
        <f>IF(ISBLANK(Generator_Info!B59),"Station "&amp;Generator_Info!A59,Generator_Info!B59)</f>
        <v>Station 44</v>
      </c>
    </row>
    <row r="69" spans="1:75" s="23" customFormat="1" ht="12.75">
      <c r="A69" s="23">
        <v>45</v>
      </c>
      <c r="B69" s="114">
        <f>IF(ISBLANK(Generator_Info!B60),"",Generator_Info!B60)</f>
      </c>
      <c r="C69" s="116"/>
      <c r="D69" s="103" t="s">
        <v>8</v>
      </c>
      <c r="E69" s="44"/>
      <c r="F69" s="44"/>
      <c r="G69" s="44"/>
      <c r="H69" s="44"/>
      <c r="I69" s="87">
        <f>IF(AND(F69+G69+H69&lt;=0.005*E69,Generator_Info!J60&lt;&gt;Generator_Info!$K$19),IF(Generator_Info!I60="No",0,Input_Output_Info!F69),Input_Output_Info!F69+Input_Output_Info!H69+IF(Generator_Info!J60=Generator_Info!$K$18,0,Input_Output_Info!G69))</f>
        <v>0</v>
      </c>
      <c r="J69" s="87">
        <f>IF(Generator_Info!J60=Generator_Info!$K$18,0,Input_Output_Info!G69)+IF(Generator_Info!I60="No",0,Input_Output_Info!F69)</f>
        <v>0</v>
      </c>
      <c r="K69" s="88">
        <f>IF(AND(ISBLANK(Generator_Info!C60),ISBLANK(Generator_Info!B60)=FALSE),"n/a",$AX69)</f>
        <v>1</v>
      </c>
      <c r="L69" s="88">
        <f>IF(OR($G$3=$Z$25,AND(ISBLANK(Generator_Info!D60),ISBLANK(Generator_Info!B60)=FALSE)),"n/a",$AX69)</f>
        <v>1</v>
      </c>
      <c r="M69" s="49">
        <f>IF(OR($AJ$43="Yes",ISBLANK(Generator_Info!C60)),0,((E69-I69)*IF(K69="n/a",1,K69))/1000)</f>
        <v>0</v>
      </c>
      <c r="N69" s="49">
        <f>IF(OR($G$3=$Z$25,$AJ$44="Yes",ISBLANK(Generator_Info!D60)),0,((E69-J69)*IF(L69="n/a",1,L69))/1000)</f>
        <v>0</v>
      </c>
      <c r="O69" s="86"/>
      <c r="P69" s="86"/>
      <c r="Q69" s="86"/>
      <c r="R69" s="86"/>
      <c r="S69" s="86"/>
      <c r="T69" s="86"/>
      <c r="U69" s="86"/>
      <c r="V69" s="86"/>
      <c r="W69" s="86"/>
      <c r="X69" s="86"/>
      <c r="AV69" s="23">
        <f>RIGHT(Generator_Info!C60,3)</f>
      </c>
      <c r="AW69" s="23" t="str">
        <f>IF(LEN(Generator_Info!C60)=10,LEFT(AV69,1),"Unknown")</f>
        <v>Unknown</v>
      </c>
      <c r="AX69" s="23">
        <f t="shared" si="4"/>
        <v>1</v>
      </c>
      <c r="AY69" s="23">
        <f t="shared" si="5"/>
        <v>0</v>
      </c>
      <c r="AZ69" s="23">
        <f t="shared" si="0"/>
        <v>0</v>
      </c>
      <c r="BB69" s="23">
        <f>IF(OR(AW69="b",AW69="n"),SUM($BB$25:BB68)+1,0)</f>
        <v>0</v>
      </c>
      <c r="BM69" s="23">
        <f>IF(E69&lt;&gt;0,IF(D69="please answer",SUM($BM$25:BM68)+1,0),0)</f>
        <v>0</v>
      </c>
      <c r="BN69" s="23">
        <f>IF($E69&lt;&gt;0,IF(ISBLANK(F69),SUM($BN$25:BN68)+1,0),0)</f>
        <v>0</v>
      </c>
      <c r="BO69" s="23">
        <f>IF(AND($E69&lt;&gt;0,ISBLANK(G69)=TRUE,Generator_Info!J60&lt;&gt;Generator_Info!$K$19),SUM($BO$25:BO68)+1,0)</f>
        <v>0</v>
      </c>
      <c r="BP69" s="23">
        <f>IF($E69&lt;&gt;0,IF(ISBLANK(H69),SUM($BP$25:BP68)+1,0),0)</f>
        <v>0</v>
      </c>
      <c r="BQ69" s="23">
        <f>IF($E69&lt;I69,SUM($BQ$25:BQ68)+1,0)</f>
        <v>0</v>
      </c>
      <c r="BR69" s="23">
        <f>IF($E69&lt;J69,SUM($BR$25:BR68)+1,0)</f>
        <v>0</v>
      </c>
      <c r="BS69" s="23">
        <f>IF(OR(AW69="b"),SUM($BS$25:BS68)+1,0)</f>
        <v>0</v>
      </c>
      <c r="BV69" s="23">
        <f t="shared" si="8"/>
        <v>69</v>
      </c>
      <c r="BW69" s="23" t="str">
        <f>IF(ISBLANK(Generator_Info!B60),"Station "&amp;Generator_Info!A60,Generator_Info!B60)</f>
        <v>Station 45</v>
      </c>
    </row>
    <row r="70" spans="1:75" s="23" customFormat="1" ht="12.75">
      <c r="A70" s="23">
        <v>46</v>
      </c>
      <c r="B70" s="114">
        <f>IF(ISBLANK(Generator_Info!B61),"",Generator_Info!B61)</f>
      </c>
      <c r="C70" s="116"/>
      <c r="D70" s="103" t="s">
        <v>8</v>
      </c>
      <c r="E70" s="44"/>
      <c r="F70" s="44"/>
      <c r="G70" s="44"/>
      <c r="H70" s="44"/>
      <c r="I70" s="87">
        <f>IF(AND(F70+G70+H70&lt;=0.005*E70,Generator_Info!J61&lt;&gt;Generator_Info!$K$19),IF(Generator_Info!I61="No",0,Input_Output_Info!F70),Input_Output_Info!F70+Input_Output_Info!H70+IF(Generator_Info!J61=Generator_Info!$K$18,0,Input_Output_Info!G70))</f>
        <v>0</v>
      </c>
      <c r="J70" s="87">
        <f>IF(Generator_Info!J61=Generator_Info!$K$18,0,Input_Output_Info!G70)+IF(Generator_Info!I61="No",0,Input_Output_Info!F70)</f>
        <v>0</v>
      </c>
      <c r="K70" s="88">
        <f>IF(AND(ISBLANK(Generator_Info!C61),ISBLANK(Generator_Info!B61)=FALSE),"n/a",$AX70)</f>
        <v>1</v>
      </c>
      <c r="L70" s="88">
        <f>IF(OR($G$3=$Z$25,AND(ISBLANK(Generator_Info!D61),ISBLANK(Generator_Info!B61)=FALSE)),"n/a",$AX70)</f>
        <v>1</v>
      </c>
      <c r="M70" s="49">
        <f>IF(OR($AJ$43="Yes",ISBLANK(Generator_Info!C61)),0,((E70-I70)*IF(K70="n/a",1,K70))/1000)</f>
        <v>0</v>
      </c>
      <c r="N70" s="49">
        <f>IF(OR($G$3=$Z$25,$AJ$44="Yes",ISBLANK(Generator_Info!D61)),0,((E70-J70)*IF(L70="n/a",1,L70))/1000)</f>
        <v>0</v>
      </c>
      <c r="O70" s="86"/>
      <c r="P70" s="86"/>
      <c r="Q70" s="86"/>
      <c r="R70" s="86"/>
      <c r="S70" s="86"/>
      <c r="T70" s="86"/>
      <c r="U70" s="86"/>
      <c r="V70" s="86"/>
      <c r="W70" s="86"/>
      <c r="X70" s="86"/>
      <c r="AV70" s="23">
        <f>RIGHT(Generator_Info!C61,3)</f>
      </c>
      <c r="AW70" s="23" t="str">
        <f>IF(LEN(Generator_Info!C61)=10,LEFT(AV70,1),"Unknown")</f>
        <v>Unknown</v>
      </c>
      <c r="AX70" s="23">
        <f t="shared" si="4"/>
        <v>1</v>
      </c>
      <c r="AY70" s="23">
        <f t="shared" si="5"/>
        <v>0</v>
      </c>
      <c r="AZ70" s="23">
        <f t="shared" si="0"/>
        <v>0</v>
      </c>
      <c r="BB70" s="23">
        <f>IF(OR(AW70="b",AW70="n"),SUM($BB$25:BB69)+1,0)</f>
        <v>0</v>
      </c>
      <c r="BM70" s="23">
        <f>IF(E70&lt;&gt;0,IF(D70="please answer",SUM($BM$25:BM69)+1,0),0)</f>
        <v>0</v>
      </c>
      <c r="BN70" s="23">
        <f>IF($E70&lt;&gt;0,IF(ISBLANK(F70),SUM($BN$25:BN69)+1,0),0)</f>
        <v>0</v>
      </c>
      <c r="BO70" s="23">
        <f>IF(AND($E70&lt;&gt;0,ISBLANK(G70)=TRUE,Generator_Info!J61&lt;&gt;Generator_Info!$K$19),SUM($BO$25:BO69)+1,0)</f>
        <v>0</v>
      </c>
      <c r="BP70" s="23">
        <f>IF($E70&lt;&gt;0,IF(ISBLANK(H70),SUM($BP$25:BP69)+1,0),0)</f>
        <v>0</v>
      </c>
      <c r="BQ70" s="23">
        <f>IF($E70&lt;I70,SUM($BQ$25:BQ69)+1,0)</f>
        <v>0</v>
      </c>
      <c r="BR70" s="23">
        <f>IF($E70&lt;J70,SUM($BR$25:BR69)+1,0)</f>
        <v>0</v>
      </c>
      <c r="BS70" s="23">
        <f>IF(OR(AW70="b"),SUM($BS$25:BS69)+1,0)</f>
        <v>0</v>
      </c>
      <c r="BV70" s="23">
        <f t="shared" si="8"/>
        <v>70</v>
      </c>
      <c r="BW70" s="23" t="str">
        <f>IF(ISBLANK(Generator_Info!B61),"Station "&amp;Generator_Info!A61,Generator_Info!B61)</f>
        <v>Station 46</v>
      </c>
    </row>
    <row r="71" spans="1:75" s="23" customFormat="1" ht="12.75">
      <c r="A71" s="23">
        <v>47</v>
      </c>
      <c r="B71" s="114">
        <f>IF(ISBLANK(Generator_Info!B62),"",Generator_Info!B62)</f>
      </c>
      <c r="C71" s="116"/>
      <c r="D71" s="103" t="s">
        <v>8</v>
      </c>
      <c r="E71" s="44"/>
      <c r="F71" s="44"/>
      <c r="G71" s="44"/>
      <c r="H71" s="44"/>
      <c r="I71" s="87">
        <f>IF(AND(F71+G71+H71&lt;=0.005*E71,Generator_Info!J62&lt;&gt;Generator_Info!$K$19),IF(Generator_Info!I62="No",0,Input_Output_Info!F71),Input_Output_Info!F71+Input_Output_Info!H71+IF(Generator_Info!J62=Generator_Info!$K$18,0,Input_Output_Info!G71))</f>
        <v>0</v>
      </c>
      <c r="J71" s="87">
        <f>IF(Generator_Info!J62=Generator_Info!$K$18,0,Input_Output_Info!G71)+IF(Generator_Info!I62="No",0,Input_Output_Info!F71)</f>
        <v>0</v>
      </c>
      <c r="K71" s="88">
        <f>IF(AND(ISBLANK(Generator_Info!C62),ISBLANK(Generator_Info!B62)=FALSE),"n/a",$AX71)</f>
        <v>1</v>
      </c>
      <c r="L71" s="88">
        <f>IF(OR($G$3=$Z$25,AND(ISBLANK(Generator_Info!D62),ISBLANK(Generator_Info!B62)=FALSE)),"n/a",$AX71)</f>
        <v>1</v>
      </c>
      <c r="M71" s="49">
        <f>IF(OR($AJ$43="Yes",ISBLANK(Generator_Info!C62)),0,((E71-I71)*IF(K71="n/a",1,K71))/1000)</f>
        <v>0</v>
      </c>
      <c r="N71" s="49">
        <f>IF(OR($G$3=$Z$25,$AJ$44="Yes",ISBLANK(Generator_Info!D62)),0,((E71-J71)*IF(L71="n/a",1,L71))/1000)</f>
        <v>0</v>
      </c>
      <c r="O71" s="86"/>
      <c r="P71" s="86"/>
      <c r="Q71" s="86"/>
      <c r="R71" s="86"/>
      <c r="S71" s="86"/>
      <c r="T71" s="86"/>
      <c r="U71" s="86"/>
      <c r="V71" s="86"/>
      <c r="W71" s="86"/>
      <c r="X71" s="86"/>
      <c r="AV71" s="23">
        <f>RIGHT(Generator_Info!C62,3)</f>
      </c>
      <c r="AW71" s="23" t="str">
        <f>IF(LEN(Generator_Info!C62)=10,LEFT(AV71,1),"Unknown")</f>
        <v>Unknown</v>
      </c>
      <c r="AX71" s="23">
        <f t="shared" si="4"/>
        <v>1</v>
      </c>
      <c r="AY71" s="23">
        <f t="shared" si="5"/>
        <v>0</v>
      </c>
      <c r="AZ71" s="23">
        <f t="shared" si="0"/>
        <v>0</v>
      </c>
      <c r="BB71" s="23">
        <f>IF(OR(AW71="b",AW71="n"),SUM($BB$25:BB70)+1,0)</f>
        <v>0</v>
      </c>
      <c r="BM71" s="23">
        <f>IF(E71&lt;&gt;0,IF(D71="please answer",SUM($BM$25:BM70)+1,0),0)</f>
        <v>0</v>
      </c>
      <c r="BN71" s="23">
        <f>IF($E71&lt;&gt;0,IF(ISBLANK(F71),SUM($BN$25:BN70)+1,0),0)</f>
        <v>0</v>
      </c>
      <c r="BO71" s="23">
        <f>IF(AND($E71&lt;&gt;0,ISBLANK(G71)=TRUE,Generator_Info!J62&lt;&gt;Generator_Info!$K$19),SUM($BO$25:BO70)+1,0)</f>
        <v>0</v>
      </c>
      <c r="BP71" s="23">
        <f>IF($E71&lt;&gt;0,IF(ISBLANK(H71),SUM($BP$25:BP70)+1,0),0)</f>
        <v>0</v>
      </c>
      <c r="BQ71" s="23">
        <f>IF($E71&lt;I71,SUM($BQ$25:BQ70)+1,0)</f>
        <v>0</v>
      </c>
      <c r="BR71" s="23">
        <f>IF($E71&lt;J71,SUM($BR$25:BR70)+1,0)</f>
        <v>0</v>
      </c>
      <c r="BS71" s="23">
        <f>IF(OR(AW71="b"),SUM($BS$25:BS70)+1,0)</f>
        <v>0</v>
      </c>
      <c r="BV71" s="23">
        <f t="shared" si="8"/>
        <v>71</v>
      </c>
      <c r="BW71" s="23" t="str">
        <f>IF(ISBLANK(Generator_Info!B62),"Station "&amp;Generator_Info!A62,Generator_Info!B62)</f>
        <v>Station 47</v>
      </c>
    </row>
    <row r="72" spans="1:75" s="23" customFormat="1" ht="12.75">
      <c r="A72" s="23">
        <v>48</v>
      </c>
      <c r="B72" s="114">
        <f>IF(ISBLANK(Generator_Info!B63),"",Generator_Info!B63)</f>
      </c>
      <c r="C72" s="116"/>
      <c r="D72" s="103" t="s">
        <v>8</v>
      </c>
      <c r="E72" s="44"/>
      <c r="F72" s="44"/>
      <c r="G72" s="44"/>
      <c r="H72" s="44"/>
      <c r="I72" s="87">
        <f>IF(AND(F72+G72+H72&lt;=0.005*E72,Generator_Info!J63&lt;&gt;Generator_Info!$K$19),IF(Generator_Info!I63="No",0,Input_Output_Info!F72),Input_Output_Info!F72+Input_Output_Info!H72+IF(Generator_Info!J63=Generator_Info!$K$18,0,Input_Output_Info!G72))</f>
        <v>0</v>
      </c>
      <c r="J72" s="87">
        <f>IF(Generator_Info!J63=Generator_Info!$K$18,0,Input_Output_Info!G72)+IF(Generator_Info!I63="No",0,Input_Output_Info!F72)</f>
        <v>0</v>
      </c>
      <c r="K72" s="88">
        <f>IF(AND(ISBLANK(Generator_Info!C63),ISBLANK(Generator_Info!B63)=FALSE),"n/a",$AX72)</f>
        <v>1</v>
      </c>
      <c r="L72" s="88">
        <f>IF(OR($G$3=$Z$25,AND(ISBLANK(Generator_Info!D63),ISBLANK(Generator_Info!B63)=FALSE)),"n/a",$AX72)</f>
        <v>1</v>
      </c>
      <c r="M72" s="49">
        <f>IF(OR($AJ$43="Yes",ISBLANK(Generator_Info!C63)),0,((E72-I72)*IF(K72="n/a",1,K72))/1000)</f>
        <v>0</v>
      </c>
      <c r="N72" s="49">
        <f>IF(OR($G$3=$Z$25,$AJ$44="Yes",ISBLANK(Generator_Info!D63)),0,((E72-J72)*IF(L72="n/a",1,L72))/1000)</f>
        <v>0</v>
      </c>
      <c r="O72" s="86"/>
      <c r="P72" s="86"/>
      <c r="Q72" s="86"/>
      <c r="R72" s="86"/>
      <c r="S72" s="86"/>
      <c r="T72" s="86"/>
      <c r="U72" s="86"/>
      <c r="V72" s="86"/>
      <c r="W72" s="86"/>
      <c r="X72" s="86"/>
      <c r="AV72" s="23">
        <f>RIGHT(Generator_Info!C63,3)</f>
      </c>
      <c r="AW72" s="23" t="str">
        <f>IF(LEN(Generator_Info!C63)=10,LEFT(AV72,1),"Unknown")</f>
        <v>Unknown</v>
      </c>
      <c r="AX72" s="23">
        <f t="shared" si="4"/>
        <v>1</v>
      </c>
      <c r="AY72" s="23">
        <f t="shared" si="5"/>
        <v>0</v>
      </c>
      <c r="AZ72" s="23">
        <f t="shared" si="0"/>
        <v>0</v>
      </c>
      <c r="BB72" s="23">
        <f>IF(OR(AW72="b",AW72="n"),SUM($BB$25:BB71)+1,0)</f>
        <v>0</v>
      </c>
      <c r="BM72" s="23">
        <f>IF(E72&lt;&gt;0,IF(D72="please answer",SUM($BM$25:BM71)+1,0),0)</f>
        <v>0</v>
      </c>
      <c r="BN72" s="23">
        <f>IF($E72&lt;&gt;0,IF(ISBLANK(F72),SUM($BN$25:BN71)+1,0),0)</f>
        <v>0</v>
      </c>
      <c r="BO72" s="23">
        <f>IF(AND($E72&lt;&gt;0,ISBLANK(G72)=TRUE,Generator_Info!J63&lt;&gt;Generator_Info!$K$19),SUM($BO$25:BO71)+1,0)</f>
        <v>0</v>
      </c>
      <c r="BP72" s="23">
        <f>IF($E72&lt;&gt;0,IF(ISBLANK(H72),SUM($BP$25:BP71)+1,0),0)</f>
        <v>0</v>
      </c>
      <c r="BQ72" s="23">
        <f>IF($E72&lt;I72,SUM($BQ$25:BQ71)+1,0)</f>
        <v>0</v>
      </c>
      <c r="BR72" s="23">
        <f>IF($E72&lt;J72,SUM($BR$25:BR71)+1,0)</f>
        <v>0</v>
      </c>
      <c r="BS72" s="23">
        <f>IF(OR(AW72="b"),SUM($BS$25:BS71)+1,0)</f>
        <v>0</v>
      </c>
      <c r="BV72" s="23">
        <f t="shared" si="8"/>
        <v>72</v>
      </c>
      <c r="BW72" s="23" t="str">
        <f>IF(ISBLANK(Generator_Info!B63),"Station "&amp;Generator_Info!A63,Generator_Info!B63)</f>
        <v>Station 48</v>
      </c>
    </row>
    <row r="73" spans="1:75" s="23" customFormat="1" ht="12.75">
      <c r="A73" s="23">
        <v>49</v>
      </c>
      <c r="B73" s="114">
        <f>IF(ISBLANK(Generator_Info!B64),"",Generator_Info!B64)</f>
      </c>
      <c r="C73" s="116"/>
      <c r="D73" s="103" t="s">
        <v>8</v>
      </c>
      <c r="E73" s="44"/>
      <c r="F73" s="44"/>
      <c r="G73" s="44"/>
      <c r="H73" s="44"/>
      <c r="I73" s="87">
        <f>IF(AND(F73+G73+H73&lt;=0.005*E73,Generator_Info!J64&lt;&gt;Generator_Info!$K$19),IF(Generator_Info!I64="No",0,Input_Output_Info!F73),Input_Output_Info!F73+Input_Output_Info!H73+IF(Generator_Info!J64=Generator_Info!$K$18,0,Input_Output_Info!G73))</f>
        <v>0</v>
      </c>
      <c r="J73" s="87">
        <f>IF(Generator_Info!J64=Generator_Info!$K$18,0,Input_Output_Info!G73)+IF(Generator_Info!I64="No",0,Input_Output_Info!F73)</f>
        <v>0</v>
      </c>
      <c r="K73" s="88">
        <f>IF(AND(ISBLANK(Generator_Info!C64),ISBLANK(Generator_Info!B64)=FALSE),"n/a",$AX73)</f>
        <v>1</v>
      </c>
      <c r="L73" s="88">
        <f>IF(OR($G$3=$Z$25,AND(ISBLANK(Generator_Info!D64),ISBLANK(Generator_Info!B64)=FALSE)),"n/a",$AX73)</f>
        <v>1</v>
      </c>
      <c r="M73" s="49">
        <f>IF(OR($AJ$43="Yes",ISBLANK(Generator_Info!C64)),0,((E73-I73)*IF(K73="n/a",1,K73))/1000)</f>
        <v>0</v>
      </c>
      <c r="N73" s="49">
        <f>IF(OR($G$3=$Z$25,$AJ$44="Yes",ISBLANK(Generator_Info!D64)),0,((E73-J73)*IF(L73="n/a",1,L73))/1000)</f>
        <v>0</v>
      </c>
      <c r="O73" s="86"/>
      <c r="P73" s="86"/>
      <c r="Q73" s="86"/>
      <c r="R73" s="86"/>
      <c r="S73" s="86"/>
      <c r="T73" s="86"/>
      <c r="U73" s="86"/>
      <c r="V73" s="86"/>
      <c r="W73" s="86"/>
      <c r="X73" s="86"/>
      <c r="AV73" s="23">
        <f>RIGHT(Generator_Info!C64,3)</f>
      </c>
      <c r="AW73" s="23" t="str">
        <f>IF(LEN(Generator_Info!C64)=10,LEFT(AV73,1),"Unknown")</f>
        <v>Unknown</v>
      </c>
      <c r="AX73" s="23">
        <f t="shared" si="4"/>
        <v>1</v>
      </c>
      <c r="AY73" s="23">
        <f t="shared" si="5"/>
        <v>0</v>
      </c>
      <c r="AZ73" s="23">
        <f t="shared" si="0"/>
        <v>0</v>
      </c>
      <c r="BB73" s="23">
        <f>IF(OR(AW73="b",AW73="n"),SUM($BB$25:BB72)+1,0)</f>
        <v>0</v>
      </c>
      <c r="BM73" s="23">
        <f>IF(E73&lt;&gt;0,IF(D73="please answer",SUM($BM$25:BM72)+1,0),0)</f>
        <v>0</v>
      </c>
      <c r="BN73" s="23">
        <f>IF($E73&lt;&gt;0,IF(ISBLANK(F73),SUM($BN$25:BN72)+1,0),0)</f>
        <v>0</v>
      </c>
      <c r="BO73" s="23">
        <f>IF(AND($E73&lt;&gt;0,ISBLANK(G73)=TRUE,Generator_Info!J64&lt;&gt;Generator_Info!$K$19),SUM($BO$25:BO72)+1,0)</f>
        <v>0</v>
      </c>
      <c r="BP73" s="23">
        <f>IF($E73&lt;&gt;0,IF(ISBLANK(H73),SUM($BP$25:BP72)+1,0),0)</f>
        <v>0</v>
      </c>
      <c r="BQ73" s="23">
        <f>IF($E73&lt;I73,SUM($BQ$25:BQ72)+1,0)</f>
        <v>0</v>
      </c>
      <c r="BR73" s="23">
        <f>IF($E73&lt;J73,SUM($BR$25:BR72)+1,0)</f>
        <v>0</v>
      </c>
      <c r="BS73" s="23">
        <f>IF(OR(AW73="b"),SUM($BS$25:BS72)+1,0)</f>
        <v>0</v>
      </c>
      <c r="BV73" s="23">
        <f t="shared" si="8"/>
        <v>73</v>
      </c>
      <c r="BW73" s="23" t="str">
        <f>IF(ISBLANK(Generator_Info!B64),"Station "&amp;Generator_Info!A64,Generator_Info!B64)</f>
        <v>Station 49</v>
      </c>
    </row>
    <row r="74" spans="1:75" s="23" customFormat="1" ht="12.75">
      <c r="A74" s="23">
        <v>50</v>
      </c>
      <c r="B74" s="114">
        <f>IF(ISBLANK(Generator_Info!B65),"",Generator_Info!B65)</f>
      </c>
      <c r="C74" s="116"/>
      <c r="D74" s="103" t="s">
        <v>8</v>
      </c>
      <c r="E74" s="44"/>
      <c r="F74" s="44"/>
      <c r="G74" s="44"/>
      <c r="H74" s="44"/>
      <c r="I74" s="87">
        <f>IF(AND(F74+G74+H74&lt;=0.005*E74,Generator_Info!J65&lt;&gt;Generator_Info!$K$19),IF(Generator_Info!I65="No",0,Input_Output_Info!F74),Input_Output_Info!F74+Input_Output_Info!H74+IF(Generator_Info!J65=Generator_Info!$K$18,0,Input_Output_Info!G74))</f>
        <v>0</v>
      </c>
      <c r="J74" s="87">
        <f>IF(Generator_Info!J65=Generator_Info!$K$18,0,Input_Output_Info!G74)+IF(Generator_Info!I65="No",0,Input_Output_Info!F74)</f>
        <v>0</v>
      </c>
      <c r="K74" s="88">
        <f>IF(AND(ISBLANK(Generator_Info!C65),ISBLANK(Generator_Info!B65)=FALSE),"n/a",$AX74)</f>
        <v>1</v>
      </c>
      <c r="L74" s="88">
        <f>IF(OR($G$3=$Z$25,AND(ISBLANK(Generator_Info!D65),ISBLANK(Generator_Info!B65)=FALSE)),"n/a",$AX74)</f>
        <v>1</v>
      </c>
      <c r="M74" s="49">
        <f>IF(OR($AJ$43="Yes",ISBLANK(Generator_Info!C65)),0,((E74-I74)*IF(K74="n/a",1,K74))/1000)</f>
        <v>0</v>
      </c>
      <c r="N74" s="49">
        <f>IF(OR($G$3=$Z$25,$AJ$44="Yes",ISBLANK(Generator_Info!D65)),0,((E74-J74)*IF(L74="n/a",1,L74))/1000)</f>
        <v>0</v>
      </c>
      <c r="O74" s="86"/>
      <c r="P74" s="86"/>
      <c r="Q74" s="86"/>
      <c r="R74" s="86"/>
      <c r="S74" s="86"/>
      <c r="T74" s="86"/>
      <c r="U74" s="86"/>
      <c r="V74" s="86"/>
      <c r="W74" s="86"/>
      <c r="X74" s="86"/>
      <c r="AV74" s="23">
        <f>RIGHT(Generator_Info!C65,3)</f>
      </c>
      <c r="AW74" s="23" t="str">
        <f>IF(LEN(Generator_Info!C65)=10,LEFT(AV74,1),"Unknown")</f>
        <v>Unknown</v>
      </c>
      <c r="AX74" s="23">
        <f t="shared" si="4"/>
        <v>1</v>
      </c>
      <c r="AY74" s="23">
        <f t="shared" si="5"/>
        <v>0</v>
      </c>
      <c r="AZ74" s="23">
        <f t="shared" si="0"/>
        <v>0</v>
      </c>
      <c r="BB74" s="23">
        <f>IF(OR(AW74="b",AW74="n"),SUM($BB$25:BB73)+1,0)</f>
        <v>0</v>
      </c>
      <c r="BM74" s="23">
        <f>IF(E74&lt;&gt;0,IF(D74="please answer",SUM($BM$25:BM73)+1,0),0)</f>
        <v>0</v>
      </c>
      <c r="BN74" s="23">
        <f>IF($E74&lt;&gt;0,IF(ISBLANK(F74),SUM($BN$25:BN73)+1,0),0)</f>
        <v>0</v>
      </c>
      <c r="BO74" s="23">
        <f>IF(AND($E74&lt;&gt;0,ISBLANK(G74)=TRUE,Generator_Info!J65&lt;&gt;Generator_Info!$K$19),SUM($BO$25:BO73)+1,0)</f>
        <v>0</v>
      </c>
      <c r="BP74" s="23">
        <f>IF($E74&lt;&gt;0,IF(ISBLANK(H74),SUM($BP$25:BP73)+1,0),0)</f>
        <v>0</v>
      </c>
      <c r="BQ74" s="23">
        <f>IF($E74&lt;I74,SUM($BQ$25:BQ73)+1,0)</f>
        <v>0</v>
      </c>
      <c r="BR74" s="23">
        <f>IF($E74&lt;J74,SUM($BR$25:BR73)+1,0)</f>
        <v>0</v>
      </c>
      <c r="BS74" s="23">
        <f>IF(OR(AW74="b"),SUM($BS$25:BS73)+1,0)</f>
        <v>0</v>
      </c>
      <c r="BV74" s="23">
        <f t="shared" si="8"/>
        <v>74</v>
      </c>
      <c r="BW74" s="23" t="str">
        <f>IF(ISBLANK(Generator_Info!B65),"Station "&amp;Generator_Info!A65,Generator_Info!B65)</f>
        <v>Station 50</v>
      </c>
    </row>
    <row r="75" spans="1:75" s="23" customFormat="1" ht="12.75">
      <c r="A75" s="23">
        <v>51</v>
      </c>
      <c r="B75" s="114">
        <f>IF(ISBLANK(Generator_Info!B66),"",Generator_Info!B66)</f>
      </c>
      <c r="C75" s="116"/>
      <c r="D75" s="103" t="s">
        <v>8</v>
      </c>
      <c r="E75" s="44"/>
      <c r="F75" s="44"/>
      <c r="G75" s="44"/>
      <c r="H75" s="44"/>
      <c r="I75" s="87">
        <f>IF(AND(F75+G75+H75&lt;=0.005*E75,Generator_Info!J66&lt;&gt;Generator_Info!$K$19),IF(Generator_Info!I66="No",0,Input_Output_Info!F75),Input_Output_Info!F75+Input_Output_Info!H75+IF(Generator_Info!J66=Generator_Info!$K$18,0,Input_Output_Info!G75))</f>
        <v>0</v>
      </c>
      <c r="J75" s="87">
        <f>IF(Generator_Info!J66=Generator_Info!$K$18,0,Input_Output_Info!G75)+IF(Generator_Info!I66="No",0,Input_Output_Info!F75)</f>
        <v>0</v>
      </c>
      <c r="K75" s="88">
        <f>IF(AND(ISBLANK(Generator_Info!C66),ISBLANK(Generator_Info!B66)=FALSE),"n/a",$AX75)</f>
        <v>1</v>
      </c>
      <c r="L75" s="88">
        <f>IF(OR($G$3=$Z$25,AND(ISBLANK(Generator_Info!D66),ISBLANK(Generator_Info!B66)=FALSE)),"n/a",$AX75)</f>
        <v>1</v>
      </c>
      <c r="M75" s="49">
        <f>IF(OR($AJ$43="Yes",ISBLANK(Generator_Info!C66)),0,((E75-I75)*IF(K75="n/a",1,K75))/1000)</f>
        <v>0</v>
      </c>
      <c r="N75" s="49">
        <f>IF(OR($G$3=$Z$25,$AJ$44="Yes",ISBLANK(Generator_Info!D66)),0,((E75-J75)*IF(L75="n/a",1,L75))/1000)</f>
        <v>0</v>
      </c>
      <c r="O75" s="86"/>
      <c r="P75" s="86"/>
      <c r="Q75" s="86"/>
      <c r="R75" s="86"/>
      <c r="S75" s="86"/>
      <c r="T75" s="86"/>
      <c r="U75" s="86"/>
      <c r="V75" s="86"/>
      <c r="W75" s="86"/>
      <c r="X75" s="86"/>
      <c r="AV75" s="23">
        <f>RIGHT(Generator_Info!C66,3)</f>
      </c>
      <c r="AW75" s="23" t="str">
        <f>IF(LEN(Generator_Info!C66)=10,LEFT(AV75,1),"Unknown")</f>
        <v>Unknown</v>
      </c>
      <c r="AX75" s="23">
        <f t="shared" si="4"/>
        <v>1</v>
      </c>
      <c r="AY75" s="23">
        <f t="shared" si="5"/>
        <v>0</v>
      </c>
      <c r="AZ75" s="23">
        <f t="shared" si="0"/>
        <v>0</v>
      </c>
      <c r="BB75" s="23">
        <f>IF(OR(AW75="b",AW75="n"),SUM($BB$25:BB74)+1,0)</f>
        <v>0</v>
      </c>
      <c r="BM75" s="23">
        <f>IF(E75&lt;&gt;0,IF(D75="please answer",SUM($BM$25:BM74)+1,0),0)</f>
        <v>0</v>
      </c>
      <c r="BN75" s="23">
        <f>IF($E75&lt;&gt;0,IF(ISBLANK(F75),SUM($BN$25:BN74)+1,0),0)</f>
        <v>0</v>
      </c>
      <c r="BO75" s="23">
        <f>IF(AND($E75&lt;&gt;0,ISBLANK(G75)=TRUE,Generator_Info!J66&lt;&gt;Generator_Info!$K$19),SUM($BO$25:BO74)+1,0)</f>
        <v>0</v>
      </c>
      <c r="BP75" s="23">
        <f>IF($E75&lt;&gt;0,IF(ISBLANK(H75),SUM($BP$25:BP74)+1,0),0)</f>
        <v>0</v>
      </c>
      <c r="BQ75" s="23">
        <f>IF($E75&lt;I75,SUM($BQ$25:BQ74)+1,0)</f>
        <v>0</v>
      </c>
      <c r="BR75" s="23">
        <f>IF($E75&lt;J75,SUM($BR$25:BR74)+1,0)</f>
        <v>0</v>
      </c>
      <c r="BS75" s="23">
        <f>IF(OR(AW75="b"),SUM($BS$25:BS74)+1,0)</f>
        <v>0</v>
      </c>
      <c r="BV75" s="23">
        <f t="shared" si="8"/>
        <v>75</v>
      </c>
      <c r="BW75" s="23" t="str">
        <f>IF(ISBLANK(Generator_Info!B66),"Station "&amp;Generator_Info!A66,Generator_Info!B66)</f>
        <v>Station 51</v>
      </c>
    </row>
    <row r="76" spans="1:75" s="23" customFormat="1" ht="12.75">
      <c r="A76" s="23">
        <v>52</v>
      </c>
      <c r="B76" s="114">
        <f>IF(ISBLANK(Generator_Info!B67),"",Generator_Info!B67)</f>
      </c>
      <c r="C76" s="116"/>
      <c r="D76" s="103" t="s">
        <v>8</v>
      </c>
      <c r="E76" s="44"/>
      <c r="F76" s="44"/>
      <c r="G76" s="44"/>
      <c r="H76" s="44"/>
      <c r="I76" s="87">
        <f>IF(AND(F76+G76+H76&lt;=0.005*E76,Generator_Info!J67&lt;&gt;Generator_Info!$K$19),IF(Generator_Info!I67="No",0,Input_Output_Info!F76),Input_Output_Info!F76+Input_Output_Info!H76+IF(Generator_Info!J67=Generator_Info!$K$18,0,Input_Output_Info!G76))</f>
        <v>0</v>
      </c>
      <c r="J76" s="87">
        <f>IF(Generator_Info!J67=Generator_Info!$K$18,0,Input_Output_Info!G76)+IF(Generator_Info!I67="No",0,Input_Output_Info!F76)</f>
        <v>0</v>
      </c>
      <c r="K76" s="88">
        <f>IF(AND(ISBLANK(Generator_Info!C67),ISBLANK(Generator_Info!B67)=FALSE),"n/a",$AX76)</f>
        <v>1</v>
      </c>
      <c r="L76" s="88">
        <f>IF(OR($G$3=$Z$25,AND(ISBLANK(Generator_Info!D67),ISBLANK(Generator_Info!B67)=FALSE)),"n/a",$AX76)</f>
        <v>1</v>
      </c>
      <c r="M76" s="49">
        <f>IF(OR($AJ$43="Yes",ISBLANK(Generator_Info!C67)),0,((E76-I76)*IF(K76="n/a",1,K76))/1000)</f>
        <v>0</v>
      </c>
      <c r="N76" s="49">
        <f>IF(OR($G$3=$Z$25,$AJ$44="Yes",ISBLANK(Generator_Info!D67)),0,((E76-J76)*IF(L76="n/a",1,L76))/1000)</f>
        <v>0</v>
      </c>
      <c r="O76" s="86"/>
      <c r="P76" s="86"/>
      <c r="Q76" s="86"/>
      <c r="R76" s="86"/>
      <c r="S76" s="86"/>
      <c r="T76" s="86"/>
      <c r="U76" s="86"/>
      <c r="V76" s="86"/>
      <c r="W76" s="86"/>
      <c r="X76" s="86"/>
      <c r="AV76" s="23">
        <f>RIGHT(Generator_Info!C67,3)</f>
      </c>
      <c r="AW76" s="23" t="str">
        <f>IF(LEN(Generator_Info!C67)=10,LEFT(AV76,1),"Unknown")</f>
        <v>Unknown</v>
      </c>
      <c r="AX76" s="23">
        <f t="shared" si="4"/>
        <v>1</v>
      </c>
      <c r="AY76" s="23">
        <f t="shared" si="5"/>
        <v>0</v>
      </c>
      <c r="AZ76" s="23">
        <f t="shared" si="0"/>
        <v>0</v>
      </c>
      <c r="BB76" s="23">
        <f>IF(OR(AW76="b",AW76="n"),SUM($BB$25:BB75)+1,0)</f>
        <v>0</v>
      </c>
      <c r="BM76" s="23">
        <f>IF(E76&lt;&gt;0,IF(D76="please answer",SUM($BM$25:BM75)+1,0),0)</f>
        <v>0</v>
      </c>
      <c r="BN76" s="23">
        <f>IF($E76&lt;&gt;0,IF(ISBLANK(F76),SUM($BN$25:BN75)+1,0),0)</f>
        <v>0</v>
      </c>
      <c r="BO76" s="23">
        <f>IF(AND($E76&lt;&gt;0,ISBLANK(G76)=TRUE,Generator_Info!J67&lt;&gt;Generator_Info!$K$19),SUM($BO$25:BO75)+1,0)</f>
        <v>0</v>
      </c>
      <c r="BP76" s="23">
        <f>IF($E76&lt;&gt;0,IF(ISBLANK(H76),SUM($BP$25:BP75)+1,0),0)</f>
        <v>0</v>
      </c>
      <c r="BQ76" s="23">
        <f>IF($E76&lt;I76,SUM($BQ$25:BQ75)+1,0)</f>
        <v>0</v>
      </c>
      <c r="BR76" s="23">
        <f>IF($E76&lt;J76,SUM($BR$25:BR75)+1,0)</f>
        <v>0</v>
      </c>
      <c r="BS76" s="23">
        <f>IF(OR(AW76="b"),SUM($BS$25:BS75)+1,0)</f>
        <v>0</v>
      </c>
      <c r="BV76" s="23">
        <f t="shared" si="8"/>
        <v>76</v>
      </c>
      <c r="BW76" s="23" t="str">
        <f>IF(ISBLANK(Generator_Info!B67),"Station "&amp;Generator_Info!A67,Generator_Info!B67)</f>
        <v>Station 52</v>
      </c>
    </row>
    <row r="77" spans="1:75" s="23" customFormat="1" ht="12.75">
      <c r="A77" s="23">
        <v>53</v>
      </c>
      <c r="B77" s="114">
        <f>IF(ISBLANK(Generator_Info!B68),"",Generator_Info!B68)</f>
      </c>
      <c r="C77" s="116"/>
      <c r="D77" s="103" t="s">
        <v>8</v>
      </c>
      <c r="E77" s="44"/>
      <c r="F77" s="44"/>
      <c r="G77" s="44"/>
      <c r="H77" s="44"/>
      <c r="I77" s="87">
        <f>IF(AND(F77+G77+H77&lt;=0.005*E77,Generator_Info!J68&lt;&gt;Generator_Info!$K$19),IF(Generator_Info!I68="No",0,Input_Output_Info!F77),Input_Output_Info!F77+Input_Output_Info!H77+IF(Generator_Info!J68=Generator_Info!$K$18,0,Input_Output_Info!G77))</f>
        <v>0</v>
      </c>
      <c r="J77" s="87">
        <f>IF(Generator_Info!J68=Generator_Info!$K$18,0,Input_Output_Info!G77)+IF(Generator_Info!I68="No",0,Input_Output_Info!F77)</f>
        <v>0</v>
      </c>
      <c r="K77" s="88">
        <f>IF(AND(ISBLANK(Generator_Info!C68),ISBLANK(Generator_Info!B68)=FALSE),"n/a",$AX77)</f>
        <v>1</v>
      </c>
      <c r="L77" s="88">
        <f>IF(OR($G$3=$Z$25,AND(ISBLANK(Generator_Info!D68),ISBLANK(Generator_Info!B68)=FALSE)),"n/a",$AX77)</f>
        <v>1</v>
      </c>
      <c r="M77" s="49">
        <f>IF(OR($AJ$43="Yes",ISBLANK(Generator_Info!C68)),0,((E77-I77)*IF(K77="n/a",1,K77))/1000)</f>
        <v>0</v>
      </c>
      <c r="N77" s="49">
        <f>IF(OR($G$3=$Z$25,$AJ$44="Yes",ISBLANK(Generator_Info!D68)),0,((E77-J77)*IF(L77="n/a",1,L77))/1000)</f>
        <v>0</v>
      </c>
      <c r="O77" s="86"/>
      <c r="P77" s="86"/>
      <c r="Q77" s="86"/>
      <c r="R77" s="86"/>
      <c r="S77" s="86"/>
      <c r="T77" s="86"/>
      <c r="U77" s="86"/>
      <c r="V77" s="86"/>
      <c r="W77" s="86"/>
      <c r="X77" s="86"/>
      <c r="AV77" s="23">
        <f>RIGHT(Generator_Info!C68,3)</f>
      </c>
      <c r="AW77" s="23" t="str">
        <f>IF(LEN(Generator_Info!C68)=10,LEFT(AV77,1),"Unknown")</f>
        <v>Unknown</v>
      </c>
      <c r="AX77" s="23">
        <f t="shared" si="4"/>
        <v>1</v>
      </c>
      <c r="AY77" s="23">
        <f t="shared" si="5"/>
        <v>0</v>
      </c>
      <c r="AZ77" s="23">
        <f t="shared" si="0"/>
        <v>0</v>
      </c>
      <c r="BB77" s="23">
        <f>IF(OR(AW77="b",AW77="n"),SUM($BB$25:BB76)+1,0)</f>
        <v>0</v>
      </c>
      <c r="BM77" s="23">
        <f>IF(E77&lt;&gt;0,IF(D77="please answer",SUM($BM$25:BM76)+1,0),0)</f>
        <v>0</v>
      </c>
      <c r="BN77" s="23">
        <f>IF($E77&lt;&gt;0,IF(ISBLANK(F77),SUM($BN$25:BN76)+1,0),0)</f>
        <v>0</v>
      </c>
      <c r="BO77" s="23">
        <f>IF(AND($E77&lt;&gt;0,ISBLANK(G77)=TRUE,Generator_Info!J68&lt;&gt;Generator_Info!$K$19),SUM($BO$25:BO76)+1,0)</f>
        <v>0</v>
      </c>
      <c r="BP77" s="23">
        <f>IF($E77&lt;&gt;0,IF(ISBLANK(H77),SUM($BP$25:BP76)+1,0),0)</f>
        <v>0</v>
      </c>
      <c r="BQ77" s="23">
        <f>IF($E77&lt;I77,SUM($BQ$25:BQ76)+1,0)</f>
        <v>0</v>
      </c>
      <c r="BR77" s="23">
        <f>IF($E77&lt;J77,SUM($BR$25:BR76)+1,0)</f>
        <v>0</v>
      </c>
      <c r="BS77" s="23">
        <f>IF(OR(AW77="b"),SUM($BS$25:BS76)+1,0)</f>
        <v>0</v>
      </c>
      <c r="BV77" s="23">
        <f t="shared" si="8"/>
        <v>77</v>
      </c>
      <c r="BW77" s="23" t="str">
        <f>IF(ISBLANK(Generator_Info!B68),"Station "&amp;Generator_Info!A68,Generator_Info!B68)</f>
        <v>Station 53</v>
      </c>
    </row>
    <row r="78" spans="1:75" s="23" customFormat="1" ht="12.75">
      <c r="A78" s="23">
        <v>54</v>
      </c>
      <c r="B78" s="114">
        <f>IF(ISBLANK(Generator_Info!B69),"",Generator_Info!B69)</f>
      </c>
      <c r="C78" s="116"/>
      <c r="D78" s="103" t="s">
        <v>8</v>
      </c>
      <c r="E78" s="44"/>
      <c r="F78" s="44"/>
      <c r="G78" s="44"/>
      <c r="H78" s="44"/>
      <c r="I78" s="87">
        <f>IF(AND(F78+G78+H78&lt;=0.005*E78,Generator_Info!J69&lt;&gt;Generator_Info!$K$19),IF(Generator_Info!I69="No",0,Input_Output_Info!F78),Input_Output_Info!F78+Input_Output_Info!H78+IF(Generator_Info!J69=Generator_Info!$K$18,0,Input_Output_Info!G78))</f>
        <v>0</v>
      </c>
      <c r="J78" s="87">
        <f>IF(Generator_Info!J69=Generator_Info!$K$18,0,Input_Output_Info!G78)+IF(Generator_Info!I69="No",0,Input_Output_Info!F78)</f>
        <v>0</v>
      </c>
      <c r="K78" s="88">
        <f>IF(AND(ISBLANK(Generator_Info!C69),ISBLANK(Generator_Info!B69)=FALSE),"n/a",$AX78)</f>
        <v>1</v>
      </c>
      <c r="L78" s="88">
        <f>IF(OR($G$3=$Z$25,AND(ISBLANK(Generator_Info!D69),ISBLANK(Generator_Info!B69)=FALSE)),"n/a",$AX78)</f>
        <v>1</v>
      </c>
      <c r="M78" s="49">
        <f>IF(OR($AJ$43="Yes",ISBLANK(Generator_Info!C69)),0,((E78-I78)*IF(K78="n/a",1,K78))/1000)</f>
        <v>0</v>
      </c>
      <c r="N78" s="49">
        <f>IF(OR($G$3=$Z$25,$AJ$44="Yes",ISBLANK(Generator_Info!D69)),0,((E78-J78)*IF(L78="n/a",1,L78))/1000)</f>
        <v>0</v>
      </c>
      <c r="O78" s="86"/>
      <c r="P78" s="86"/>
      <c r="Q78" s="86"/>
      <c r="R78" s="86"/>
      <c r="S78" s="86"/>
      <c r="T78" s="86"/>
      <c r="U78" s="86"/>
      <c r="V78" s="86"/>
      <c r="W78" s="86"/>
      <c r="X78" s="86"/>
      <c r="AV78" s="23">
        <f>RIGHT(Generator_Info!C69,3)</f>
      </c>
      <c r="AW78" s="23" t="str">
        <f>IF(LEN(Generator_Info!C69)=10,LEFT(AV78,1),"Unknown")</f>
        <v>Unknown</v>
      </c>
      <c r="AX78" s="23">
        <f t="shared" si="4"/>
        <v>1</v>
      </c>
      <c r="AY78" s="23">
        <f t="shared" si="5"/>
        <v>0</v>
      </c>
      <c r="AZ78" s="23">
        <f t="shared" si="0"/>
        <v>0</v>
      </c>
      <c r="BB78" s="23">
        <f>IF(OR(AW78="b",AW78="n"),SUM($BB$25:BB77)+1,0)</f>
        <v>0</v>
      </c>
      <c r="BM78" s="23">
        <f>IF(E78&lt;&gt;0,IF(D78="please answer",SUM($BM$25:BM77)+1,0),0)</f>
        <v>0</v>
      </c>
      <c r="BN78" s="23">
        <f>IF($E78&lt;&gt;0,IF(ISBLANK(F78),SUM($BN$25:BN77)+1,0),0)</f>
        <v>0</v>
      </c>
      <c r="BO78" s="23">
        <f>IF(AND($E78&lt;&gt;0,ISBLANK(G78)=TRUE,Generator_Info!J69&lt;&gt;Generator_Info!$K$19),SUM($BO$25:BO77)+1,0)</f>
        <v>0</v>
      </c>
      <c r="BP78" s="23">
        <f>IF($E78&lt;&gt;0,IF(ISBLANK(H78),SUM($BP$25:BP77)+1,0),0)</f>
        <v>0</v>
      </c>
      <c r="BQ78" s="23">
        <f>IF($E78&lt;I78,SUM($BQ$25:BQ77)+1,0)</f>
        <v>0</v>
      </c>
      <c r="BR78" s="23">
        <f>IF($E78&lt;J78,SUM($BR$25:BR77)+1,0)</f>
        <v>0</v>
      </c>
      <c r="BS78" s="23">
        <f>IF(OR(AW78="b"),SUM($BS$25:BS77)+1,0)</f>
        <v>0</v>
      </c>
      <c r="BV78" s="23">
        <f t="shared" si="8"/>
        <v>78</v>
      </c>
      <c r="BW78" s="23" t="str">
        <f>IF(ISBLANK(Generator_Info!B69),"Station "&amp;Generator_Info!A69,Generator_Info!B69)</f>
        <v>Station 54</v>
      </c>
    </row>
    <row r="79" spans="1:75" s="23" customFormat="1" ht="12.75">
      <c r="A79" s="23">
        <v>55</v>
      </c>
      <c r="B79" s="114">
        <f>IF(ISBLANK(Generator_Info!B70),"",Generator_Info!B70)</f>
      </c>
      <c r="C79" s="116"/>
      <c r="D79" s="103" t="s">
        <v>8</v>
      </c>
      <c r="E79" s="44"/>
      <c r="F79" s="44"/>
      <c r="G79" s="44"/>
      <c r="H79" s="44"/>
      <c r="I79" s="87">
        <f>IF(AND(F79+G79+H79&lt;=0.005*E79,Generator_Info!J70&lt;&gt;Generator_Info!$K$19),IF(Generator_Info!I70="No",0,Input_Output_Info!F79),Input_Output_Info!F79+Input_Output_Info!H79+IF(Generator_Info!J70=Generator_Info!$K$18,0,Input_Output_Info!G79))</f>
        <v>0</v>
      </c>
      <c r="J79" s="87">
        <f>IF(Generator_Info!J70=Generator_Info!$K$18,0,Input_Output_Info!G79)+IF(Generator_Info!I70="No",0,Input_Output_Info!F79)</f>
        <v>0</v>
      </c>
      <c r="K79" s="88">
        <f>IF(AND(ISBLANK(Generator_Info!C70),ISBLANK(Generator_Info!B70)=FALSE),"n/a",$AX79)</f>
        <v>1</v>
      </c>
      <c r="L79" s="88">
        <f>IF(OR($G$3=$Z$25,AND(ISBLANK(Generator_Info!D70),ISBLANK(Generator_Info!B70)=FALSE)),"n/a",$AX79)</f>
        <v>1</v>
      </c>
      <c r="M79" s="49">
        <f>IF(OR($AJ$43="Yes",ISBLANK(Generator_Info!C70)),0,((E79-I79)*IF(K79="n/a",1,K79))/1000)</f>
        <v>0</v>
      </c>
      <c r="N79" s="49">
        <f>IF(OR($G$3=$Z$25,$AJ$44="Yes",ISBLANK(Generator_Info!D70)),0,((E79-J79)*IF(L79="n/a",1,L79))/1000)</f>
        <v>0</v>
      </c>
      <c r="O79" s="86"/>
      <c r="P79" s="86"/>
      <c r="Q79" s="86"/>
      <c r="R79" s="86"/>
      <c r="S79" s="86"/>
      <c r="T79" s="86"/>
      <c r="U79" s="86"/>
      <c r="V79" s="86"/>
      <c r="W79" s="86"/>
      <c r="X79" s="86"/>
      <c r="AV79" s="23">
        <f>RIGHT(Generator_Info!C70,3)</f>
      </c>
      <c r="AW79" s="23" t="str">
        <f>IF(LEN(Generator_Info!C70)=10,LEFT(AV79,1),"Unknown")</f>
        <v>Unknown</v>
      </c>
      <c r="AX79" s="23">
        <f t="shared" si="4"/>
        <v>1</v>
      </c>
      <c r="AY79" s="23">
        <f t="shared" si="5"/>
        <v>0</v>
      </c>
      <c r="AZ79" s="23">
        <f t="shared" si="0"/>
        <v>0</v>
      </c>
      <c r="BB79" s="23">
        <f>IF(OR(AW79="b",AW79="n"),SUM($BB$25:BB78)+1,0)</f>
        <v>0</v>
      </c>
      <c r="BM79" s="23">
        <f>IF(E79&lt;&gt;0,IF(D79="please answer",SUM($BM$25:BM78)+1,0),0)</f>
        <v>0</v>
      </c>
      <c r="BN79" s="23">
        <f>IF($E79&lt;&gt;0,IF(ISBLANK(F79),SUM($BN$25:BN78)+1,0),0)</f>
        <v>0</v>
      </c>
      <c r="BO79" s="23">
        <f>IF(AND($E79&lt;&gt;0,ISBLANK(G79)=TRUE,Generator_Info!J70&lt;&gt;Generator_Info!$K$19),SUM($BO$25:BO78)+1,0)</f>
        <v>0</v>
      </c>
      <c r="BP79" s="23">
        <f>IF($E79&lt;&gt;0,IF(ISBLANK(H79),SUM($BP$25:BP78)+1,0),0)</f>
        <v>0</v>
      </c>
      <c r="BQ79" s="23">
        <f>IF($E79&lt;I79,SUM($BQ$25:BQ78)+1,0)</f>
        <v>0</v>
      </c>
      <c r="BR79" s="23">
        <f>IF($E79&lt;J79,SUM($BR$25:BR78)+1,0)</f>
        <v>0</v>
      </c>
      <c r="BS79" s="23">
        <f>IF(OR(AW79="b"),SUM($BS$25:BS78)+1,0)</f>
        <v>0</v>
      </c>
      <c r="BV79" s="23">
        <f t="shared" si="8"/>
        <v>79</v>
      </c>
      <c r="BW79" s="23" t="str">
        <f>IF(ISBLANK(Generator_Info!B70),"Station "&amp;Generator_Info!A70,Generator_Info!B70)</f>
        <v>Station 55</v>
      </c>
    </row>
    <row r="80" spans="1:75" s="23" customFormat="1" ht="12.75">
      <c r="A80" s="23">
        <v>56</v>
      </c>
      <c r="B80" s="114">
        <f>IF(ISBLANK(Generator_Info!B71),"",Generator_Info!B71)</f>
      </c>
      <c r="C80" s="116"/>
      <c r="D80" s="103" t="s">
        <v>8</v>
      </c>
      <c r="E80" s="44"/>
      <c r="F80" s="44"/>
      <c r="G80" s="44"/>
      <c r="H80" s="44"/>
      <c r="I80" s="87">
        <f>IF(AND(F80+G80+H80&lt;=0.005*E80,Generator_Info!J71&lt;&gt;Generator_Info!$K$19),IF(Generator_Info!I71="No",0,Input_Output_Info!F80),Input_Output_Info!F80+Input_Output_Info!H80+IF(Generator_Info!J71=Generator_Info!$K$18,0,Input_Output_Info!G80))</f>
        <v>0</v>
      </c>
      <c r="J80" s="87">
        <f>IF(Generator_Info!J71=Generator_Info!$K$18,0,Input_Output_Info!G80)+IF(Generator_Info!I71="No",0,Input_Output_Info!F80)</f>
        <v>0</v>
      </c>
      <c r="K80" s="88">
        <f>IF(AND(ISBLANK(Generator_Info!C71),ISBLANK(Generator_Info!B71)=FALSE),"n/a",$AX80)</f>
        <v>1</v>
      </c>
      <c r="L80" s="88">
        <f>IF(OR($G$3=$Z$25,AND(ISBLANK(Generator_Info!D71),ISBLANK(Generator_Info!B71)=FALSE)),"n/a",$AX80)</f>
        <v>1</v>
      </c>
      <c r="M80" s="49">
        <f>IF(OR($AJ$43="Yes",ISBLANK(Generator_Info!C71)),0,((E80-I80)*IF(K80="n/a",1,K80))/1000)</f>
        <v>0</v>
      </c>
      <c r="N80" s="49">
        <f>IF(OR($G$3=$Z$25,$AJ$44="Yes",ISBLANK(Generator_Info!D71)),0,((E80-J80)*IF(L80="n/a",1,L80))/1000)</f>
        <v>0</v>
      </c>
      <c r="O80" s="86"/>
      <c r="P80" s="86"/>
      <c r="Q80" s="86"/>
      <c r="R80" s="86"/>
      <c r="S80" s="86"/>
      <c r="T80" s="86"/>
      <c r="U80" s="86"/>
      <c r="V80" s="86"/>
      <c r="W80" s="86"/>
      <c r="X80" s="86"/>
      <c r="AV80" s="23">
        <f>RIGHT(Generator_Info!C71,3)</f>
      </c>
      <c r="AW80" s="23" t="str">
        <f>IF(LEN(Generator_Info!C71)=10,LEFT(AV80,1),"Unknown")</f>
        <v>Unknown</v>
      </c>
      <c r="AX80" s="23">
        <f t="shared" si="4"/>
        <v>1</v>
      </c>
      <c r="AY80" s="23">
        <f t="shared" si="5"/>
        <v>0</v>
      </c>
      <c r="AZ80" s="23">
        <f t="shared" si="0"/>
        <v>0</v>
      </c>
      <c r="BB80" s="23">
        <f>IF(OR(AW80="b",AW80="n"),SUM($BB$25:BB79)+1,0)</f>
        <v>0</v>
      </c>
      <c r="BM80" s="23">
        <f>IF(E80&lt;&gt;0,IF(D80="please answer",SUM($BM$25:BM79)+1,0),0)</f>
        <v>0</v>
      </c>
      <c r="BN80" s="23">
        <f>IF($E80&lt;&gt;0,IF(ISBLANK(F80),SUM($BN$25:BN79)+1,0),0)</f>
        <v>0</v>
      </c>
      <c r="BO80" s="23">
        <f>IF(AND($E80&lt;&gt;0,ISBLANK(G80)=TRUE,Generator_Info!J71&lt;&gt;Generator_Info!$K$19),SUM($BO$25:BO79)+1,0)</f>
        <v>0</v>
      </c>
      <c r="BP80" s="23">
        <f>IF($E80&lt;&gt;0,IF(ISBLANK(H80),SUM($BP$25:BP79)+1,0),0)</f>
        <v>0</v>
      </c>
      <c r="BQ80" s="23">
        <f>IF($E80&lt;I80,SUM($BQ$25:BQ79)+1,0)</f>
        <v>0</v>
      </c>
      <c r="BR80" s="23">
        <f>IF($E80&lt;J80,SUM($BR$25:BR79)+1,0)</f>
        <v>0</v>
      </c>
      <c r="BS80" s="23">
        <f>IF(OR(AW80="b"),SUM($BS$25:BS79)+1,0)</f>
        <v>0</v>
      </c>
      <c r="BV80" s="23">
        <f t="shared" si="8"/>
        <v>80</v>
      </c>
      <c r="BW80" s="23" t="str">
        <f>IF(ISBLANK(Generator_Info!B71),"Station "&amp;Generator_Info!A71,Generator_Info!B71)</f>
        <v>Station 56</v>
      </c>
    </row>
    <row r="81" spans="1:75" s="23" customFormat="1" ht="12.75">
      <c r="A81" s="23">
        <v>57</v>
      </c>
      <c r="B81" s="114">
        <f>IF(ISBLANK(Generator_Info!B72),"",Generator_Info!B72)</f>
      </c>
      <c r="C81" s="116"/>
      <c r="D81" s="103" t="s">
        <v>8</v>
      </c>
      <c r="E81" s="44"/>
      <c r="F81" s="44"/>
      <c r="G81" s="44"/>
      <c r="H81" s="44"/>
      <c r="I81" s="87">
        <f>IF(AND(F81+G81+H81&lt;=0.005*E81,Generator_Info!J72&lt;&gt;Generator_Info!$K$19),IF(Generator_Info!I72="No",0,Input_Output_Info!F81),Input_Output_Info!F81+Input_Output_Info!H81+IF(Generator_Info!J72=Generator_Info!$K$18,0,Input_Output_Info!G81))</f>
        <v>0</v>
      </c>
      <c r="J81" s="87">
        <f>IF(Generator_Info!J72=Generator_Info!$K$18,0,Input_Output_Info!G81)+IF(Generator_Info!I72="No",0,Input_Output_Info!F81)</f>
        <v>0</v>
      </c>
      <c r="K81" s="88">
        <f>IF(AND(ISBLANK(Generator_Info!C72),ISBLANK(Generator_Info!B72)=FALSE),"n/a",$AX81)</f>
        <v>1</v>
      </c>
      <c r="L81" s="88">
        <f>IF(OR($G$3=$Z$25,AND(ISBLANK(Generator_Info!D72),ISBLANK(Generator_Info!B72)=FALSE)),"n/a",$AX81)</f>
        <v>1</v>
      </c>
      <c r="M81" s="49">
        <f>IF(OR($AJ$43="Yes",ISBLANK(Generator_Info!C72)),0,((E81-I81)*IF(K81="n/a",1,K81))/1000)</f>
        <v>0</v>
      </c>
      <c r="N81" s="49">
        <f>IF(OR($G$3=$Z$25,$AJ$44="Yes",ISBLANK(Generator_Info!D72)),0,((E81-J81)*IF(L81="n/a",1,L81))/1000)</f>
        <v>0</v>
      </c>
      <c r="O81" s="86"/>
      <c r="P81" s="86"/>
      <c r="Q81" s="86"/>
      <c r="R81" s="86"/>
      <c r="S81" s="86"/>
      <c r="T81" s="86"/>
      <c r="U81" s="86"/>
      <c r="V81" s="86"/>
      <c r="W81" s="86"/>
      <c r="X81" s="86"/>
      <c r="AV81" s="23">
        <f>RIGHT(Generator_Info!C72,3)</f>
      </c>
      <c r="AW81" s="23" t="str">
        <f>IF(LEN(Generator_Info!C72)=10,LEFT(AV81,1),"Unknown")</f>
        <v>Unknown</v>
      </c>
      <c r="AX81" s="23">
        <f t="shared" si="4"/>
        <v>1</v>
      </c>
      <c r="AY81" s="23">
        <f t="shared" si="5"/>
        <v>0</v>
      </c>
      <c r="AZ81" s="23">
        <f t="shared" si="0"/>
        <v>0</v>
      </c>
      <c r="BB81" s="23">
        <f>IF(OR(AW81="b",AW81="n"),SUM($BB$25:BB80)+1,0)</f>
        <v>0</v>
      </c>
      <c r="BM81" s="23">
        <f>IF(E81&lt;&gt;0,IF(D81="please answer",SUM($BM$25:BM80)+1,0),0)</f>
        <v>0</v>
      </c>
      <c r="BN81" s="23">
        <f>IF($E81&lt;&gt;0,IF(ISBLANK(F81),SUM($BN$25:BN80)+1,0),0)</f>
        <v>0</v>
      </c>
      <c r="BO81" s="23">
        <f>IF(AND($E81&lt;&gt;0,ISBLANK(G81)=TRUE,Generator_Info!J72&lt;&gt;Generator_Info!$K$19),SUM($BO$25:BO80)+1,0)</f>
        <v>0</v>
      </c>
      <c r="BP81" s="23">
        <f>IF($E81&lt;&gt;0,IF(ISBLANK(H81),SUM($BP$25:BP80)+1,0),0)</f>
        <v>0</v>
      </c>
      <c r="BQ81" s="23">
        <f>IF($E81&lt;I81,SUM($BQ$25:BQ80)+1,0)</f>
        <v>0</v>
      </c>
      <c r="BR81" s="23">
        <f>IF($E81&lt;J81,SUM($BR$25:BR80)+1,0)</f>
        <v>0</v>
      </c>
      <c r="BS81" s="23">
        <f>IF(OR(AW81="b"),SUM($BS$25:BS80)+1,0)</f>
        <v>0</v>
      </c>
      <c r="BV81" s="23">
        <f t="shared" si="8"/>
        <v>81</v>
      </c>
      <c r="BW81" s="23" t="str">
        <f>IF(ISBLANK(Generator_Info!B72),"Station "&amp;Generator_Info!A72,Generator_Info!B72)</f>
        <v>Station 57</v>
      </c>
    </row>
    <row r="82" spans="1:75" s="23" customFormat="1" ht="12.75">
      <c r="A82" s="23">
        <v>58</v>
      </c>
      <c r="B82" s="114">
        <f>IF(ISBLANK(Generator_Info!B73),"",Generator_Info!B73)</f>
      </c>
      <c r="C82" s="116"/>
      <c r="D82" s="103" t="s">
        <v>8</v>
      </c>
      <c r="E82" s="44"/>
      <c r="F82" s="44"/>
      <c r="G82" s="44"/>
      <c r="H82" s="44"/>
      <c r="I82" s="87">
        <f>IF(AND(F82+G82+H82&lt;=0.005*E82,Generator_Info!J73&lt;&gt;Generator_Info!$K$19),IF(Generator_Info!I73="No",0,Input_Output_Info!F82),Input_Output_Info!F82+Input_Output_Info!H82+IF(Generator_Info!J73=Generator_Info!$K$18,0,Input_Output_Info!G82))</f>
        <v>0</v>
      </c>
      <c r="J82" s="87">
        <f>IF(Generator_Info!J73=Generator_Info!$K$18,0,Input_Output_Info!G82)+IF(Generator_Info!I73="No",0,Input_Output_Info!F82)</f>
        <v>0</v>
      </c>
      <c r="K82" s="88">
        <f>IF(AND(ISBLANK(Generator_Info!C73),ISBLANK(Generator_Info!B73)=FALSE),"n/a",$AX82)</f>
        <v>1</v>
      </c>
      <c r="L82" s="88">
        <f>IF(OR($G$3=$Z$25,AND(ISBLANK(Generator_Info!D73),ISBLANK(Generator_Info!B73)=FALSE)),"n/a",$AX82)</f>
        <v>1</v>
      </c>
      <c r="M82" s="49">
        <f>IF(OR($AJ$43="Yes",ISBLANK(Generator_Info!C73)),0,((E82-I82)*IF(K82="n/a",1,K82))/1000)</f>
        <v>0</v>
      </c>
      <c r="N82" s="49">
        <f>IF(OR($G$3=$Z$25,$AJ$44="Yes",ISBLANK(Generator_Info!D73)),0,((E82-J82)*IF(L82="n/a",1,L82))/1000)</f>
        <v>0</v>
      </c>
      <c r="O82" s="86"/>
      <c r="P82" s="86"/>
      <c r="Q82" s="86"/>
      <c r="R82" s="86"/>
      <c r="S82" s="86"/>
      <c r="T82" s="86"/>
      <c r="U82" s="86"/>
      <c r="V82" s="86"/>
      <c r="W82" s="86"/>
      <c r="X82" s="86"/>
      <c r="AV82" s="23">
        <f>RIGHT(Generator_Info!C73,3)</f>
      </c>
      <c r="AW82" s="23" t="str">
        <f>IF(LEN(Generator_Info!C73)=10,LEFT(AV82,1),"Unknown")</f>
        <v>Unknown</v>
      </c>
      <c r="AX82" s="23">
        <f t="shared" si="4"/>
        <v>1</v>
      </c>
      <c r="AY82" s="23">
        <f t="shared" si="5"/>
        <v>0</v>
      </c>
      <c r="AZ82" s="23">
        <f t="shared" si="0"/>
        <v>0</v>
      </c>
      <c r="BB82" s="23">
        <f>IF(OR(AW82="b",AW82="n"),SUM($BB$25:BB81)+1,0)</f>
        <v>0</v>
      </c>
      <c r="BM82" s="23">
        <f>IF(E82&lt;&gt;0,IF(D82="please answer",SUM($BM$25:BM81)+1,0),0)</f>
        <v>0</v>
      </c>
      <c r="BN82" s="23">
        <f>IF($E82&lt;&gt;0,IF(ISBLANK(F82),SUM($BN$25:BN81)+1,0),0)</f>
        <v>0</v>
      </c>
      <c r="BO82" s="23">
        <f>IF(AND($E82&lt;&gt;0,ISBLANK(G82)=TRUE,Generator_Info!J73&lt;&gt;Generator_Info!$K$19),SUM($BO$25:BO81)+1,0)</f>
        <v>0</v>
      </c>
      <c r="BP82" s="23">
        <f>IF($E82&lt;&gt;0,IF(ISBLANK(H82),SUM($BP$25:BP81)+1,0),0)</f>
        <v>0</v>
      </c>
      <c r="BQ82" s="23">
        <f>IF($E82&lt;I82,SUM($BQ$25:BQ81)+1,0)</f>
        <v>0</v>
      </c>
      <c r="BR82" s="23">
        <f>IF($E82&lt;J82,SUM($BR$25:BR81)+1,0)</f>
        <v>0</v>
      </c>
      <c r="BS82" s="23">
        <f>IF(OR(AW82="b"),SUM($BS$25:BS81)+1,0)</f>
        <v>0</v>
      </c>
      <c r="BV82" s="23">
        <f t="shared" si="8"/>
        <v>82</v>
      </c>
      <c r="BW82" s="23" t="str">
        <f>IF(ISBLANK(Generator_Info!B73),"Station "&amp;Generator_Info!A73,Generator_Info!B73)</f>
        <v>Station 58</v>
      </c>
    </row>
    <row r="83" spans="1:75" s="23" customFormat="1" ht="12.75">
      <c r="A83" s="23">
        <v>59</v>
      </c>
      <c r="B83" s="114">
        <f>IF(ISBLANK(Generator_Info!B74),"",Generator_Info!B74)</f>
      </c>
      <c r="C83" s="116"/>
      <c r="D83" s="103" t="s">
        <v>8</v>
      </c>
      <c r="E83" s="44"/>
      <c r="F83" s="44"/>
      <c r="G83" s="44"/>
      <c r="H83" s="44"/>
      <c r="I83" s="87">
        <f>IF(AND(F83+G83+H83&lt;=0.005*E83,Generator_Info!J74&lt;&gt;Generator_Info!$K$19),IF(Generator_Info!I74="No",0,Input_Output_Info!F83),Input_Output_Info!F83+Input_Output_Info!H83+IF(Generator_Info!J74=Generator_Info!$K$18,0,Input_Output_Info!G83))</f>
        <v>0</v>
      </c>
      <c r="J83" s="87">
        <f>IF(Generator_Info!J74=Generator_Info!$K$18,0,Input_Output_Info!G83)+IF(Generator_Info!I74="No",0,Input_Output_Info!F83)</f>
        <v>0</v>
      </c>
      <c r="K83" s="88">
        <f>IF(AND(ISBLANK(Generator_Info!C74),ISBLANK(Generator_Info!B74)=FALSE),"n/a",$AX83)</f>
        <v>1</v>
      </c>
      <c r="L83" s="88">
        <f>IF(OR($G$3=$Z$25,AND(ISBLANK(Generator_Info!D74),ISBLANK(Generator_Info!B74)=FALSE)),"n/a",$AX83)</f>
        <v>1</v>
      </c>
      <c r="M83" s="49">
        <f>IF(OR($AJ$43="Yes",ISBLANK(Generator_Info!C74)),0,((E83-I83)*IF(K83="n/a",1,K83))/1000)</f>
        <v>0</v>
      </c>
      <c r="N83" s="49">
        <f>IF(OR($G$3=$Z$25,$AJ$44="Yes",ISBLANK(Generator_Info!D74)),0,((E83-J83)*IF(L83="n/a",1,L83))/1000)</f>
        <v>0</v>
      </c>
      <c r="O83" s="86"/>
      <c r="P83" s="86"/>
      <c r="Q83" s="86"/>
      <c r="R83" s="86"/>
      <c r="S83" s="86"/>
      <c r="T83" s="86"/>
      <c r="U83" s="86"/>
      <c r="V83" s="86"/>
      <c r="W83" s="86"/>
      <c r="X83" s="86"/>
      <c r="AV83" s="23">
        <f>RIGHT(Generator_Info!C74,3)</f>
      </c>
      <c r="AW83" s="23" t="str">
        <f>IF(LEN(Generator_Info!C74)=10,LEFT(AV83,1),"Unknown")</f>
        <v>Unknown</v>
      </c>
      <c r="AX83" s="23">
        <f t="shared" si="4"/>
        <v>1</v>
      </c>
      <c r="AY83" s="23">
        <f t="shared" si="5"/>
        <v>0</v>
      </c>
      <c r="AZ83" s="23">
        <f t="shared" si="0"/>
        <v>0</v>
      </c>
      <c r="BB83" s="23">
        <f>IF(OR(AW83="b",AW83="n"),SUM($BB$25:BB82)+1,0)</f>
        <v>0</v>
      </c>
      <c r="BM83" s="23">
        <f>IF(E83&lt;&gt;0,IF(D83="please answer",SUM($BM$25:BM82)+1,0),0)</f>
        <v>0</v>
      </c>
      <c r="BN83" s="23">
        <f>IF($E83&lt;&gt;0,IF(ISBLANK(F83),SUM($BN$25:BN82)+1,0),0)</f>
        <v>0</v>
      </c>
      <c r="BO83" s="23">
        <f>IF(AND($E83&lt;&gt;0,ISBLANK(G83)=TRUE,Generator_Info!J74&lt;&gt;Generator_Info!$K$19),SUM($BO$25:BO82)+1,0)</f>
        <v>0</v>
      </c>
      <c r="BP83" s="23">
        <f>IF($E83&lt;&gt;0,IF(ISBLANK(H83),SUM($BP$25:BP82)+1,0),0)</f>
        <v>0</v>
      </c>
      <c r="BQ83" s="23">
        <f>IF($E83&lt;I83,SUM($BQ$25:BQ82)+1,0)</f>
        <v>0</v>
      </c>
      <c r="BR83" s="23">
        <f>IF($E83&lt;J83,SUM($BR$25:BR82)+1,0)</f>
        <v>0</v>
      </c>
      <c r="BS83" s="23">
        <f>IF(OR(AW83="b"),SUM($BS$25:BS82)+1,0)</f>
        <v>0</v>
      </c>
      <c r="BV83" s="23">
        <f t="shared" si="8"/>
        <v>83</v>
      </c>
      <c r="BW83" s="23" t="str">
        <f>IF(ISBLANK(Generator_Info!B74),"Station "&amp;Generator_Info!A74,Generator_Info!B74)</f>
        <v>Station 59</v>
      </c>
    </row>
    <row r="84" spans="1:75" s="23" customFormat="1" ht="12.75">
      <c r="A84" s="23">
        <v>60</v>
      </c>
      <c r="B84" s="114">
        <f>IF(ISBLANK(Generator_Info!B75),"",Generator_Info!B75)</f>
      </c>
      <c r="C84" s="116"/>
      <c r="D84" s="103" t="s">
        <v>8</v>
      </c>
      <c r="E84" s="44"/>
      <c r="F84" s="44"/>
      <c r="G84" s="44"/>
      <c r="H84" s="44"/>
      <c r="I84" s="87">
        <f>IF(AND(F84+G84+H84&lt;=0.005*E84,Generator_Info!J75&lt;&gt;Generator_Info!$K$19),IF(Generator_Info!I75="No",0,Input_Output_Info!F84),Input_Output_Info!F84+Input_Output_Info!H84+IF(Generator_Info!J75=Generator_Info!$K$18,0,Input_Output_Info!G84))</f>
        <v>0</v>
      </c>
      <c r="J84" s="87">
        <f>IF(Generator_Info!J75=Generator_Info!$K$18,0,Input_Output_Info!G84)+IF(Generator_Info!I75="No",0,Input_Output_Info!F84)</f>
        <v>0</v>
      </c>
      <c r="K84" s="88">
        <f>IF(AND(ISBLANK(Generator_Info!C75),ISBLANK(Generator_Info!B75)=FALSE),"n/a",$AX84)</f>
        <v>1</v>
      </c>
      <c r="L84" s="88">
        <f>IF(OR($G$3=$Z$25,AND(ISBLANK(Generator_Info!D75),ISBLANK(Generator_Info!B75)=FALSE)),"n/a",$AX84)</f>
        <v>1</v>
      </c>
      <c r="M84" s="49">
        <f>IF(OR($AJ$43="Yes",ISBLANK(Generator_Info!C75)),0,((E84-I84)*IF(K84="n/a",1,K84))/1000)</f>
        <v>0</v>
      </c>
      <c r="N84" s="49">
        <f>IF(OR($G$3=$Z$25,$AJ$44="Yes",ISBLANK(Generator_Info!D75)),0,((E84-J84)*IF(L84="n/a",1,L84))/1000)</f>
        <v>0</v>
      </c>
      <c r="O84" s="86"/>
      <c r="P84" s="86"/>
      <c r="Q84" s="86"/>
      <c r="R84" s="86"/>
      <c r="S84" s="86"/>
      <c r="T84" s="86"/>
      <c r="U84" s="86"/>
      <c r="V84" s="86"/>
      <c r="W84" s="86"/>
      <c r="X84" s="86"/>
      <c r="AV84" s="23">
        <f>RIGHT(Generator_Info!C75,3)</f>
      </c>
      <c r="AW84" s="23" t="str">
        <f>IF(LEN(Generator_Info!C75)=10,LEFT(AV84,1),"Unknown")</f>
        <v>Unknown</v>
      </c>
      <c r="AX84" s="23">
        <f t="shared" si="4"/>
        <v>1</v>
      </c>
      <c r="AY84" s="23">
        <f t="shared" si="5"/>
        <v>0</v>
      </c>
      <c r="AZ84" s="23">
        <f t="shared" si="0"/>
        <v>0</v>
      </c>
      <c r="BB84" s="23">
        <f>IF(OR(AW84="b",AW84="n"),SUM($BB$25:BB83)+1,0)</f>
        <v>0</v>
      </c>
      <c r="BM84" s="23">
        <f>IF(E84&lt;&gt;0,IF(D84="please answer",SUM($BM$25:BM83)+1,0),0)</f>
        <v>0</v>
      </c>
      <c r="BN84" s="23">
        <f>IF($E84&lt;&gt;0,IF(ISBLANK(F84),SUM($BN$25:BN83)+1,0),0)</f>
        <v>0</v>
      </c>
      <c r="BO84" s="23">
        <f>IF(AND($E84&lt;&gt;0,ISBLANK(G84)=TRUE,Generator_Info!J75&lt;&gt;Generator_Info!$K$19),SUM($BO$25:BO83)+1,0)</f>
        <v>0</v>
      </c>
      <c r="BP84" s="23">
        <f>IF($E84&lt;&gt;0,IF(ISBLANK(H84),SUM($BP$25:BP83)+1,0),0)</f>
        <v>0</v>
      </c>
      <c r="BQ84" s="23">
        <f>IF($E84&lt;I84,SUM($BQ$25:BQ83)+1,0)</f>
        <v>0</v>
      </c>
      <c r="BR84" s="23">
        <f>IF($E84&lt;J84,SUM($BR$25:BR83)+1,0)</f>
        <v>0</v>
      </c>
      <c r="BS84" s="23">
        <f>IF(OR(AW84="b"),SUM($BS$25:BS83)+1,0)</f>
        <v>0</v>
      </c>
      <c r="BV84" s="23">
        <f t="shared" si="8"/>
        <v>84</v>
      </c>
      <c r="BW84" s="23" t="str">
        <f>IF(ISBLANK(Generator_Info!B75),"Station "&amp;Generator_Info!A75,Generator_Info!B75)</f>
        <v>Station 60</v>
      </c>
    </row>
    <row r="85" spans="1:75" s="23" customFormat="1" ht="12.75">
      <c r="A85" s="23">
        <v>61</v>
      </c>
      <c r="B85" s="114">
        <f>IF(ISBLANK(Generator_Info!B76),"",Generator_Info!B76)</f>
      </c>
      <c r="C85" s="116"/>
      <c r="D85" s="103" t="s">
        <v>8</v>
      </c>
      <c r="E85" s="44"/>
      <c r="F85" s="44"/>
      <c r="G85" s="44"/>
      <c r="H85" s="44"/>
      <c r="I85" s="87">
        <f>IF(AND(F85+G85+H85&lt;=0.005*E85,Generator_Info!J76&lt;&gt;Generator_Info!$K$19),IF(Generator_Info!I76="No",0,Input_Output_Info!F85),Input_Output_Info!F85+Input_Output_Info!H85+IF(Generator_Info!J76=Generator_Info!$K$18,0,Input_Output_Info!G85))</f>
        <v>0</v>
      </c>
      <c r="J85" s="87">
        <f>IF(Generator_Info!J76=Generator_Info!$K$18,0,Input_Output_Info!G85)+IF(Generator_Info!I76="No",0,Input_Output_Info!F85)</f>
        <v>0</v>
      </c>
      <c r="K85" s="88">
        <f>IF(AND(ISBLANK(Generator_Info!C76),ISBLANK(Generator_Info!B76)=FALSE),"n/a",$AX85)</f>
        <v>1</v>
      </c>
      <c r="L85" s="88">
        <f>IF(OR($G$3=$Z$25,AND(ISBLANK(Generator_Info!D76),ISBLANK(Generator_Info!B76)=FALSE)),"n/a",$AX85)</f>
        <v>1</v>
      </c>
      <c r="M85" s="49">
        <f>IF(OR($AJ$43="Yes",ISBLANK(Generator_Info!C76)),0,((E85-I85)*IF(K85="n/a",1,K85))/1000)</f>
        <v>0</v>
      </c>
      <c r="N85" s="49">
        <f>IF(OR($G$3=$Z$25,$AJ$44="Yes",ISBLANK(Generator_Info!D76)),0,((E85-J85)*IF(L85="n/a",1,L85))/1000)</f>
        <v>0</v>
      </c>
      <c r="O85" s="86"/>
      <c r="P85" s="86"/>
      <c r="Q85" s="86"/>
      <c r="R85" s="86"/>
      <c r="S85" s="86"/>
      <c r="T85" s="86"/>
      <c r="U85" s="86"/>
      <c r="V85" s="86"/>
      <c r="W85" s="86"/>
      <c r="X85" s="86"/>
      <c r="AV85" s="23">
        <f>RIGHT(Generator_Info!C76,3)</f>
      </c>
      <c r="AW85" s="23" t="str">
        <f>IF(LEN(Generator_Info!C76)=10,LEFT(AV85,1),"Unknown")</f>
        <v>Unknown</v>
      </c>
      <c r="AX85" s="23">
        <f t="shared" si="4"/>
        <v>1</v>
      </c>
      <c r="AY85" s="23">
        <f t="shared" si="5"/>
        <v>0</v>
      </c>
      <c r="AZ85" s="23">
        <f t="shared" si="0"/>
        <v>0</v>
      </c>
      <c r="BB85" s="23">
        <f>IF(OR(AW85="b",AW85="n"),SUM($BB$25:BB84)+1,0)</f>
        <v>0</v>
      </c>
      <c r="BM85" s="23">
        <f>IF(E85&lt;&gt;0,IF(D85="please answer",SUM($BM$25:BM84)+1,0),0)</f>
        <v>0</v>
      </c>
      <c r="BN85" s="23">
        <f>IF($E85&lt;&gt;0,IF(ISBLANK(F85),SUM($BN$25:BN84)+1,0),0)</f>
        <v>0</v>
      </c>
      <c r="BO85" s="23">
        <f>IF(AND($E85&lt;&gt;0,ISBLANK(G85)=TRUE,Generator_Info!J76&lt;&gt;Generator_Info!$K$19),SUM($BO$25:BO84)+1,0)</f>
        <v>0</v>
      </c>
      <c r="BP85" s="23">
        <f>IF($E85&lt;&gt;0,IF(ISBLANK(H85),SUM($BP$25:BP84)+1,0),0)</f>
        <v>0</v>
      </c>
      <c r="BQ85" s="23">
        <f>IF($E85&lt;I85,SUM($BQ$25:BQ84)+1,0)</f>
        <v>0</v>
      </c>
      <c r="BR85" s="23">
        <f>IF($E85&lt;J85,SUM($BR$25:BR84)+1,0)</f>
        <v>0</v>
      </c>
      <c r="BS85" s="23">
        <f>IF(OR(AW85="b"),SUM($BS$25:BS84)+1,0)</f>
        <v>0</v>
      </c>
      <c r="BV85" s="23">
        <f t="shared" si="8"/>
        <v>85</v>
      </c>
      <c r="BW85" s="23" t="str">
        <f>IF(ISBLANK(Generator_Info!B76),"Station "&amp;Generator_Info!A76,Generator_Info!B76)</f>
        <v>Station 61</v>
      </c>
    </row>
    <row r="86" spans="1:75" s="23" customFormat="1" ht="12.75">
      <c r="A86" s="23">
        <v>62</v>
      </c>
      <c r="B86" s="114">
        <f>IF(ISBLANK(Generator_Info!B77),"",Generator_Info!B77)</f>
      </c>
      <c r="C86" s="116"/>
      <c r="D86" s="103" t="s">
        <v>8</v>
      </c>
      <c r="E86" s="44"/>
      <c r="F86" s="44"/>
      <c r="G86" s="44"/>
      <c r="H86" s="44"/>
      <c r="I86" s="87">
        <f>IF(AND(F86+G86+H86&lt;=0.005*E86,Generator_Info!J77&lt;&gt;Generator_Info!$K$19),IF(Generator_Info!I77="No",0,Input_Output_Info!F86),Input_Output_Info!F86+Input_Output_Info!H86+IF(Generator_Info!J77=Generator_Info!$K$18,0,Input_Output_Info!G86))</f>
        <v>0</v>
      </c>
      <c r="J86" s="87">
        <f>IF(Generator_Info!J77=Generator_Info!$K$18,0,Input_Output_Info!G86)+IF(Generator_Info!I77="No",0,Input_Output_Info!F86)</f>
        <v>0</v>
      </c>
      <c r="K86" s="88">
        <f>IF(AND(ISBLANK(Generator_Info!C77),ISBLANK(Generator_Info!B77)=FALSE),"n/a",$AX86)</f>
        <v>1</v>
      </c>
      <c r="L86" s="88">
        <f>IF(OR($G$3=$Z$25,AND(ISBLANK(Generator_Info!D77),ISBLANK(Generator_Info!B77)=FALSE)),"n/a",$AX86)</f>
        <v>1</v>
      </c>
      <c r="M86" s="49">
        <f>IF(OR($AJ$43="Yes",ISBLANK(Generator_Info!C77)),0,((E86-I86)*IF(K86="n/a",1,K86))/1000)</f>
        <v>0</v>
      </c>
      <c r="N86" s="49">
        <f>IF(OR($G$3=$Z$25,$AJ$44="Yes",ISBLANK(Generator_Info!D77)),0,((E86-J86)*IF(L86="n/a",1,L86))/1000)</f>
        <v>0</v>
      </c>
      <c r="O86" s="86"/>
      <c r="P86" s="86"/>
      <c r="Q86" s="86"/>
      <c r="R86" s="86"/>
      <c r="S86" s="86"/>
      <c r="T86" s="86"/>
      <c r="U86" s="86"/>
      <c r="V86" s="86"/>
      <c r="W86" s="86"/>
      <c r="X86" s="86"/>
      <c r="AV86" s="23">
        <f>RIGHT(Generator_Info!C77,3)</f>
      </c>
      <c r="AW86" s="23" t="str">
        <f>IF(LEN(Generator_Info!C77)=10,LEFT(AV86,1),"Unknown")</f>
        <v>Unknown</v>
      </c>
      <c r="AX86" s="23">
        <f t="shared" si="4"/>
        <v>1</v>
      </c>
      <c r="AY86" s="23">
        <f t="shared" si="5"/>
        <v>0</v>
      </c>
      <c r="AZ86" s="23">
        <f t="shared" si="0"/>
        <v>0</v>
      </c>
      <c r="BB86" s="23">
        <f>IF(OR(AW86="b",AW86="n"),SUM($BB$25:BB85)+1,0)</f>
        <v>0</v>
      </c>
      <c r="BM86" s="23">
        <f>IF(E86&lt;&gt;0,IF(D86="please answer",SUM($BM$25:BM85)+1,0),0)</f>
        <v>0</v>
      </c>
      <c r="BN86" s="23">
        <f>IF($E86&lt;&gt;0,IF(ISBLANK(F86),SUM($BN$25:BN85)+1,0),0)</f>
        <v>0</v>
      </c>
      <c r="BO86" s="23">
        <f>IF(AND($E86&lt;&gt;0,ISBLANK(G86)=TRUE,Generator_Info!J77&lt;&gt;Generator_Info!$K$19),SUM($BO$25:BO85)+1,0)</f>
        <v>0</v>
      </c>
      <c r="BP86" s="23">
        <f>IF($E86&lt;&gt;0,IF(ISBLANK(H86),SUM($BP$25:BP85)+1,0),0)</f>
        <v>0</v>
      </c>
      <c r="BQ86" s="23">
        <f>IF($E86&lt;I86,SUM($BQ$25:BQ85)+1,0)</f>
        <v>0</v>
      </c>
      <c r="BR86" s="23">
        <f>IF($E86&lt;J86,SUM($BR$25:BR85)+1,0)</f>
        <v>0</v>
      </c>
      <c r="BS86" s="23">
        <f>IF(OR(AW86="b"),SUM($BS$25:BS85)+1,0)</f>
        <v>0</v>
      </c>
      <c r="BV86" s="23">
        <f t="shared" si="8"/>
        <v>86</v>
      </c>
      <c r="BW86" s="23" t="str">
        <f>IF(ISBLANK(Generator_Info!B77),"Station "&amp;Generator_Info!A77,Generator_Info!B77)</f>
        <v>Station 62</v>
      </c>
    </row>
    <row r="87" spans="1:75" s="23" customFormat="1" ht="12.75">
      <c r="A87" s="23">
        <v>63</v>
      </c>
      <c r="B87" s="114">
        <f>IF(ISBLANK(Generator_Info!B78),"",Generator_Info!B78)</f>
      </c>
      <c r="C87" s="116"/>
      <c r="D87" s="103" t="s">
        <v>8</v>
      </c>
      <c r="E87" s="44"/>
      <c r="F87" s="44"/>
      <c r="G87" s="44"/>
      <c r="H87" s="44"/>
      <c r="I87" s="87">
        <f>IF(AND(F87+G87+H87&lt;=0.005*E87,Generator_Info!J78&lt;&gt;Generator_Info!$K$19),IF(Generator_Info!I78="No",0,Input_Output_Info!F87),Input_Output_Info!F87+Input_Output_Info!H87+IF(Generator_Info!J78=Generator_Info!$K$18,0,Input_Output_Info!G87))</f>
        <v>0</v>
      </c>
      <c r="J87" s="87">
        <f>IF(Generator_Info!J78=Generator_Info!$K$18,0,Input_Output_Info!G87)+IF(Generator_Info!I78="No",0,Input_Output_Info!F87)</f>
        <v>0</v>
      </c>
      <c r="K87" s="88">
        <f>IF(AND(ISBLANK(Generator_Info!C78),ISBLANK(Generator_Info!B78)=FALSE),"n/a",$AX87)</f>
        <v>1</v>
      </c>
      <c r="L87" s="88">
        <f>IF(OR($G$3=$Z$25,AND(ISBLANK(Generator_Info!D78),ISBLANK(Generator_Info!B78)=FALSE)),"n/a",$AX87)</f>
        <v>1</v>
      </c>
      <c r="M87" s="49">
        <f>IF(OR($AJ$43="Yes",ISBLANK(Generator_Info!C78)),0,((E87-I87)*IF(K87="n/a",1,K87))/1000)</f>
        <v>0</v>
      </c>
      <c r="N87" s="49">
        <f>IF(OR($G$3=$Z$25,$AJ$44="Yes",ISBLANK(Generator_Info!D78)),0,((E87-J87)*IF(L87="n/a",1,L87))/1000)</f>
        <v>0</v>
      </c>
      <c r="O87" s="86"/>
      <c r="P87" s="86"/>
      <c r="Q87" s="86"/>
      <c r="R87" s="86"/>
      <c r="S87" s="86"/>
      <c r="T87" s="86"/>
      <c r="U87" s="86"/>
      <c r="V87" s="86"/>
      <c r="W87" s="86"/>
      <c r="X87" s="86"/>
      <c r="AV87" s="23">
        <f>RIGHT(Generator_Info!C78,3)</f>
      </c>
      <c r="AW87" s="23" t="str">
        <f>IF(LEN(Generator_Info!C78)=10,LEFT(AV87,1),"Unknown")</f>
        <v>Unknown</v>
      </c>
      <c r="AX87" s="23">
        <f t="shared" si="4"/>
        <v>1</v>
      </c>
      <c r="AY87" s="23">
        <f t="shared" si="5"/>
        <v>0</v>
      </c>
      <c r="AZ87" s="23">
        <f t="shared" si="0"/>
        <v>0</v>
      </c>
      <c r="BB87" s="23">
        <f>IF(OR(AW87="b",AW87="n"),SUM($BB$25:BB86)+1,0)</f>
        <v>0</v>
      </c>
      <c r="BM87" s="23">
        <f>IF(E87&lt;&gt;0,IF(D87="please answer",SUM($BM$25:BM86)+1,0),0)</f>
        <v>0</v>
      </c>
      <c r="BN87" s="23">
        <f>IF($E87&lt;&gt;0,IF(ISBLANK(F87),SUM($BN$25:BN86)+1,0),0)</f>
        <v>0</v>
      </c>
      <c r="BO87" s="23">
        <f>IF(AND($E87&lt;&gt;0,ISBLANK(G87)=TRUE,Generator_Info!J78&lt;&gt;Generator_Info!$K$19),SUM($BO$25:BO86)+1,0)</f>
        <v>0</v>
      </c>
      <c r="BP87" s="23">
        <f>IF($E87&lt;&gt;0,IF(ISBLANK(H87),SUM($BP$25:BP86)+1,0),0)</f>
        <v>0</v>
      </c>
      <c r="BQ87" s="23">
        <f>IF($E87&lt;I87,SUM($BQ$25:BQ86)+1,0)</f>
        <v>0</v>
      </c>
      <c r="BR87" s="23">
        <f>IF($E87&lt;J87,SUM($BR$25:BR86)+1,0)</f>
        <v>0</v>
      </c>
      <c r="BS87" s="23">
        <f>IF(OR(AW87="b"),SUM($BS$25:BS86)+1,0)</f>
        <v>0</v>
      </c>
      <c r="BV87" s="23">
        <f t="shared" si="8"/>
        <v>87</v>
      </c>
      <c r="BW87" s="23" t="str">
        <f>IF(ISBLANK(Generator_Info!B78),"Station "&amp;Generator_Info!A78,Generator_Info!B78)</f>
        <v>Station 63</v>
      </c>
    </row>
    <row r="88" spans="1:75" s="23" customFormat="1" ht="12.75">
      <c r="A88" s="23">
        <v>64</v>
      </c>
      <c r="B88" s="114">
        <f>IF(ISBLANK(Generator_Info!B79),"",Generator_Info!B79)</f>
      </c>
      <c r="C88" s="116"/>
      <c r="D88" s="103" t="s">
        <v>8</v>
      </c>
      <c r="E88" s="44"/>
      <c r="F88" s="44"/>
      <c r="G88" s="44"/>
      <c r="H88" s="44"/>
      <c r="I88" s="87">
        <f>IF(AND(F88+G88+H88&lt;=0.005*E88,Generator_Info!J79&lt;&gt;Generator_Info!$K$19),IF(Generator_Info!I79="No",0,Input_Output_Info!F88),Input_Output_Info!F88+Input_Output_Info!H88+IF(Generator_Info!J79=Generator_Info!$K$18,0,Input_Output_Info!G88))</f>
        <v>0</v>
      </c>
      <c r="J88" s="87">
        <f>IF(Generator_Info!J79=Generator_Info!$K$18,0,Input_Output_Info!G88)+IF(Generator_Info!I79="No",0,Input_Output_Info!F88)</f>
        <v>0</v>
      </c>
      <c r="K88" s="88">
        <f>IF(AND(ISBLANK(Generator_Info!C79),ISBLANK(Generator_Info!B79)=FALSE),"n/a",$AX88)</f>
        <v>1</v>
      </c>
      <c r="L88" s="88">
        <f>IF(OR($G$3=$Z$25,AND(ISBLANK(Generator_Info!D79),ISBLANK(Generator_Info!B79)=FALSE)),"n/a",$AX88)</f>
        <v>1</v>
      </c>
      <c r="M88" s="49">
        <f>IF(OR($AJ$43="Yes",ISBLANK(Generator_Info!C79)),0,((E88-I88)*IF(K88="n/a",1,K88))/1000)</f>
        <v>0</v>
      </c>
      <c r="N88" s="49">
        <f>IF(OR($G$3=$Z$25,$AJ$44="Yes",ISBLANK(Generator_Info!D79)),0,((E88-J88)*IF(L88="n/a",1,L88))/1000)</f>
        <v>0</v>
      </c>
      <c r="O88" s="86"/>
      <c r="P88" s="86"/>
      <c r="Q88" s="86"/>
      <c r="R88" s="86"/>
      <c r="S88" s="86"/>
      <c r="T88" s="86"/>
      <c r="U88" s="86"/>
      <c r="V88" s="86"/>
      <c r="W88" s="86"/>
      <c r="X88" s="86"/>
      <c r="AV88" s="23">
        <f>RIGHT(Generator_Info!C79,3)</f>
      </c>
      <c r="AW88" s="23" t="str">
        <f>IF(LEN(Generator_Info!C79)=10,LEFT(AV88,1),"Unknown")</f>
        <v>Unknown</v>
      </c>
      <c r="AX88" s="23">
        <f t="shared" si="4"/>
        <v>1</v>
      </c>
      <c r="AY88" s="23">
        <f t="shared" si="5"/>
        <v>0</v>
      </c>
      <c r="AZ88" s="23">
        <f t="shared" si="0"/>
        <v>0</v>
      </c>
      <c r="BB88" s="23">
        <f>IF(OR(AW88="b",AW88="n"),SUM($BB$25:BB87)+1,0)</f>
        <v>0</v>
      </c>
      <c r="BM88" s="23">
        <f>IF(E88&lt;&gt;0,IF(D88="please answer",SUM($BM$25:BM87)+1,0),0)</f>
        <v>0</v>
      </c>
      <c r="BN88" s="23">
        <f>IF($E88&lt;&gt;0,IF(ISBLANK(F88),SUM($BN$25:BN87)+1,0),0)</f>
        <v>0</v>
      </c>
      <c r="BO88" s="23">
        <f>IF(AND($E88&lt;&gt;0,ISBLANK(G88)=TRUE,Generator_Info!J79&lt;&gt;Generator_Info!$K$19),SUM($BO$25:BO87)+1,0)</f>
        <v>0</v>
      </c>
      <c r="BP88" s="23">
        <f>IF($E88&lt;&gt;0,IF(ISBLANK(H88),SUM($BP$25:BP87)+1,0),0)</f>
        <v>0</v>
      </c>
      <c r="BQ88" s="23">
        <f>IF($E88&lt;I88,SUM($BQ$25:BQ87)+1,0)</f>
        <v>0</v>
      </c>
      <c r="BR88" s="23">
        <f>IF($E88&lt;J88,SUM($BR$25:BR87)+1,0)</f>
        <v>0</v>
      </c>
      <c r="BS88" s="23">
        <f>IF(OR(AW88="b"),SUM($BS$25:BS87)+1,0)</f>
        <v>0</v>
      </c>
      <c r="BV88" s="23">
        <f t="shared" si="8"/>
        <v>88</v>
      </c>
      <c r="BW88" s="23" t="str">
        <f>IF(ISBLANK(Generator_Info!B79),"Station "&amp;Generator_Info!A79,Generator_Info!B79)</f>
        <v>Station 64</v>
      </c>
    </row>
    <row r="89" spans="1:75" s="23" customFormat="1" ht="12.75">
      <c r="A89" s="23">
        <v>65</v>
      </c>
      <c r="B89" s="114">
        <f>IF(ISBLANK(Generator_Info!B80),"",Generator_Info!B80)</f>
      </c>
      <c r="C89" s="116"/>
      <c r="D89" s="103" t="s">
        <v>8</v>
      </c>
      <c r="E89" s="44"/>
      <c r="F89" s="44"/>
      <c r="G89" s="44"/>
      <c r="H89" s="44"/>
      <c r="I89" s="87">
        <f>IF(AND(F89+G89+H89&lt;=0.005*E89,Generator_Info!J80&lt;&gt;Generator_Info!$K$19),IF(Generator_Info!I80="No",0,Input_Output_Info!F89),Input_Output_Info!F89+Input_Output_Info!H89+IF(Generator_Info!J80=Generator_Info!$K$18,0,Input_Output_Info!G89))</f>
        <v>0</v>
      </c>
      <c r="J89" s="87">
        <f>IF(Generator_Info!J80=Generator_Info!$K$18,0,Input_Output_Info!G89)+IF(Generator_Info!I80="No",0,Input_Output_Info!F89)</f>
        <v>0</v>
      </c>
      <c r="K89" s="88">
        <f>IF(AND(ISBLANK(Generator_Info!C80),ISBLANK(Generator_Info!B80)=FALSE),"n/a",$AX89)</f>
        <v>1</v>
      </c>
      <c r="L89" s="88">
        <f>IF(OR($G$3=$Z$25,AND(ISBLANK(Generator_Info!D80),ISBLANK(Generator_Info!B80)=FALSE)),"n/a",$AX89)</f>
        <v>1</v>
      </c>
      <c r="M89" s="49">
        <f>IF(OR($AJ$43="Yes",ISBLANK(Generator_Info!C80)),0,((E89-I89)*IF(K89="n/a",1,K89))/1000)</f>
        <v>0</v>
      </c>
      <c r="N89" s="49">
        <f>IF(OR($G$3=$Z$25,$AJ$44="Yes",ISBLANK(Generator_Info!D80)),0,((E89-J89)*IF(L89="n/a",1,L89))/1000)</f>
        <v>0</v>
      </c>
      <c r="O89" s="86"/>
      <c r="P89" s="86"/>
      <c r="Q89" s="86"/>
      <c r="R89" s="86"/>
      <c r="S89" s="86"/>
      <c r="T89" s="86"/>
      <c r="U89" s="86"/>
      <c r="V89" s="86"/>
      <c r="W89" s="86"/>
      <c r="X89" s="86"/>
      <c r="AV89" s="23">
        <f>RIGHT(Generator_Info!C80,3)</f>
      </c>
      <c r="AW89" s="23" t="str">
        <f>IF(LEN(Generator_Info!C80)=10,LEFT(AV89,1),"Unknown")</f>
        <v>Unknown</v>
      </c>
      <c r="AX89" s="23">
        <f t="shared" si="4"/>
        <v>1</v>
      </c>
      <c r="AY89" s="23">
        <f t="shared" si="5"/>
        <v>0</v>
      </c>
      <c r="AZ89" s="23">
        <f aca="true" t="shared" si="12" ref="AZ89:AZ104">ROUND(N89,0)</f>
        <v>0</v>
      </c>
      <c r="BB89" s="23">
        <f>IF(OR(AW89="b",AW89="n"),SUM($BB$25:BB88)+1,0)</f>
        <v>0</v>
      </c>
      <c r="BM89" s="23">
        <f>IF(E89&lt;&gt;0,IF(D89="please answer",SUM($BM$25:BM88)+1,0),0)</f>
        <v>0</v>
      </c>
      <c r="BN89" s="23">
        <f>IF($E89&lt;&gt;0,IF(ISBLANK(F89),SUM($BN$25:BN88)+1,0),0)</f>
        <v>0</v>
      </c>
      <c r="BO89" s="23">
        <f>IF(AND($E89&lt;&gt;0,ISBLANK(G89)=TRUE,Generator_Info!J80&lt;&gt;Generator_Info!$K$19),SUM($BO$25:BO88)+1,0)</f>
        <v>0</v>
      </c>
      <c r="BP89" s="23">
        <f>IF($E89&lt;&gt;0,IF(ISBLANK(H89),SUM($BP$25:BP88)+1,0),0)</f>
        <v>0</v>
      </c>
      <c r="BQ89" s="23">
        <f>IF($E89&lt;I89,SUM($BQ$25:BQ88)+1,0)</f>
        <v>0</v>
      </c>
      <c r="BR89" s="23">
        <f>IF($E89&lt;J89,SUM($BR$25:BR88)+1,0)</f>
        <v>0</v>
      </c>
      <c r="BS89" s="23">
        <f>IF(OR(AW89="b"),SUM($BS$25:BS88)+1,0)</f>
        <v>0</v>
      </c>
      <c r="BV89" s="23">
        <f t="shared" si="8"/>
        <v>89</v>
      </c>
      <c r="BW89" s="23" t="str">
        <f>IF(ISBLANK(Generator_Info!B80),"Station "&amp;Generator_Info!A80,Generator_Info!B80)</f>
        <v>Station 65</v>
      </c>
    </row>
    <row r="90" spans="1:75" s="23" customFormat="1" ht="12.75">
      <c r="A90" s="23">
        <v>66</v>
      </c>
      <c r="B90" s="114">
        <f>IF(ISBLANK(Generator_Info!B81),"",Generator_Info!B81)</f>
      </c>
      <c r="C90" s="116"/>
      <c r="D90" s="103" t="s">
        <v>8</v>
      </c>
      <c r="E90" s="44"/>
      <c r="F90" s="44"/>
      <c r="G90" s="44"/>
      <c r="H90" s="44"/>
      <c r="I90" s="87">
        <f>IF(AND(F90+G90+H90&lt;=0.005*E90,Generator_Info!J81&lt;&gt;Generator_Info!$K$19),IF(Generator_Info!I81="No",0,Input_Output_Info!F90),Input_Output_Info!F90+Input_Output_Info!H90+IF(Generator_Info!J81=Generator_Info!$K$18,0,Input_Output_Info!G90))</f>
        <v>0</v>
      </c>
      <c r="J90" s="87">
        <f>IF(Generator_Info!J81=Generator_Info!$K$18,0,Input_Output_Info!G90)+IF(Generator_Info!I81="No",0,Input_Output_Info!F90)</f>
        <v>0</v>
      </c>
      <c r="K90" s="88">
        <f>IF(AND(ISBLANK(Generator_Info!C81),ISBLANK(Generator_Info!B81)=FALSE),"n/a",$AX90)</f>
        <v>1</v>
      </c>
      <c r="L90" s="88">
        <f>IF(OR($G$3=$Z$25,AND(ISBLANK(Generator_Info!D81),ISBLANK(Generator_Info!B81)=FALSE)),"n/a",$AX90)</f>
        <v>1</v>
      </c>
      <c r="M90" s="49">
        <f>IF(OR($AJ$43="Yes",ISBLANK(Generator_Info!C81)),0,((E90-I90)*IF(K90="n/a",1,K90))/1000)</f>
        <v>0</v>
      </c>
      <c r="N90" s="49">
        <f>IF(OR($G$3=$Z$25,$AJ$44="Yes",ISBLANK(Generator_Info!D81)),0,((E90-J90)*IF(L90="n/a",1,L90))/1000)</f>
        <v>0</v>
      </c>
      <c r="O90" s="86"/>
      <c r="P90" s="86"/>
      <c r="Q90" s="86"/>
      <c r="R90" s="86"/>
      <c r="S90" s="86"/>
      <c r="T90" s="86"/>
      <c r="U90" s="86"/>
      <c r="V90" s="86"/>
      <c r="W90" s="86"/>
      <c r="X90" s="86"/>
      <c r="AV90" s="23">
        <f>RIGHT(Generator_Info!C81,3)</f>
      </c>
      <c r="AW90" s="23" t="str">
        <f>IF(LEN(Generator_Info!C81)=10,LEFT(AV90,1),"Unknown")</f>
        <v>Unknown</v>
      </c>
      <c r="AX90" s="23">
        <f aca="true" t="shared" si="13" ref="AX90:AX104">VLOOKUP(AW90,$AC$25:$AD$51,2)</f>
        <v>1</v>
      </c>
      <c r="AY90" s="23">
        <f aca="true" t="shared" si="14" ref="AY90:AY104">ROUND(M90,0)</f>
        <v>0</v>
      </c>
      <c r="AZ90" s="23">
        <f t="shared" si="12"/>
        <v>0</v>
      </c>
      <c r="BB90" s="23">
        <f>IF(OR(AW90="b",AW90="n"),SUM($BB$25:BB89)+1,0)</f>
        <v>0</v>
      </c>
      <c r="BM90" s="23">
        <f>IF(E90&lt;&gt;0,IF(D90="please answer",SUM($BM$25:BM89)+1,0),0)</f>
        <v>0</v>
      </c>
      <c r="BN90" s="23">
        <f>IF($E90&lt;&gt;0,IF(ISBLANK(F90),SUM($BN$25:BN89)+1,0),0)</f>
        <v>0</v>
      </c>
      <c r="BO90" s="23">
        <f>IF(AND($E90&lt;&gt;0,ISBLANK(G90)=TRUE,Generator_Info!J81&lt;&gt;Generator_Info!$K$19),SUM($BO$25:BO89)+1,0)</f>
        <v>0</v>
      </c>
      <c r="BP90" s="23">
        <f>IF($E90&lt;&gt;0,IF(ISBLANK(H90),SUM($BP$25:BP89)+1,0),0)</f>
        <v>0</v>
      </c>
      <c r="BQ90" s="23">
        <f>IF($E90&lt;I90,SUM($BQ$25:BQ89)+1,0)</f>
        <v>0</v>
      </c>
      <c r="BR90" s="23">
        <f>IF($E90&lt;J90,SUM($BR$25:BR89)+1,0)</f>
        <v>0</v>
      </c>
      <c r="BS90" s="23">
        <f>IF(OR(AW90="b"),SUM($BS$25:BS89)+1,0)</f>
        <v>0</v>
      </c>
      <c r="BV90" s="23">
        <f aca="true" t="shared" si="15" ref="BV90:BV104">ROW(B90)</f>
        <v>90</v>
      </c>
      <c r="BW90" s="23" t="str">
        <f>IF(ISBLANK(Generator_Info!B81),"Station "&amp;Generator_Info!A81,Generator_Info!B81)</f>
        <v>Station 66</v>
      </c>
    </row>
    <row r="91" spans="1:75" s="23" customFormat="1" ht="12.75">
      <c r="A91" s="23">
        <v>67</v>
      </c>
      <c r="B91" s="114">
        <f>IF(ISBLANK(Generator_Info!B82),"",Generator_Info!B82)</f>
      </c>
      <c r="C91" s="116"/>
      <c r="D91" s="103" t="s">
        <v>8</v>
      </c>
      <c r="E91" s="44"/>
      <c r="F91" s="44"/>
      <c r="G91" s="44"/>
      <c r="H91" s="44"/>
      <c r="I91" s="87">
        <f>IF(AND(F91+G91+H91&lt;=0.005*E91,Generator_Info!J82&lt;&gt;Generator_Info!$K$19),IF(Generator_Info!I82="No",0,Input_Output_Info!F91),Input_Output_Info!F91+Input_Output_Info!H91+IF(Generator_Info!J82=Generator_Info!$K$18,0,Input_Output_Info!G91))</f>
        <v>0</v>
      </c>
      <c r="J91" s="87">
        <f>IF(Generator_Info!J82=Generator_Info!$K$18,0,Input_Output_Info!G91)+IF(Generator_Info!I82="No",0,Input_Output_Info!F91)</f>
        <v>0</v>
      </c>
      <c r="K91" s="88">
        <f>IF(AND(ISBLANK(Generator_Info!C82),ISBLANK(Generator_Info!B82)=FALSE),"n/a",$AX91)</f>
        <v>1</v>
      </c>
      <c r="L91" s="88">
        <f>IF(OR($G$3=$Z$25,AND(ISBLANK(Generator_Info!D82),ISBLANK(Generator_Info!B82)=FALSE)),"n/a",$AX91)</f>
        <v>1</v>
      </c>
      <c r="M91" s="49">
        <f>IF(OR($AJ$43="Yes",ISBLANK(Generator_Info!C82)),0,((E91-I91)*IF(K91="n/a",1,K91))/1000)</f>
        <v>0</v>
      </c>
      <c r="N91" s="49">
        <f>IF(OR($G$3=$Z$25,$AJ$44="Yes",ISBLANK(Generator_Info!D82)),0,((E91-J91)*IF(L91="n/a",1,L91))/1000)</f>
        <v>0</v>
      </c>
      <c r="O91" s="86"/>
      <c r="P91" s="86"/>
      <c r="Q91" s="86"/>
      <c r="R91" s="86"/>
      <c r="S91" s="86"/>
      <c r="T91" s="86"/>
      <c r="U91" s="86"/>
      <c r="V91" s="86"/>
      <c r="W91" s="86"/>
      <c r="X91" s="86"/>
      <c r="AV91" s="23">
        <f>RIGHT(Generator_Info!C82,3)</f>
      </c>
      <c r="AW91" s="23" t="str">
        <f>IF(LEN(Generator_Info!C82)=10,LEFT(AV91,1),"Unknown")</f>
        <v>Unknown</v>
      </c>
      <c r="AX91" s="23">
        <f t="shared" si="13"/>
        <v>1</v>
      </c>
      <c r="AY91" s="23">
        <f t="shared" si="14"/>
        <v>0</v>
      </c>
      <c r="AZ91" s="23">
        <f t="shared" si="12"/>
        <v>0</v>
      </c>
      <c r="BB91" s="23">
        <f>IF(OR(AW91="b",AW91="n"),SUM($BB$25:BB90)+1,0)</f>
        <v>0</v>
      </c>
      <c r="BM91" s="23">
        <f>IF(E91&lt;&gt;0,IF(D91="please answer",SUM($BM$25:BM90)+1,0),0)</f>
        <v>0</v>
      </c>
      <c r="BN91" s="23">
        <f>IF($E91&lt;&gt;0,IF(ISBLANK(F91),SUM($BN$25:BN90)+1,0),0)</f>
        <v>0</v>
      </c>
      <c r="BO91" s="23">
        <f>IF(AND($E91&lt;&gt;0,ISBLANK(G91)=TRUE,Generator_Info!J82&lt;&gt;Generator_Info!$K$19),SUM($BO$25:BO90)+1,0)</f>
        <v>0</v>
      </c>
      <c r="BP91" s="23">
        <f>IF($E91&lt;&gt;0,IF(ISBLANK(H91),SUM($BP$25:BP90)+1,0),0)</f>
        <v>0</v>
      </c>
      <c r="BQ91" s="23">
        <f>IF($E91&lt;I91,SUM($BQ$25:BQ90)+1,0)</f>
        <v>0</v>
      </c>
      <c r="BR91" s="23">
        <f>IF($E91&lt;J91,SUM($BR$25:BR90)+1,0)</f>
        <v>0</v>
      </c>
      <c r="BS91" s="23">
        <f>IF(OR(AW91="b"),SUM($BS$25:BS90)+1,0)</f>
        <v>0</v>
      </c>
      <c r="BV91" s="23">
        <f t="shared" si="15"/>
        <v>91</v>
      </c>
      <c r="BW91" s="23" t="str">
        <f>IF(ISBLANK(Generator_Info!B82),"Station "&amp;Generator_Info!A82,Generator_Info!B82)</f>
        <v>Station 67</v>
      </c>
    </row>
    <row r="92" spans="1:75" s="23" customFormat="1" ht="12.75">
      <c r="A92" s="23">
        <v>68</v>
      </c>
      <c r="B92" s="114">
        <f>IF(ISBLANK(Generator_Info!B83),"",Generator_Info!B83)</f>
      </c>
      <c r="C92" s="116"/>
      <c r="D92" s="103" t="s">
        <v>8</v>
      </c>
      <c r="E92" s="44"/>
      <c r="F92" s="44"/>
      <c r="G92" s="44"/>
      <c r="H92" s="44"/>
      <c r="I92" s="87">
        <f>IF(AND(F92+G92+H92&lt;=0.005*E92,Generator_Info!J83&lt;&gt;Generator_Info!$K$19),IF(Generator_Info!I83="No",0,Input_Output_Info!F92),Input_Output_Info!F92+Input_Output_Info!H92+IF(Generator_Info!J83=Generator_Info!$K$18,0,Input_Output_Info!G92))</f>
        <v>0</v>
      </c>
      <c r="J92" s="87">
        <f>IF(Generator_Info!J83=Generator_Info!$K$18,0,Input_Output_Info!G92)+IF(Generator_Info!I83="No",0,Input_Output_Info!F92)</f>
        <v>0</v>
      </c>
      <c r="K92" s="88">
        <f>IF(AND(ISBLANK(Generator_Info!C83),ISBLANK(Generator_Info!B83)=FALSE),"n/a",$AX92)</f>
        <v>1</v>
      </c>
      <c r="L92" s="88">
        <f>IF(OR($G$3=$Z$25,AND(ISBLANK(Generator_Info!D83),ISBLANK(Generator_Info!B83)=FALSE)),"n/a",$AX92)</f>
        <v>1</v>
      </c>
      <c r="M92" s="49">
        <f>IF(OR($AJ$43="Yes",ISBLANK(Generator_Info!C83)),0,((E92-I92)*IF(K92="n/a",1,K92))/1000)</f>
        <v>0</v>
      </c>
      <c r="N92" s="49">
        <f>IF(OR($G$3=$Z$25,$AJ$44="Yes",ISBLANK(Generator_Info!D83)),0,((E92-J92)*IF(L92="n/a",1,L92))/1000)</f>
        <v>0</v>
      </c>
      <c r="O92" s="86"/>
      <c r="P92" s="86"/>
      <c r="Q92" s="86"/>
      <c r="R92" s="86"/>
      <c r="S92" s="86"/>
      <c r="T92" s="86"/>
      <c r="U92" s="86"/>
      <c r="V92" s="86"/>
      <c r="W92" s="86"/>
      <c r="X92" s="86"/>
      <c r="AV92" s="23">
        <f>RIGHT(Generator_Info!C83,3)</f>
      </c>
      <c r="AW92" s="23" t="str">
        <f>IF(LEN(Generator_Info!C83)=10,LEFT(AV92,1),"Unknown")</f>
        <v>Unknown</v>
      </c>
      <c r="AX92" s="23">
        <f t="shared" si="13"/>
        <v>1</v>
      </c>
      <c r="AY92" s="23">
        <f t="shared" si="14"/>
        <v>0</v>
      </c>
      <c r="AZ92" s="23">
        <f t="shared" si="12"/>
        <v>0</v>
      </c>
      <c r="BB92" s="23">
        <f>IF(OR(AW92="b",AW92="n"),SUM($BB$25:BB91)+1,0)</f>
        <v>0</v>
      </c>
      <c r="BM92" s="23">
        <f>IF(E92&lt;&gt;0,IF(D92="please answer",SUM($BM$25:BM91)+1,0),0)</f>
        <v>0</v>
      </c>
      <c r="BN92" s="23">
        <f>IF($E92&lt;&gt;0,IF(ISBLANK(F92),SUM($BN$25:BN91)+1,0),0)</f>
        <v>0</v>
      </c>
      <c r="BO92" s="23">
        <f>IF(AND($E92&lt;&gt;0,ISBLANK(G92)=TRUE,Generator_Info!J83&lt;&gt;Generator_Info!$K$19),SUM($BO$25:BO91)+1,0)</f>
        <v>0</v>
      </c>
      <c r="BP92" s="23">
        <f>IF($E92&lt;&gt;0,IF(ISBLANK(H92),SUM($BP$25:BP91)+1,0),0)</f>
        <v>0</v>
      </c>
      <c r="BQ92" s="23">
        <f>IF($E92&lt;I92,SUM($BQ$25:BQ91)+1,0)</f>
        <v>0</v>
      </c>
      <c r="BR92" s="23">
        <f>IF($E92&lt;J92,SUM($BR$25:BR91)+1,0)</f>
        <v>0</v>
      </c>
      <c r="BS92" s="23">
        <f>IF(OR(AW92="b"),SUM($BS$25:BS91)+1,0)</f>
        <v>0</v>
      </c>
      <c r="BV92" s="23">
        <f t="shared" si="15"/>
        <v>92</v>
      </c>
      <c r="BW92" s="23" t="str">
        <f>IF(ISBLANK(Generator_Info!B83),"Station "&amp;Generator_Info!A83,Generator_Info!B83)</f>
        <v>Station 68</v>
      </c>
    </row>
    <row r="93" spans="1:75" s="23" customFormat="1" ht="12.75">
      <c r="A93" s="23">
        <v>69</v>
      </c>
      <c r="B93" s="114">
        <f>IF(ISBLANK(Generator_Info!B84),"",Generator_Info!B84)</f>
      </c>
      <c r="C93" s="116"/>
      <c r="D93" s="103" t="s">
        <v>8</v>
      </c>
      <c r="E93" s="44"/>
      <c r="F93" s="44"/>
      <c r="G93" s="44"/>
      <c r="H93" s="44"/>
      <c r="I93" s="87">
        <f>IF(AND(F93+G93+H93&lt;=0.005*E93,Generator_Info!J84&lt;&gt;Generator_Info!$K$19),IF(Generator_Info!I84="No",0,Input_Output_Info!F93),Input_Output_Info!F93+Input_Output_Info!H93+IF(Generator_Info!J84=Generator_Info!$K$18,0,Input_Output_Info!G93))</f>
        <v>0</v>
      </c>
      <c r="J93" s="87">
        <f>IF(Generator_Info!J84=Generator_Info!$K$18,0,Input_Output_Info!G93)+IF(Generator_Info!I84="No",0,Input_Output_Info!F93)</f>
        <v>0</v>
      </c>
      <c r="K93" s="88">
        <f>IF(AND(ISBLANK(Generator_Info!C84),ISBLANK(Generator_Info!B84)=FALSE),"n/a",$AX93)</f>
        <v>1</v>
      </c>
      <c r="L93" s="88">
        <f>IF(OR($G$3=$Z$25,AND(ISBLANK(Generator_Info!D84),ISBLANK(Generator_Info!B84)=FALSE)),"n/a",$AX93)</f>
        <v>1</v>
      </c>
      <c r="M93" s="49">
        <f>IF(OR($AJ$43="Yes",ISBLANK(Generator_Info!C84)),0,((E93-I93)*IF(K93="n/a",1,K93))/1000)</f>
        <v>0</v>
      </c>
      <c r="N93" s="49">
        <f>IF(OR($G$3=$Z$25,$AJ$44="Yes",ISBLANK(Generator_Info!D84)),0,((E93-J93)*IF(L93="n/a",1,L93))/1000)</f>
        <v>0</v>
      </c>
      <c r="O93" s="86"/>
      <c r="P93" s="86"/>
      <c r="Q93" s="86"/>
      <c r="R93" s="86"/>
      <c r="S93" s="86"/>
      <c r="T93" s="86"/>
      <c r="U93" s="86"/>
      <c r="V93" s="86"/>
      <c r="W93" s="86"/>
      <c r="X93" s="86"/>
      <c r="AV93" s="23">
        <f>RIGHT(Generator_Info!C84,3)</f>
      </c>
      <c r="AW93" s="23" t="str">
        <f>IF(LEN(Generator_Info!C84)=10,LEFT(AV93,1),"Unknown")</f>
        <v>Unknown</v>
      </c>
      <c r="AX93" s="23">
        <f t="shared" si="13"/>
        <v>1</v>
      </c>
      <c r="AY93" s="23">
        <f t="shared" si="14"/>
        <v>0</v>
      </c>
      <c r="AZ93" s="23">
        <f t="shared" si="12"/>
        <v>0</v>
      </c>
      <c r="BB93" s="23">
        <f>IF(OR(AW93="b",AW93="n"),SUM($BB$25:BB92)+1,0)</f>
        <v>0</v>
      </c>
      <c r="BM93" s="23">
        <f>IF(E93&lt;&gt;0,IF(D93="please answer",SUM($BM$25:BM92)+1,0),0)</f>
        <v>0</v>
      </c>
      <c r="BN93" s="23">
        <f>IF($E93&lt;&gt;0,IF(ISBLANK(F93),SUM($BN$25:BN92)+1,0),0)</f>
        <v>0</v>
      </c>
      <c r="BO93" s="23">
        <f>IF(AND($E93&lt;&gt;0,ISBLANK(G93)=TRUE,Generator_Info!J84&lt;&gt;Generator_Info!$K$19),SUM($BO$25:BO92)+1,0)</f>
        <v>0</v>
      </c>
      <c r="BP93" s="23">
        <f>IF($E93&lt;&gt;0,IF(ISBLANK(H93),SUM($BP$25:BP92)+1,0),0)</f>
        <v>0</v>
      </c>
      <c r="BQ93" s="23">
        <f>IF($E93&lt;I93,SUM($BQ$25:BQ92)+1,0)</f>
        <v>0</v>
      </c>
      <c r="BR93" s="23">
        <f>IF($E93&lt;J93,SUM($BR$25:BR92)+1,0)</f>
        <v>0</v>
      </c>
      <c r="BS93" s="23">
        <f>IF(OR(AW93="b"),SUM($BS$25:BS92)+1,0)</f>
        <v>0</v>
      </c>
      <c r="BV93" s="23">
        <f t="shared" si="15"/>
        <v>93</v>
      </c>
      <c r="BW93" s="23" t="str">
        <f>IF(ISBLANK(Generator_Info!B84),"Station "&amp;Generator_Info!A84,Generator_Info!B84)</f>
        <v>Station 69</v>
      </c>
    </row>
    <row r="94" spans="1:75" s="23" customFormat="1" ht="12.75">
      <c r="A94" s="23">
        <v>70</v>
      </c>
      <c r="B94" s="114">
        <f>IF(ISBLANK(Generator_Info!B85),"",Generator_Info!B85)</f>
      </c>
      <c r="C94" s="116"/>
      <c r="D94" s="103" t="s">
        <v>8</v>
      </c>
      <c r="E94" s="44"/>
      <c r="F94" s="44"/>
      <c r="G94" s="44"/>
      <c r="H94" s="44"/>
      <c r="I94" s="87">
        <f>IF(AND(F94+G94+H94&lt;=0.005*E94,Generator_Info!J85&lt;&gt;Generator_Info!$K$19),IF(Generator_Info!I85="No",0,Input_Output_Info!F94),Input_Output_Info!F94+Input_Output_Info!H94+IF(Generator_Info!J85=Generator_Info!$K$18,0,Input_Output_Info!G94))</f>
        <v>0</v>
      </c>
      <c r="J94" s="87">
        <f>IF(Generator_Info!J85=Generator_Info!$K$18,0,Input_Output_Info!G94)+IF(Generator_Info!I85="No",0,Input_Output_Info!F94)</f>
        <v>0</v>
      </c>
      <c r="K94" s="88">
        <f>IF(AND(ISBLANK(Generator_Info!C85),ISBLANK(Generator_Info!B85)=FALSE),"n/a",$AX94)</f>
        <v>1</v>
      </c>
      <c r="L94" s="88">
        <f>IF(OR($G$3=$Z$25,AND(ISBLANK(Generator_Info!D85),ISBLANK(Generator_Info!B85)=FALSE)),"n/a",$AX94)</f>
        <v>1</v>
      </c>
      <c r="M94" s="49">
        <f>IF(OR($AJ$43="Yes",ISBLANK(Generator_Info!C85)),0,((E94-I94)*IF(K94="n/a",1,K94))/1000)</f>
        <v>0</v>
      </c>
      <c r="N94" s="49">
        <f>IF(OR($G$3=$Z$25,$AJ$44="Yes",ISBLANK(Generator_Info!D85)),0,((E94-J94)*IF(L94="n/a",1,L94))/1000)</f>
        <v>0</v>
      </c>
      <c r="O94" s="86"/>
      <c r="P94" s="86"/>
      <c r="Q94" s="86"/>
      <c r="R94" s="86"/>
      <c r="S94" s="86"/>
      <c r="T94" s="86"/>
      <c r="U94" s="86"/>
      <c r="V94" s="86"/>
      <c r="W94" s="86"/>
      <c r="X94" s="86"/>
      <c r="AV94" s="23">
        <f>RIGHT(Generator_Info!C85,3)</f>
      </c>
      <c r="AW94" s="23" t="str">
        <f>IF(LEN(Generator_Info!C85)=10,LEFT(AV94,1),"Unknown")</f>
        <v>Unknown</v>
      </c>
      <c r="AX94" s="23">
        <f t="shared" si="13"/>
        <v>1</v>
      </c>
      <c r="AY94" s="23">
        <f t="shared" si="14"/>
        <v>0</v>
      </c>
      <c r="AZ94" s="23">
        <f t="shared" si="12"/>
        <v>0</v>
      </c>
      <c r="BB94" s="23">
        <f>IF(OR(AW94="b",AW94="n"),SUM($BB$25:BB93)+1,0)</f>
        <v>0</v>
      </c>
      <c r="BM94" s="23">
        <f>IF(E94&lt;&gt;0,IF(D94="please answer",SUM($BM$25:BM93)+1,0),0)</f>
        <v>0</v>
      </c>
      <c r="BN94" s="23">
        <f>IF($E94&lt;&gt;0,IF(ISBLANK(F94),SUM($BN$25:BN93)+1,0),0)</f>
        <v>0</v>
      </c>
      <c r="BO94" s="23">
        <f>IF(AND($E94&lt;&gt;0,ISBLANK(G94)=TRUE,Generator_Info!J85&lt;&gt;Generator_Info!$K$19),SUM($BO$25:BO93)+1,0)</f>
        <v>0</v>
      </c>
      <c r="BP94" s="23">
        <f>IF($E94&lt;&gt;0,IF(ISBLANK(H94),SUM($BP$25:BP93)+1,0),0)</f>
        <v>0</v>
      </c>
      <c r="BQ94" s="23">
        <f>IF($E94&lt;I94,SUM($BQ$25:BQ93)+1,0)</f>
        <v>0</v>
      </c>
      <c r="BR94" s="23">
        <f>IF($E94&lt;J94,SUM($BR$25:BR93)+1,0)</f>
        <v>0</v>
      </c>
      <c r="BS94" s="23">
        <f>IF(OR(AW94="b"),SUM($BS$25:BS93)+1,0)</f>
        <v>0</v>
      </c>
      <c r="BV94" s="23">
        <f t="shared" si="15"/>
        <v>94</v>
      </c>
      <c r="BW94" s="23" t="str">
        <f>IF(ISBLANK(Generator_Info!B85),"Station "&amp;Generator_Info!A85,Generator_Info!B85)</f>
        <v>Station 70</v>
      </c>
    </row>
    <row r="95" spans="1:75" s="23" customFormat="1" ht="12.75">
      <c r="A95" s="23">
        <v>71</v>
      </c>
      <c r="B95" s="114">
        <f>IF(ISBLANK(Generator_Info!B86),"",Generator_Info!B86)</f>
      </c>
      <c r="C95" s="116"/>
      <c r="D95" s="103" t="s">
        <v>8</v>
      </c>
      <c r="E95" s="44"/>
      <c r="F95" s="44"/>
      <c r="G95" s="44"/>
      <c r="H95" s="44"/>
      <c r="I95" s="87">
        <f>IF(AND(F95+G95+H95&lt;=0.005*E95,Generator_Info!J86&lt;&gt;Generator_Info!$K$19),IF(Generator_Info!I86="No",0,Input_Output_Info!F95),Input_Output_Info!F95+Input_Output_Info!H95+IF(Generator_Info!J86=Generator_Info!$K$18,0,Input_Output_Info!G95))</f>
        <v>0</v>
      </c>
      <c r="J95" s="87">
        <f>IF(Generator_Info!J86=Generator_Info!$K$18,0,Input_Output_Info!G95)+IF(Generator_Info!I86="No",0,Input_Output_Info!F95)</f>
        <v>0</v>
      </c>
      <c r="K95" s="88">
        <f>IF(AND(ISBLANK(Generator_Info!C86),ISBLANK(Generator_Info!B86)=FALSE),"n/a",$AX95)</f>
        <v>1</v>
      </c>
      <c r="L95" s="88">
        <f>IF(OR($G$3=$Z$25,AND(ISBLANK(Generator_Info!D86),ISBLANK(Generator_Info!B86)=FALSE)),"n/a",$AX95)</f>
        <v>1</v>
      </c>
      <c r="M95" s="49">
        <f>IF(OR($AJ$43="Yes",ISBLANK(Generator_Info!C86)),0,((E95-I95)*IF(K95="n/a",1,K95))/1000)</f>
        <v>0</v>
      </c>
      <c r="N95" s="49">
        <f>IF(OR($G$3=$Z$25,$AJ$44="Yes",ISBLANK(Generator_Info!D86)),0,((E95-J95)*IF(L95="n/a",1,L95))/1000)</f>
        <v>0</v>
      </c>
      <c r="O95" s="86"/>
      <c r="P95" s="86"/>
      <c r="Q95" s="86"/>
      <c r="R95" s="86"/>
      <c r="S95" s="86"/>
      <c r="T95" s="86"/>
      <c r="U95" s="86"/>
      <c r="V95" s="86"/>
      <c r="W95" s="86"/>
      <c r="X95" s="86"/>
      <c r="AV95" s="23">
        <f>RIGHT(Generator_Info!C86,3)</f>
      </c>
      <c r="AW95" s="23" t="str">
        <f>IF(LEN(Generator_Info!C86)=10,LEFT(AV95,1),"Unknown")</f>
        <v>Unknown</v>
      </c>
      <c r="AX95" s="23">
        <f t="shared" si="13"/>
        <v>1</v>
      </c>
      <c r="AY95" s="23">
        <f t="shared" si="14"/>
        <v>0</v>
      </c>
      <c r="AZ95" s="23">
        <f t="shared" si="12"/>
        <v>0</v>
      </c>
      <c r="BB95" s="23">
        <f>IF(OR(AW95="b",AW95="n"),SUM($BB$25:BB94)+1,0)</f>
        <v>0</v>
      </c>
      <c r="BM95" s="23">
        <f>IF(E95&lt;&gt;0,IF(D95="please answer",SUM($BM$25:BM94)+1,0),0)</f>
        <v>0</v>
      </c>
      <c r="BN95" s="23">
        <f>IF($E95&lt;&gt;0,IF(ISBLANK(F95),SUM($BN$25:BN94)+1,0),0)</f>
        <v>0</v>
      </c>
      <c r="BO95" s="23">
        <f>IF(AND($E95&lt;&gt;0,ISBLANK(G95)=TRUE,Generator_Info!J86&lt;&gt;Generator_Info!$K$19),SUM($BO$25:BO94)+1,0)</f>
        <v>0</v>
      </c>
      <c r="BP95" s="23">
        <f>IF($E95&lt;&gt;0,IF(ISBLANK(H95),SUM($BP$25:BP94)+1,0),0)</f>
        <v>0</v>
      </c>
      <c r="BQ95" s="23">
        <f>IF($E95&lt;I95,SUM($BQ$25:BQ94)+1,0)</f>
        <v>0</v>
      </c>
      <c r="BR95" s="23">
        <f>IF($E95&lt;J95,SUM($BR$25:BR94)+1,0)</f>
        <v>0</v>
      </c>
      <c r="BS95" s="23">
        <f>IF(OR(AW95="b"),SUM($BS$25:BS94)+1,0)</f>
        <v>0</v>
      </c>
      <c r="BV95" s="23">
        <f t="shared" si="15"/>
        <v>95</v>
      </c>
      <c r="BW95" s="23" t="str">
        <f>IF(ISBLANK(Generator_Info!B86),"Station "&amp;Generator_Info!A86,Generator_Info!B86)</f>
        <v>Station 71</v>
      </c>
    </row>
    <row r="96" spans="1:75" s="23" customFormat="1" ht="12.75">
      <c r="A96" s="23">
        <v>72</v>
      </c>
      <c r="B96" s="114">
        <f>IF(ISBLANK(Generator_Info!B87),"",Generator_Info!B87)</f>
      </c>
      <c r="C96" s="116"/>
      <c r="D96" s="103" t="s">
        <v>8</v>
      </c>
      <c r="E96" s="44"/>
      <c r="F96" s="44"/>
      <c r="G96" s="44"/>
      <c r="H96" s="44"/>
      <c r="I96" s="87">
        <f>IF(AND(F96+G96+H96&lt;=0.005*E96,Generator_Info!J87&lt;&gt;Generator_Info!$K$19),IF(Generator_Info!I87="No",0,Input_Output_Info!F96),Input_Output_Info!F96+Input_Output_Info!H96+IF(Generator_Info!J87=Generator_Info!$K$18,0,Input_Output_Info!G96))</f>
        <v>0</v>
      </c>
      <c r="J96" s="87">
        <f>IF(Generator_Info!J87=Generator_Info!$K$18,0,Input_Output_Info!G96)+IF(Generator_Info!I87="No",0,Input_Output_Info!F96)</f>
        <v>0</v>
      </c>
      <c r="K96" s="88">
        <f>IF(AND(ISBLANK(Generator_Info!C87),ISBLANK(Generator_Info!B87)=FALSE),"n/a",$AX96)</f>
        <v>1</v>
      </c>
      <c r="L96" s="88">
        <f>IF(OR($G$3=$Z$25,AND(ISBLANK(Generator_Info!D87),ISBLANK(Generator_Info!B87)=FALSE)),"n/a",$AX96)</f>
        <v>1</v>
      </c>
      <c r="M96" s="49">
        <f>IF(OR($AJ$43="Yes",ISBLANK(Generator_Info!C87)),0,((E96-I96)*IF(K96="n/a",1,K96))/1000)</f>
        <v>0</v>
      </c>
      <c r="N96" s="49">
        <f>IF(OR($G$3=$Z$25,$AJ$44="Yes",ISBLANK(Generator_Info!D87)),0,((E96-J96)*IF(L96="n/a",1,L96))/1000)</f>
        <v>0</v>
      </c>
      <c r="O96" s="86"/>
      <c r="P96" s="86"/>
      <c r="Q96" s="86"/>
      <c r="R96" s="86"/>
      <c r="S96" s="86"/>
      <c r="T96" s="86"/>
      <c r="U96" s="86"/>
      <c r="V96" s="86"/>
      <c r="W96" s="86"/>
      <c r="X96" s="86"/>
      <c r="AV96" s="23">
        <f>RIGHT(Generator_Info!C87,3)</f>
      </c>
      <c r="AW96" s="23" t="str">
        <f>IF(LEN(Generator_Info!C87)=10,LEFT(AV96,1),"Unknown")</f>
        <v>Unknown</v>
      </c>
      <c r="AX96" s="23">
        <f t="shared" si="13"/>
        <v>1</v>
      </c>
      <c r="AY96" s="23">
        <f t="shared" si="14"/>
        <v>0</v>
      </c>
      <c r="AZ96" s="23">
        <f t="shared" si="12"/>
        <v>0</v>
      </c>
      <c r="BB96" s="23">
        <f>IF(OR(AW96="b",AW96="n"),SUM($BB$25:BB95)+1,0)</f>
        <v>0</v>
      </c>
      <c r="BM96" s="23">
        <f>IF(E96&lt;&gt;0,IF(D96="please answer",SUM($BM$25:BM95)+1,0),0)</f>
        <v>0</v>
      </c>
      <c r="BN96" s="23">
        <f>IF($E96&lt;&gt;0,IF(ISBLANK(F96),SUM($BN$25:BN95)+1,0),0)</f>
        <v>0</v>
      </c>
      <c r="BO96" s="23">
        <f>IF(AND($E96&lt;&gt;0,ISBLANK(G96)=TRUE,Generator_Info!J87&lt;&gt;Generator_Info!$K$19),SUM($BO$25:BO95)+1,0)</f>
        <v>0</v>
      </c>
      <c r="BP96" s="23">
        <f>IF($E96&lt;&gt;0,IF(ISBLANK(H96),SUM($BP$25:BP95)+1,0),0)</f>
        <v>0</v>
      </c>
      <c r="BQ96" s="23">
        <f>IF($E96&lt;I96,SUM($BQ$25:BQ95)+1,0)</f>
        <v>0</v>
      </c>
      <c r="BR96" s="23">
        <f>IF($E96&lt;J96,SUM($BR$25:BR95)+1,0)</f>
        <v>0</v>
      </c>
      <c r="BS96" s="23">
        <f>IF(OR(AW96="b"),SUM($BS$25:BS95)+1,0)</f>
        <v>0</v>
      </c>
      <c r="BV96" s="23">
        <f t="shared" si="15"/>
        <v>96</v>
      </c>
      <c r="BW96" s="23" t="str">
        <f>IF(ISBLANK(Generator_Info!B87),"Station "&amp;Generator_Info!A87,Generator_Info!B87)</f>
        <v>Station 72</v>
      </c>
    </row>
    <row r="97" spans="1:75" s="23" customFormat="1" ht="12.75">
      <c r="A97" s="23">
        <v>73</v>
      </c>
      <c r="B97" s="114">
        <f>IF(ISBLANK(Generator_Info!B88),"",Generator_Info!B88)</f>
      </c>
      <c r="C97" s="116"/>
      <c r="D97" s="103" t="s">
        <v>8</v>
      </c>
      <c r="E97" s="44"/>
      <c r="F97" s="44"/>
      <c r="G97" s="44"/>
      <c r="H97" s="44"/>
      <c r="I97" s="87">
        <f>IF(AND(F97+G97+H97&lt;=0.005*E97,Generator_Info!J88&lt;&gt;Generator_Info!$K$19),IF(Generator_Info!I88="No",0,Input_Output_Info!F97),Input_Output_Info!F97+Input_Output_Info!H97+IF(Generator_Info!J88=Generator_Info!$K$18,0,Input_Output_Info!G97))</f>
        <v>0</v>
      </c>
      <c r="J97" s="87">
        <f>IF(Generator_Info!J88=Generator_Info!$K$18,0,Input_Output_Info!G97)+IF(Generator_Info!I88="No",0,Input_Output_Info!F97)</f>
        <v>0</v>
      </c>
      <c r="K97" s="88">
        <f>IF(AND(ISBLANK(Generator_Info!C88),ISBLANK(Generator_Info!B88)=FALSE),"n/a",$AX97)</f>
        <v>1</v>
      </c>
      <c r="L97" s="88">
        <f>IF(OR($G$3=$Z$25,AND(ISBLANK(Generator_Info!D88),ISBLANK(Generator_Info!B88)=FALSE)),"n/a",$AX97)</f>
        <v>1</v>
      </c>
      <c r="M97" s="49">
        <f>IF(OR($AJ$43="Yes",ISBLANK(Generator_Info!C88)),0,((E97-I97)*IF(K97="n/a",1,K97))/1000)</f>
        <v>0</v>
      </c>
      <c r="N97" s="49">
        <f>IF(OR($G$3=$Z$25,$AJ$44="Yes",ISBLANK(Generator_Info!D88)),0,((E97-J97)*IF(L97="n/a",1,L97))/1000)</f>
        <v>0</v>
      </c>
      <c r="O97" s="86"/>
      <c r="P97" s="86"/>
      <c r="Q97" s="86"/>
      <c r="R97" s="86"/>
      <c r="S97" s="86"/>
      <c r="T97" s="86"/>
      <c r="U97" s="86"/>
      <c r="V97" s="86"/>
      <c r="W97" s="86"/>
      <c r="X97" s="86"/>
      <c r="AV97" s="23">
        <f>RIGHT(Generator_Info!C88,3)</f>
      </c>
      <c r="AW97" s="23" t="str">
        <f>IF(LEN(Generator_Info!C88)=10,LEFT(AV97,1),"Unknown")</f>
        <v>Unknown</v>
      </c>
      <c r="AX97" s="23">
        <f t="shared" si="13"/>
        <v>1</v>
      </c>
      <c r="AY97" s="23">
        <f t="shared" si="14"/>
        <v>0</v>
      </c>
      <c r="AZ97" s="23">
        <f t="shared" si="12"/>
        <v>0</v>
      </c>
      <c r="BB97" s="23">
        <f>IF(OR(AW97="b",AW97="n"),SUM($BB$25:BB96)+1,0)</f>
        <v>0</v>
      </c>
      <c r="BM97" s="23">
        <f>IF(E97&lt;&gt;0,IF(D97="please answer",SUM($BM$25:BM96)+1,0),0)</f>
        <v>0</v>
      </c>
      <c r="BN97" s="23">
        <f>IF($E97&lt;&gt;0,IF(ISBLANK(F97),SUM($BN$25:BN96)+1,0),0)</f>
        <v>0</v>
      </c>
      <c r="BO97" s="23">
        <f>IF(AND($E97&lt;&gt;0,ISBLANK(G97)=TRUE,Generator_Info!J88&lt;&gt;Generator_Info!$K$19),SUM($BO$25:BO96)+1,0)</f>
        <v>0</v>
      </c>
      <c r="BP97" s="23">
        <f>IF($E97&lt;&gt;0,IF(ISBLANK(H97),SUM($BP$25:BP96)+1,0),0)</f>
        <v>0</v>
      </c>
      <c r="BQ97" s="23">
        <f>IF($E97&lt;I97,SUM($BQ$25:BQ96)+1,0)</f>
        <v>0</v>
      </c>
      <c r="BR97" s="23">
        <f>IF($E97&lt;J97,SUM($BR$25:BR96)+1,0)</f>
        <v>0</v>
      </c>
      <c r="BS97" s="23">
        <f>IF(OR(AW97="b"),SUM($BS$25:BS96)+1,0)</f>
        <v>0</v>
      </c>
      <c r="BV97" s="23">
        <f t="shared" si="15"/>
        <v>97</v>
      </c>
      <c r="BW97" s="23" t="str">
        <f>IF(ISBLANK(Generator_Info!B88),"Station "&amp;Generator_Info!A88,Generator_Info!B88)</f>
        <v>Station 73</v>
      </c>
    </row>
    <row r="98" spans="1:75" s="23" customFormat="1" ht="12.75">
      <c r="A98" s="23">
        <v>74</v>
      </c>
      <c r="B98" s="114">
        <f>IF(ISBLANK(Generator_Info!B89),"",Generator_Info!B89)</f>
      </c>
      <c r="C98" s="116"/>
      <c r="D98" s="103" t="s">
        <v>8</v>
      </c>
      <c r="E98" s="44"/>
      <c r="F98" s="44"/>
      <c r="G98" s="44"/>
      <c r="H98" s="44"/>
      <c r="I98" s="87">
        <f>IF(AND(F98+G98+H98&lt;=0.005*E98,Generator_Info!J89&lt;&gt;Generator_Info!$K$19),IF(Generator_Info!I89="No",0,Input_Output_Info!F98),Input_Output_Info!F98+Input_Output_Info!H98+IF(Generator_Info!J89=Generator_Info!$K$18,0,Input_Output_Info!G98))</f>
        <v>0</v>
      </c>
      <c r="J98" s="87">
        <f>IF(Generator_Info!J89=Generator_Info!$K$18,0,Input_Output_Info!G98)+IF(Generator_Info!I89="No",0,Input_Output_Info!F98)</f>
        <v>0</v>
      </c>
      <c r="K98" s="88">
        <f>IF(AND(ISBLANK(Generator_Info!C89),ISBLANK(Generator_Info!B89)=FALSE),"n/a",$AX98)</f>
        <v>1</v>
      </c>
      <c r="L98" s="88">
        <f>IF(OR($G$3=$Z$25,AND(ISBLANK(Generator_Info!D89),ISBLANK(Generator_Info!B89)=FALSE)),"n/a",$AX98)</f>
        <v>1</v>
      </c>
      <c r="M98" s="49">
        <f>IF(OR($AJ$43="Yes",ISBLANK(Generator_Info!C89)),0,((E98-I98)*IF(K98="n/a",1,K98))/1000)</f>
        <v>0</v>
      </c>
      <c r="N98" s="49">
        <f>IF(OR($G$3=$Z$25,$AJ$44="Yes",ISBLANK(Generator_Info!D89)),0,((E98-J98)*IF(L98="n/a",1,L98))/1000)</f>
        <v>0</v>
      </c>
      <c r="O98" s="86"/>
      <c r="P98" s="86"/>
      <c r="Q98" s="86"/>
      <c r="R98" s="86"/>
      <c r="S98" s="86"/>
      <c r="T98" s="86"/>
      <c r="U98" s="86"/>
      <c r="V98" s="86"/>
      <c r="W98" s="86"/>
      <c r="X98" s="86"/>
      <c r="AV98" s="23">
        <f>RIGHT(Generator_Info!C89,3)</f>
      </c>
      <c r="AW98" s="23" t="str">
        <f>IF(LEN(Generator_Info!C89)=10,LEFT(AV98,1),"Unknown")</f>
        <v>Unknown</v>
      </c>
      <c r="AX98" s="23">
        <f t="shared" si="13"/>
        <v>1</v>
      </c>
      <c r="AY98" s="23">
        <f t="shared" si="14"/>
        <v>0</v>
      </c>
      <c r="AZ98" s="23">
        <f t="shared" si="12"/>
        <v>0</v>
      </c>
      <c r="BB98" s="23">
        <f>IF(OR(AW98="b",AW98="n"),SUM($BB$25:BB97)+1,0)</f>
        <v>0</v>
      </c>
      <c r="BM98" s="23">
        <f>IF(E98&lt;&gt;0,IF(D98="please answer",SUM($BM$25:BM97)+1,0),0)</f>
        <v>0</v>
      </c>
      <c r="BN98" s="23">
        <f>IF($E98&lt;&gt;0,IF(ISBLANK(F98),SUM($BN$25:BN97)+1,0),0)</f>
        <v>0</v>
      </c>
      <c r="BO98" s="23">
        <f>IF(AND($E98&lt;&gt;0,ISBLANK(G98)=TRUE,Generator_Info!J89&lt;&gt;Generator_Info!$K$19),SUM($BO$25:BO97)+1,0)</f>
        <v>0</v>
      </c>
      <c r="BP98" s="23">
        <f>IF($E98&lt;&gt;0,IF(ISBLANK(H98),SUM($BP$25:BP97)+1,0),0)</f>
        <v>0</v>
      </c>
      <c r="BQ98" s="23">
        <f>IF($E98&lt;I98,SUM($BQ$25:BQ97)+1,0)</f>
        <v>0</v>
      </c>
      <c r="BR98" s="23">
        <f>IF($E98&lt;J98,SUM($BR$25:BR97)+1,0)</f>
        <v>0</v>
      </c>
      <c r="BS98" s="23">
        <f>IF(OR(AW98="b"),SUM($BS$25:BS97)+1,0)</f>
        <v>0</v>
      </c>
      <c r="BV98" s="23">
        <f t="shared" si="15"/>
        <v>98</v>
      </c>
      <c r="BW98" s="23" t="str">
        <f>IF(ISBLANK(Generator_Info!B89),"Station "&amp;Generator_Info!A89,Generator_Info!B89)</f>
        <v>Station 74</v>
      </c>
    </row>
    <row r="99" spans="1:75" s="23" customFormat="1" ht="12.75">
      <c r="A99" s="23">
        <v>75</v>
      </c>
      <c r="B99" s="114">
        <f>IF(ISBLANK(Generator_Info!B90),"",Generator_Info!B90)</f>
      </c>
      <c r="C99" s="116"/>
      <c r="D99" s="103" t="s">
        <v>8</v>
      </c>
      <c r="E99" s="44"/>
      <c r="F99" s="44"/>
      <c r="G99" s="44"/>
      <c r="H99" s="44"/>
      <c r="I99" s="87">
        <f>IF(AND(F99+G99+H99&lt;=0.005*E99,Generator_Info!J90&lt;&gt;Generator_Info!$K$19),IF(Generator_Info!I90="No",0,Input_Output_Info!F99),Input_Output_Info!F99+Input_Output_Info!H99+IF(Generator_Info!J90=Generator_Info!$K$18,0,Input_Output_Info!G99))</f>
        <v>0</v>
      </c>
      <c r="J99" s="87">
        <f>IF(Generator_Info!J90=Generator_Info!$K$18,0,Input_Output_Info!G99)+IF(Generator_Info!I90="No",0,Input_Output_Info!F99)</f>
        <v>0</v>
      </c>
      <c r="K99" s="88">
        <f>IF(AND(ISBLANK(Generator_Info!C90),ISBLANK(Generator_Info!B90)=FALSE),"n/a",$AX99)</f>
        <v>1</v>
      </c>
      <c r="L99" s="88">
        <f>IF(OR($G$3=$Z$25,AND(ISBLANK(Generator_Info!D90),ISBLANK(Generator_Info!B90)=FALSE)),"n/a",$AX99)</f>
        <v>1</v>
      </c>
      <c r="M99" s="49">
        <f>IF(OR($AJ$43="Yes",ISBLANK(Generator_Info!C90)),0,((E99-I99)*IF(K99="n/a",1,K99))/1000)</f>
        <v>0</v>
      </c>
      <c r="N99" s="49">
        <f>IF(OR($G$3=$Z$25,$AJ$44="Yes",ISBLANK(Generator_Info!D90)),0,((E99-J99)*IF(L99="n/a",1,L99))/1000)</f>
        <v>0</v>
      </c>
      <c r="O99" s="86"/>
      <c r="P99" s="86"/>
      <c r="Q99" s="86"/>
      <c r="R99" s="86"/>
      <c r="S99" s="86"/>
      <c r="T99" s="86"/>
      <c r="U99" s="86"/>
      <c r="V99" s="86"/>
      <c r="W99" s="86"/>
      <c r="X99" s="86"/>
      <c r="AV99" s="23">
        <f>RIGHT(Generator_Info!C90,3)</f>
      </c>
      <c r="AW99" s="23" t="str">
        <f>IF(LEN(Generator_Info!C90)=10,LEFT(AV99,1),"Unknown")</f>
        <v>Unknown</v>
      </c>
      <c r="AX99" s="23">
        <f t="shared" si="13"/>
        <v>1</v>
      </c>
      <c r="AY99" s="23">
        <f t="shared" si="14"/>
        <v>0</v>
      </c>
      <c r="AZ99" s="23">
        <f t="shared" si="12"/>
        <v>0</v>
      </c>
      <c r="BB99" s="23">
        <f>IF(OR(AW99="b",AW99="n"),SUM($BB$25:BB98)+1,0)</f>
        <v>0</v>
      </c>
      <c r="BM99" s="23">
        <f>IF(E99&lt;&gt;0,IF(D99="please answer",SUM($BM$25:BM98)+1,0),0)</f>
        <v>0</v>
      </c>
      <c r="BN99" s="23">
        <f>IF($E99&lt;&gt;0,IF(ISBLANK(F99),SUM($BN$25:BN98)+1,0),0)</f>
        <v>0</v>
      </c>
      <c r="BO99" s="23">
        <f>IF(AND($E99&lt;&gt;0,ISBLANK(G99)=TRUE,Generator_Info!J90&lt;&gt;Generator_Info!$K$19),SUM($BO$25:BO98)+1,0)</f>
        <v>0</v>
      </c>
      <c r="BP99" s="23">
        <f>IF($E99&lt;&gt;0,IF(ISBLANK(H99),SUM($BP$25:BP98)+1,0),0)</f>
        <v>0</v>
      </c>
      <c r="BQ99" s="23">
        <f>IF($E99&lt;I99,SUM($BQ$25:BQ98)+1,0)</f>
        <v>0</v>
      </c>
      <c r="BR99" s="23">
        <f>IF($E99&lt;J99,SUM($BR$25:BR98)+1,0)</f>
        <v>0</v>
      </c>
      <c r="BS99" s="23">
        <f>IF(OR(AW99="b"),SUM($BS$25:BS98)+1,0)</f>
        <v>0</v>
      </c>
      <c r="BV99" s="23">
        <f t="shared" si="15"/>
        <v>99</v>
      </c>
      <c r="BW99" s="23" t="str">
        <f>IF(ISBLANK(Generator_Info!B90),"Station "&amp;Generator_Info!A90,Generator_Info!B90)</f>
        <v>Station 75</v>
      </c>
    </row>
    <row r="100" spans="1:75" s="23" customFormat="1" ht="12.75">
      <c r="A100" s="23">
        <v>76</v>
      </c>
      <c r="B100" s="114">
        <f>IF(ISBLANK(Generator_Info!B91),"",Generator_Info!B91)</f>
      </c>
      <c r="C100" s="116"/>
      <c r="D100" s="103" t="s">
        <v>8</v>
      </c>
      <c r="E100" s="44"/>
      <c r="F100" s="44"/>
      <c r="G100" s="44"/>
      <c r="H100" s="44"/>
      <c r="I100" s="87">
        <f>IF(AND(F100+G100+H100&lt;=0.005*E100,Generator_Info!J91&lt;&gt;Generator_Info!$K$19),IF(Generator_Info!I91="No",0,Input_Output_Info!F100),Input_Output_Info!F100+Input_Output_Info!H100+IF(Generator_Info!J91=Generator_Info!$K$18,0,Input_Output_Info!G100))</f>
        <v>0</v>
      </c>
      <c r="J100" s="87">
        <f>IF(Generator_Info!J91=Generator_Info!$K$18,0,Input_Output_Info!G100)+IF(Generator_Info!I91="No",0,Input_Output_Info!F100)</f>
        <v>0</v>
      </c>
      <c r="K100" s="88">
        <f>IF(AND(ISBLANK(Generator_Info!C91),ISBLANK(Generator_Info!B91)=FALSE),"n/a",$AX100)</f>
        <v>1</v>
      </c>
      <c r="L100" s="88">
        <f>IF(OR($G$3=$Z$25,AND(ISBLANK(Generator_Info!D91),ISBLANK(Generator_Info!B91)=FALSE)),"n/a",$AX100)</f>
        <v>1</v>
      </c>
      <c r="M100" s="49">
        <f>IF(OR($AJ$43="Yes",ISBLANK(Generator_Info!C91)),0,((E100-I100)*IF(K100="n/a",1,K100))/1000)</f>
        <v>0</v>
      </c>
      <c r="N100" s="49">
        <f>IF(OR($G$3=$Z$25,$AJ$44="Yes",ISBLANK(Generator_Info!D91)),0,((E100-J100)*IF(L100="n/a",1,L100))/1000)</f>
        <v>0</v>
      </c>
      <c r="O100" s="86"/>
      <c r="P100" s="86"/>
      <c r="Q100" s="86"/>
      <c r="R100" s="86"/>
      <c r="S100" s="86"/>
      <c r="T100" s="86"/>
      <c r="U100" s="86"/>
      <c r="V100" s="86"/>
      <c r="W100" s="86"/>
      <c r="X100" s="86"/>
      <c r="AV100" s="23">
        <f>RIGHT(Generator_Info!C91,3)</f>
      </c>
      <c r="AW100" s="23" t="str">
        <f>IF(LEN(Generator_Info!C91)=10,LEFT(AV100,1),"Unknown")</f>
        <v>Unknown</v>
      </c>
      <c r="AX100" s="23">
        <f t="shared" si="13"/>
        <v>1</v>
      </c>
      <c r="AY100" s="23">
        <f t="shared" si="14"/>
        <v>0</v>
      </c>
      <c r="AZ100" s="23">
        <f t="shared" si="12"/>
        <v>0</v>
      </c>
      <c r="BB100" s="23">
        <f>IF(OR(AW100="b",AW100="n"),SUM($BB$25:BB99)+1,0)</f>
        <v>0</v>
      </c>
      <c r="BM100" s="23">
        <f>IF(E100&lt;&gt;0,IF(D100="please answer",SUM($BM$25:BM99)+1,0),0)</f>
        <v>0</v>
      </c>
      <c r="BN100" s="23">
        <f>IF($E100&lt;&gt;0,IF(ISBLANK(F100),SUM($BN$25:BN99)+1,0),0)</f>
        <v>0</v>
      </c>
      <c r="BO100" s="23">
        <f>IF(AND($E100&lt;&gt;0,ISBLANK(G100)=TRUE,Generator_Info!J91&lt;&gt;Generator_Info!$K$19),SUM($BO$25:BO99)+1,0)</f>
        <v>0</v>
      </c>
      <c r="BP100" s="23">
        <f>IF($E100&lt;&gt;0,IF(ISBLANK(H100),SUM($BP$25:BP99)+1,0),0)</f>
        <v>0</v>
      </c>
      <c r="BQ100" s="23">
        <f>IF($E100&lt;I100,SUM($BQ$25:BQ99)+1,0)</f>
        <v>0</v>
      </c>
      <c r="BR100" s="23">
        <f>IF($E100&lt;J100,SUM($BR$25:BR99)+1,0)</f>
        <v>0</v>
      </c>
      <c r="BS100" s="23">
        <f>IF(OR(AW100="b"),SUM($BS$25:BS99)+1,0)</f>
        <v>0</v>
      </c>
      <c r="BV100" s="23">
        <f t="shared" si="15"/>
        <v>100</v>
      </c>
      <c r="BW100" s="23" t="str">
        <f>IF(ISBLANK(Generator_Info!B91),"Station "&amp;Generator_Info!A91,Generator_Info!B91)</f>
        <v>Station 76</v>
      </c>
    </row>
    <row r="101" spans="1:75" s="23" customFormat="1" ht="12.75">
      <c r="A101" s="23">
        <v>77</v>
      </c>
      <c r="B101" s="114">
        <f>IF(ISBLANK(Generator_Info!B92),"",Generator_Info!B92)</f>
      </c>
      <c r="C101" s="116"/>
      <c r="D101" s="103" t="s">
        <v>8</v>
      </c>
      <c r="E101" s="44"/>
      <c r="F101" s="44"/>
      <c r="G101" s="44"/>
      <c r="H101" s="44"/>
      <c r="I101" s="87">
        <f>IF(AND(F101+G101+H101&lt;=0.005*E101,Generator_Info!J92&lt;&gt;Generator_Info!$K$19),IF(Generator_Info!I92="No",0,Input_Output_Info!F101),Input_Output_Info!F101+Input_Output_Info!H101+IF(Generator_Info!J92=Generator_Info!$K$18,0,Input_Output_Info!G101))</f>
        <v>0</v>
      </c>
      <c r="J101" s="87">
        <f>IF(Generator_Info!J92=Generator_Info!$K$18,0,Input_Output_Info!G101)+IF(Generator_Info!I92="No",0,Input_Output_Info!F101)</f>
        <v>0</v>
      </c>
      <c r="K101" s="88">
        <f>IF(AND(ISBLANK(Generator_Info!C92),ISBLANK(Generator_Info!B92)=FALSE),"n/a",$AX101)</f>
        <v>1</v>
      </c>
      <c r="L101" s="88">
        <f>IF(OR($G$3=$Z$25,AND(ISBLANK(Generator_Info!D92),ISBLANK(Generator_Info!B92)=FALSE)),"n/a",$AX101)</f>
        <v>1</v>
      </c>
      <c r="M101" s="49">
        <f>IF(OR($AJ$43="Yes",ISBLANK(Generator_Info!C92)),0,((E101-I101)*IF(K101="n/a",1,K101))/1000)</f>
        <v>0</v>
      </c>
      <c r="N101" s="49">
        <f>IF(OR($G$3=$Z$25,$AJ$44="Yes",ISBLANK(Generator_Info!D92)),0,((E101-J101)*IF(L101="n/a",1,L101))/1000)</f>
        <v>0</v>
      </c>
      <c r="O101" s="86"/>
      <c r="P101" s="86"/>
      <c r="Q101" s="86"/>
      <c r="R101" s="86"/>
      <c r="S101" s="86"/>
      <c r="T101" s="86"/>
      <c r="U101" s="86"/>
      <c r="V101" s="86"/>
      <c r="W101" s="86"/>
      <c r="X101" s="86"/>
      <c r="AV101" s="23">
        <f>RIGHT(Generator_Info!C92,3)</f>
      </c>
      <c r="AW101" s="23" t="str">
        <f>IF(LEN(Generator_Info!C92)=10,LEFT(AV101,1),"Unknown")</f>
        <v>Unknown</v>
      </c>
      <c r="AX101" s="23">
        <f t="shared" si="13"/>
        <v>1</v>
      </c>
      <c r="AY101" s="23">
        <f t="shared" si="14"/>
        <v>0</v>
      </c>
      <c r="AZ101" s="23">
        <f t="shared" si="12"/>
        <v>0</v>
      </c>
      <c r="BB101" s="23">
        <f>IF(OR(AW101="b",AW101="n"),SUM($BB$25:BB100)+1,0)</f>
        <v>0</v>
      </c>
      <c r="BM101" s="23">
        <f>IF(E101&lt;&gt;0,IF(D101="please answer",SUM($BM$25:BM100)+1,0),0)</f>
        <v>0</v>
      </c>
      <c r="BN101" s="23">
        <f>IF($E101&lt;&gt;0,IF(ISBLANK(F101),SUM($BN$25:BN100)+1,0),0)</f>
        <v>0</v>
      </c>
      <c r="BO101" s="23">
        <f>IF(AND($E101&lt;&gt;0,ISBLANK(G101)=TRUE,Generator_Info!J92&lt;&gt;Generator_Info!$K$19),SUM($BO$25:BO100)+1,0)</f>
        <v>0</v>
      </c>
      <c r="BP101" s="23">
        <f>IF($E101&lt;&gt;0,IF(ISBLANK(H101),SUM($BP$25:BP100)+1,0),0)</f>
        <v>0</v>
      </c>
      <c r="BQ101" s="23">
        <f>IF($E101&lt;I101,SUM($BQ$25:BQ100)+1,0)</f>
        <v>0</v>
      </c>
      <c r="BR101" s="23">
        <f>IF($E101&lt;J101,SUM($BR$25:BR100)+1,0)</f>
        <v>0</v>
      </c>
      <c r="BS101" s="23">
        <f>IF(OR(AW101="b"),SUM($BS$25:BS100)+1,0)</f>
        <v>0</v>
      </c>
      <c r="BV101" s="23">
        <f t="shared" si="15"/>
        <v>101</v>
      </c>
      <c r="BW101" s="23" t="str">
        <f>IF(ISBLANK(Generator_Info!B92),"Station "&amp;Generator_Info!A92,Generator_Info!B92)</f>
        <v>Station 77</v>
      </c>
    </row>
    <row r="102" spans="1:75" s="23" customFormat="1" ht="12.75">
      <c r="A102" s="23">
        <v>78</v>
      </c>
      <c r="B102" s="114">
        <f>IF(ISBLANK(Generator_Info!B93),"",Generator_Info!B93)</f>
      </c>
      <c r="C102" s="116"/>
      <c r="D102" s="103" t="s">
        <v>8</v>
      </c>
      <c r="E102" s="44"/>
      <c r="F102" s="44"/>
      <c r="G102" s="44"/>
      <c r="H102" s="44"/>
      <c r="I102" s="87">
        <f>IF(AND(F102+G102+H102&lt;=0.005*E102,Generator_Info!J93&lt;&gt;Generator_Info!$K$19),IF(Generator_Info!I93="No",0,Input_Output_Info!F102),Input_Output_Info!F102+Input_Output_Info!H102+IF(Generator_Info!J93=Generator_Info!$K$18,0,Input_Output_Info!G102))</f>
        <v>0</v>
      </c>
      <c r="J102" s="87">
        <f>IF(Generator_Info!J93=Generator_Info!$K$18,0,Input_Output_Info!G102)+IF(Generator_Info!I93="No",0,Input_Output_Info!F102)</f>
        <v>0</v>
      </c>
      <c r="K102" s="88">
        <f>IF(AND(ISBLANK(Generator_Info!C93),ISBLANK(Generator_Info!B93)=FALSE),"n/a",$AX102)</f>
        <v>1</v>
      </c>
      <c r="L102" s="88">
        <f>IF(OR($G$3=$Z$25,AND(ISBLANK(Generator_Info!D93),ISBLANK(Generator_Info!B93)=FALSE)),"n/a",$AX102)</f>
        <v>1</v>
      </c>
      <c r="M102" s="49">
        <f>IF(OR($AJ$43="Yes",ISBLANK(Generator_Info!C93)),0,((E102-I102)*IF(K102="n/a",1,K102))/1000)</f>
        <v>0</v>
      </c>
      <c r="N102" s="49">
        <f>IF(OR($G$3=$Z$25,$AJ$44="Yes",ISBLANK(Generator_Info!D93)),0,((E102-J102)*IF(L102="n/a",1,L102))/1000)</f>
        <v>0</v>
      </c>
      <c r="O102" s="86"/>
      <c r="P102" s="86"/>
      <c r="Q102" s="86"/>
      <c r="R102" s="86"/>
      <c r="S102" s="86"/>
      <c r="T102" s="86"/>
      <c r="U102" s="86"/>
      <c r="V102" s="86"/>
      <c r="W102" s="86"/>
      <c r="X102" s="86"/>
      <c r="AV102" s="23">
        <f>RIGHT(Generator_Info!C93,3)</f>
      </c>
      <c r="AW102" s="23" t="str">
        <f>IF(LEN(Generator_Info!C93)=10,LEFT(AV102,1),"Unknown")</f>
        <v>Unknown</v>
      </c>
      <c r="AX102" s="23">
        <f t="shared" si="13"/>
        <v>1</v>
      </c>
      <c r="AY102" s="23">
        <f t="shared" si="14"/>
        <v>0</v>
      </c>
      <c r="AZ102" s="23">
        <f t="shared" si="12"/>
        <v>0</v>
      </c>
      <c r="BB102" s="23">
        <f>IF(OR(AW102="b",AW102="n"),SUM($BB$25:BB101)+1,0)</f>
        <v>0</v>
      </c>
      <c r="BM102" s="23">
        <f>IF(E102&lt;&gt;0,IF(D102="please answer",SUM($BM$25:BM101)+1,0),0)</f>
        <v>0</v>
      </c>
      <c r="BN102" s="23">
        <f>IF($E102&lt;&gt;0,IF(ISBLANK(F102),SUM($BN$25:BN101)+1,0),0)</f>
        <v>0</v>
      </c>
      <c r="BO102" s="23">
        <f>IF(AND($E102&lt;&gt;0,ISBLANK(G102)=TRUE,Generator_Info!J93&lt;&gt;Generator_Info!$K$19),SUM($BO$25:BO101)+1,0)</f>
        <v>0</v>
      </c>
      <c r="BP102" s="23">
        <f>IF($E102&lt;&gt;0,IF(ISBLANK(H102),SUM($BP$25:BP101)+1,0),0)</f>
        <v>0</v>
      </c>
      <c r="BQ102" s="23">
        <f>IF($E102&lt;I102,SUM($BQ$25:BQ101)+1,0)</f>
        <v>0</v>
      </c>
      <c r="BR102" s="23">
        <f>IF($E102&lt;J102,SUM($BR$25:BR101)+1,0)</f>
        <v>0</v>
      </c>
      <c r="BS102" s="23">
        <f>IF(OR(AW102="b"),SUM($BS$25:BS101)+1,0)</f>
        <v>0</v>
      </c>
      <c r="BV102" s="23">
        <f t="shared" si="15"/>
        <v>102</v>
      </c>
      <c r="BW102" s="23" t="str">
        <f>IF(ISBLANK(Generator_Info!B93),"Station "&amp;Generator_Info!A93,Generator_Info!B93)</f>
        <v>Station 78</v>
      </c>
    </row>
    <row r="103" spans="1:75" s="23" customFormat="1" ht="12.75">
      <c r="A103" s="23">
        <v>79</v>
      </c>
      <c r="B103" s="114">
        <f>IF(ISBLANK(Generator_Info!B94),"",Generator_Info!B94)</f>
      </c>
      <c r="C103" s="116"/>
      <c r="D103" s="103" t="s">
        <v>8</v>
      </c>
      <c r="E103" s="44"/>
      <c r="F103" s="44"/>
      <c r="G103" s="44"/>
      <c r="H103" s="44"/>
      <c r="I103" s="87">
        <f>IF(AND(F103+G103+H103&lt;=0.005*E103,Generator_Info!J94&lt;&gt;Generator_Info!$K$19),IF(Generator_Info!I94="No",0,Input_Output_Info!F103),Input_Output_Info!F103+Input_Output_Info!H103+IF(Generator_Info!J94=Generator_Info!$K$18,0,Input_Output_Info!G103))</f>
        <v>0</v>
      </c>
      <c r="J103" s="87">
        <f>IF(Generator_Info!J94=Generator_Info!$K$18,0,Input_Output_Info!G103)+IF(Generator_Info!I94="No",0,Input_Output_Info!F103)</f>
        <v>0</v>
      </c>
      <c r="K103" s="88">
        <f>IF(AND(ISBLANK(Generator_Info!C94),ISBLANK(Generator_Info!B94)=FALSE),"n/a",$AX103)</f>
        <v>1</v>
      </c>
      <c r="L103" s="88">
        <f>IF(OR($G$3=$Z$25,AND(ISBLANK(Generator_Info!D94),ISBLANK(Generator_Info!B94)=FALSE)),"n/a",$AX103)</f>
        <v>1</v>
      </c>
      <c r="M103" s="49">
        <f>IF(OR($AJ$43="Yes",ISBLANK(Generator_Info!C94)),0,((E103-I103)*IF(K103="n/a",1,K103))/1000)</f>
        <v>0</v>
      </c>
      <c r="N103" s="49">
        <f>IF(OR($G$3=$Z$25,$AJ$44="Yes",ISBLANK(Generator_Info!D94)),0,((E103-J103)*IF(L103="n/a",1,L103))/1000)</f>
        <v>0</v>
      </c>
      <c r="O103" s="86"/>
      <c r="P103" s="86"/>
      <c r="Q103" s="86"/>
      <c r="R103" s="86"/>
      <c r="S103" s="86"/>
      <c r="T103" s="86"/>
      <c r="U103" s="86"/>
      <c r="V103" s="86"/>
      <c r="W103" s="86"/>
      <c r="X103" s="86"/>
      <c r="AV103" s="23">
        <f>RIGHT(Generator_Info!C94,3)</f>
      </c>
      <c r="AW103" s="23" t="str">
        <f>IF(LEN(Generator_Info!C94)=10,LEFT(AV103,1),"Unknown")</f>
        <v>Unknown</v>
      </c>
      <c r="AX103" s="23">
        <f t="shared" si="13"/>
        <v>1</v>
      </c>
      <c r="AY103" s="23">
        <f t="shared" si="14"/>
        <v>0</v>
      </c>
      <c r="AZ103" s="23">
        <f t="shared" si="12"/>
        <v>0</v>
      </c>
      <c r="BB103" s="23">
        <f>IF(OR(AW103="b",AW103="n"),SUM($BB$25:BB102)+1,0)</f>
        <v>0</v>
      </c>
      <c r="BM103" s="23">
        <f>IF(E103&lt;&gt;0,IF(D103="please answer",SUM($BM$25:BM102)+1,0),0)</f>
        <v>0</v>
      </c>
      <c r="BN103" s="23">
        <f>IF($E103&lt;&gt;0,IF(ISBLANK(F103),SUM($BN$25:BN102)+1,0),0)</f>
        <v>0</v>
      </c>
      <c r="BO103" s="23">
        <f>IF(AND($E103&lt;&gt;0,ISBLANK(G103)=TRUE,Generator_Info!J94&lt;&gt;Generator_Info!$K$19),SUM($BO$25:BO102)+1,0)</f>
        <v>0</v>
      </c>
      <c r="BP103" s="23">
        <f>IF($E103&lt;&gt;0,IF(ISBLANK(H103),SUM($BP$25:BP102)+1,0),0)</f>
        <v>0</v>
      </c>
      <c r="BQ103" s="23">
        <f>IF($E103&lt;I103,SUM($BQ$25:BQ102)+1,0)</f>
        <v>0</v>
      </c>
      <c r="BR103" s="23">
        <f>IF($E103&lt;J103,SUM($BR$25:BR102)+1,0)</f>
        <v>0</v>
      </c>
      <c r="BS103" s="23">
        <f>IF(OR(AW103="b"),SUM($BS$25:BS102)+1,0)</f>
        <v>0</v>
      </c>
      <c r="BV103" s="23">
        <f t="shared" si="15"/>
        <v>103</v>
      </c>
      <c r="BW103" s="23" t="str">
        <f>IF(ISBLANK(Generator_Info!B94),"Station "&amp;Generator_Info!A94,Generator_Info!B94)</f>
        <v>Station 79</v>
      </c>
    </row>
    <row r="104" spans="1:75" s="23" customFormat="1" ht="12.75">
      <c r="A104" s="23">
        <v>80</v>
      </c>
      <c r="B104" s="114">
        <f>IF(ISBLANK(Generator_Info!B95),"",Generator_Info!B95)</f>
      </c>
      <c r="C104" s="116"/>
      <c r="D104" s="103" t="s">
        <v>8</v>
      </c>
      <c r="E104" s="44"/>
      <c r="F104" s="44"/>
      <c r="G104" s="44"/>
      <c r="H104" s="44"/>
      <c r="I104" s="87">
        <f>IF(AND(F104+G104+H104&lt;=0.005*E104,Generator_Info!J95&lt;&gt;Generator_Info!$K$19),IF(Generator_Info!I95="No",0,Input_Output_Info!F104),Input_Output_Info!F104+Input_Output_Info!H104+IF(Generator_Info!J95=Generator_Info!$K$18,0,Input_Output_Info!G104))</f>
        <v>0</v>
      </c>
      <c r="J104" s="87">
        <f>IF(Generator_Info!J95=Generator_Info!$K$18,0,Input_Output_Info!G104)+IF(Generator_Info!I95="No",0,Input_Output_Info!F104)</f>
        <v>0</v>
      </c>
      <c r="K104" s="88">
        <f>IF(AND(ISBLANK(Generator_Info!C95),ISBLANK(Generator_Info!B95)=FALSE),"n/a",$AX104)</f>
        <v>1</v>
      </c>
      <c r="L104" s="88">
        <f>IF(OR($G$3=$Z$25,AND(ISBLANK(Generator_Info!D95),ISBLANK(Generator_Info!B95)=FALSE)),"n/a",$AX104)</f>
        <v>1</v>
      </c>
      <c r="M104" s="49">
        <f>IF(OR($AJ$43="Yes",ISBLANK(Generator_Info!C95)),0,((E104-I104)*IF(K104="n/a",1,K104))/1000)</f>
        <v>0</v>
      </c>
      <c r="N104" s="49">
        <f>IF(OR($G$3=$Z$25,$AJ$44="Yes",ISBLANK(Generator_Info!D95)),0,((E104-J104)*IF(L104="n/a",1,L104))/1000)</f>
        <v>0</v>
      </c>
      <c r="O104" s="86"/>
      <c r="P104" s="86"/>
      <c r="Q104" s="86"/>
      <c r="R104" s="86"/>
      <c r="S104" s="86"/>
      <c r="T104" s="86"/>
      <c r="U104" s="86"/>
      <c r="V104" s="86"/>
      <c r="W104" s="86"/>
      <c r="X104" s="86"/>
      <c r="AV104" s="23">
        <f>RIGHT(Generator_Info!C95,3)</f>
      </c>
      <c r="AW104" s="23" t="str">
        <f>IF(LEN(Generator_Info!C95)=10,LEFT(AV104,1),"Unknown")</f>
        <v>Unknown</v>
      </c>
      <c r="AX104" s="23">
        <f t="shared" si="13"/>
        <v>1</v>
      </c>
      <c r="AY104" s="23">
        <f t="shared" si="14"/>
        <v>0</v>
      </c>
      <c r="AZ104" s="23">
        <f t="shared" si="12"/>
        <v>0</v>
      </c>
      <c r="BB104" s="23">
        <f>IF(OR(AW104="b",AW104="n"),SUM($BB$25:BB103)+1,0)</f>
        <v>0</v>
      </c>
      <c r="BM104" s="23">
        <f>IF(E104&lt;&gt;0,IF(D104="please answer",SUM($BM$25:BM103)+1,0),0)</f>
        <v>0</v>
      </c>
      <c r="BN104" s="23">
        <f>IF($E104&lt;&gt;0,IF(ISBLANK(F104),SUM($BN$25:BN103)+1,0),0)</f>
        <v>0</v>
      </c>
      <c r="BO104" s="23">
        <f>IF(AND($E104&lt;&gt;0,ISBLANK(G104)=TRUE,Generator_Info!J95&lt;&gt;Generator_Info!$K$19),SUM($BO$25:BO103)+1,0)</f>
        <v>0</v>
      </c>
      <c r="BP104" s="23">
        <f>IF($E104&lt;&gt;0,IF(ISBLANK(H104),SUM($BP$25:BP103)+1,0),0)</f>
        <v>0</v>
      </c>
      <c r="BQ104" s="23">
        <f>IF($E104&lt;I104,SUM($BQ$25:BQ103)+1,0)</f>
        <v>0</v>
      </c>
      <c r="BR104" s="23">
        <f>IF($E104&lt;J104,SUM($BR$25:BR103)+1,0)</f>
        <v>0</v>
      </c>
      <c r="BS104" s="23">
        <f>IF(OR(AW104="b"),SUM($BS$25:BS103)+1,0)</f>
        <v>0</v>
      </c>
      <c r="BV104" s="23">
        <f t="shared" si="15"/>
        <v>104</v>
      </c>
      <c r="BW104" s="23" t="str">
        <f>IF(ISBLANK(Generator_Info!B95),"Station "&amp;Generator_Info!A95,Generator_Info!B95)</f>
        <v>Station 80</v>
      </c>
    </row>
    <row r="105" spans="12:75" ht="12.75">
      <c r="L105" s="22" t="s">
        <v>7</v>
      </c>
      <c r="M105" s="49">
        <f>AY105</f>
        <v>0</v>
      </c>
      <c r="N105" s="49">
        <f>AZ105</f>
        <v>0</v>
      </c>
      <c r="O105" s="18"/>
      <c r="P105" s="18"/>
      <c r="Q105" s="18"/>
      <c r="R105" s="18"/>
      <c r="S105" s="18"/>
      <c r="T105" s="18"/>
      <c r="U105" s="18"/>
      <c r="V105" s="18"/>
      <c r="W105" s="18"/>
      <c r="X105" s="18"/>
      <c r="AY105" s="22">
        <f>SUM(AY25:AY104)</f>
        <v>0</v>
      </c>
      <c r="AZ105" s="22">
        <f>SUM(AZ25:AZ104)</f>
        <v>0</v>
      </c>
      <c r="BK105" s="23"/>
      <c r="BL105" s="23"/>
      <c r="BM105" s="23">
        <f>IF(E105&lt;&gt;0,IF(D105="please answer",SUM($BM$25:BM104)+1,0),0)</f>
        <v>0</v>
      </c>
      <c r="BN105" s="23">
        <f>IF($E105&lt;&gt;0,IF(ISBLANK(F105),SUM($BN$25:BN104)+1,0),0)</f>
        <v>0</v>
      </c>
      <c r="BO105" s="23">
        <f>IF(AND($E105&lt;&gt;0,ISBLANK(G105)=TRUE,Generator_Info!J96&lt;&gt;Generator_Info!$K$19),SUM($BO$25:BO104)+1,0)</f>
        <v>0</v>
      </c>
      <c r="BP105" s="23">
        <f>IF($E105&lt;&gt;0,IF(ISBLANK(H105),SUM($BP$25:BP104)+1,0),0)</f>
        <v>0</v>
      </c>
      <c r="BQ105" s="23">
        <f>IF($E105&lt;I105,SUM($BQ$25:BQ104)+1,0)</f>
        <v>0</v>
      </c>
      <c r="BR105" s="23">
        <f>IF($E105&lt;J105,SUM($BR$25:BR104)+1,0)</f>
        <v>0</v>
      </c>
      <c r="BS105" s="23">
        <f>IF(OR(AW105="b"),SUM($BS$25:BS104)+1,0)</f>
        <v>0</v>
      </c>
      <c r="BV105" s="23">
        <f>ROW(B105)</f>
        <v>105</v>
      </c>
      <c r="BW105" s="23"/>
    </row>
    <row r="106" spans="65:73" ht="12.75">
      <c r="BM106" s="22">
        <v>10</v>
      </c>
      <c r="BN106" s="22">
        <f>BM106-1</f>
        <v>9</v>
      </c>
      <c r="BO106" s="22">
        <f aca="true" t="shared" si="16" ref="BO106:BU106">BN106-1</f>
        <v>8</v>
      </c>
      <c r="BP106" s="22">
        <f t="shared" si="16"/>
        <v>7</v>
      </c>
      <c r="BQ106" s="22">
        <f t="shared" si="16"/>
        <v>6</v>
      </c>
      <c r="BR106" s="22">
        <f t="shared" si="16"/>
        <v>5</v>
      </c>
      <c r="BS106" s="22">
        <f t="shared" si="16"/>
        <v>4</v>
      </c>
      <c r="BT106" s="22">
        <f t="shared" si="16"/>
        <v>3</v>
      </c>
      <c r="BU106" s="22">
        <f t="shared" si="16"/>
        <v>2</v>
      </c>
    </row>
    <row r="107" spans="65:73" ht="12.75">
      <c r="BM107" s="22" t="s">
        <v>193</v>
      </c>
      <c r="BN107" s="22" t="s">
        <v>194</v>
      </c>
      <c r="BO107" s="22" t="s">
        <v>195</v>
      </c>
      <c r="BP107" s="22" t="s">
        <v>196</v>
      </c>
      <c r="BQ107" s="22" t="s">
        <v>197</v>
      </c>
      <c r="BR107" s="22" t="s">
        <v>197</v>
      </c>
      <c r="BS107" s="22" t="s">
        <v>199</v>
      </c>
      <c r="BT107" s="22" t="s">
        <v>186</v>
      </c>
      <c r="BU107" s="22" t="s">
        <v>186</v>
      </c>
    </row>
    <row r="108" spans="65:71" ht="12.75">
      <c r="BM108" s="22">
        <f>IF(ISERROR(VLOOKUP(1,BM$25:$BV$105,BM$106,FALSE)),"",BM$107&amp;(VLOOKUP(1,BM$25:$BV$105,BM$106,FALSE))&amp;" ")</f>
      </c>
      <c r="BN108" s="22">
        <f>IF(ISERROR(VLOOKUP(1,BN$25:$BV$105,BN$106,FALSE)),"",BN$107&amp;(VLOOKUP(1,BN$25:$BV$105,BN$106,FALSE))&amp;" ")</f>
      </c>
      <c r="BO108" s="22">
        <f>IF(ISERROR(VLOOKUP(1,BO$25:$BV$105,BO$106,FALSE)),"",BO$107&amp;(VLOOKUP(1,BO$25:$BV$105,BO$106,FALSE))&amp;" ")</f>
      </c>
      <c r="BP108" s="22">
        <f>IF(ISERROR(VLOOKUP(1,BP$25:$BV$105,BP$106,FALSE)),"",BP$107&amp;(VLOOKUP(1,BP$25:$BV$105,BP$106,FALSE))&amp;" ")</f>
      </c>
      <c r="BQ108" s="22">
        <f>IF(ISERROR(VLOOKUP(1,BQ$25:$BV$105,BQ$106,FALSE)),"",BQ$107&amp;(VLOOKUP(1,BQ$25:$BV$105,BQ$106,FALSE))&amp;" ")</f>
      </c>
      <c r="BR108" s="22">
        <f>IF(ISERROR(VLOOKUP(1,BR$25:$BV$105,BR$106,FALSE)),"",BR$107&amp;(VLOOKUP(1,BR$25:$BV$105,BR$106,FALSE))&amp;" ")</f>
      </c>
      <c r="BS108" s="22">
        <f>IF(ISERROR(VLOOKUP(1,BS$25:$BV$105,BS$106,FALSE)),"",BS$107&amp;(VLOOKUP(1,BS$25:$BV$105,BS$106,FALSE))&amp;" ")</f>
      </c>
    </row>
    <row r="109" spans="65:71" ht="12.75">
      <c r="BM109" s="22">
        <f>IF(ISERROR(VLOOKUP(2,BM$25:$BV$105,BM$106,FALSE)),"",BM$107&amp;(VLOOKUP(2,BM$25:$BV$105,BM$106,FALSE))&amp;" ")</f>
      </c>
      <c r="BN109" s="22">
        <f>IF(ISERROR(VLOOKUP(2,BN$25:$BV$105,BN$106,FALSE)),"",BN$107&amp;(VLOOKUP(2,BN$25:$BV$105,BN$106,FALSE))&amp;" ")</f>
      </c>
      <c r="BO109" s="22">
        <f>IF(ISERROR(VLOOKUP(2,BO$25:$BV$105,BO$106,FALSE)),"",BO$107&amp;(VLOOKUP(2,BO$25:$BV$105,BO$106,FALSE))&amp;" ")</f>
      </c>
      <c r="BP109" s="22">
        <f>IF(ISERROR(VLOOKUP(2,BP$25:$BV$105,BP$106,FALSE)),"",BP$107&amp;(VLOOKUP(2,BP$25:$BV$105,BP$106,FALSE))&amp;" ")</f>
      </c>
      <c r="BQ109" s="22">
        <f>IF(ISERROR(VLOOKUP(2,BQ$25:$BV$105,BQ$106,FALSE)),"",BQ$107&amp;(VLOOKUP(2,BQ$25:$BV$105,BQ$106,FALSE))&amp;" ")</f>
      </c>
      <c r="BR109" s="22">
        <f>IF(ISERROR(VLOOKUP(2,BR$25:$BV$105,BR$106,FALSE)),"",BR$107&amp;(VLOOKUP(2,BR$25:$BV$105,BR$106,FALSE))&amp;" ")</f>
      </c>
      <c r="BS109" s="22">
        <f>IF(ISERROR(VLOOKUP(2,BS$25:$BV$105,BS$106,FALSE)),"",BS$107&amp;(VLOOKUP(2,BS$25:$BV$105,BS$106,FALSE))&amp;" ")</f>
      </c>
    </row>
    <row r="110" spans="65:71" ht="12.75">
      <c r="BM110" s="22">
        <f>IF(ISERROR(VLOOKUP(4,BM$25:$BV$105,BM$106,FALSE)),"",BM$107&amp;(VLOOKUP(4,BM$25:$BV$105,BM$106,FALSE))&amp;" ")</f>
      </c>
      <c r="BN110" s="22">
        <f>IF(ISERROR(VLOOKUP(4,BN$25:$BV$105,BN$106,FALSE)),"",BN$107&amp;(VLOOKUP(4,BN$25:$BV$105,BN$106,FALSE))&amp;" ")</f>
      </c>
      <c r="BO110" s="22">
        <f>IF(ISERROR(VLOOKUP(4,BO$25:$BV$105,BO$106,FALSE)),"",BO$107&amp;(VLOOKUP(4,BO$25:$BV$105,BO$106,FALSE))&amp;" ")</f>
      </c>
      <c r="BP110" s="22">
        <f>IF(ISERROR(VLOOKUP(4,BP$25:$BV$105,BP$106,FALSE)),"",BP$107&amp;(VLOOKUP(4,BP$25:$BV$105,BP$106,FALSE))&amp;" ")</f>
      </c>
      <c r="BQ110" s="22">
        <f>IF(ISERROR(VLOOKUP(4,BQ$25:$BV$105,BQ$106,FALSE)),"",BQ$107&amp;(VLOOKUP(4,BQ$25:$BV$105,BQ$106,FALSE))&amp;" ")</f>
      </c>
      <c r="BR110" s="22">
        <f>IF(ISERROR(VLOOKUP(4,BR$25:$BV$105,BR$106,FALSE)),"",BR$107&amp;(VLOOKUP(4,BR$25:$BV$105,BR$106,FALSE))&amp;" ")</f>
      </c>
      <c r="BS110" s="22">
        <f>IF(ISERROR(VLOOKUP(4,BS$25:$BV$105,BS$106,FALSE)),"",BS$107&amp;(VLOOKUP(4,BS$25:$BV$105,BS$106,FALSE))&amp;" ")</f>
      </c>
    </row>
    <row r="111" spans="65:71" ht="12.75">
      <c r="BM111" s="22">
        <f>IF(ISERROR(VLOOKUP(8,BM$25:$BV$105,BM$106,FALSE)),"",BM$107&amp;(VLOOKUP(8,BM$25:$BV$105,BM$106,FALSE))&amp;" ")</f>
      </c>
      <c r="BN111" s="22">
        <f>IF(ISERROR(VLOOKUP(8,BN$25:$BV$105,BN$106,FALSE)),"",BN$107&amp;(VLOOKUP(8,BN$25:$BV$105,BN$106,FALSE))&amp;" ")</f>
      </c>
      <c r="BO111" s="22">
        <f>IF(ISERROR(VLOOKUP(8,BO$25:$BV$105,BO$106,FALSE)),"",BO$107&amp;(VLOOKUP(8,BO$25:$BV$105,BO$106,FALSE))&amp;" ")</f>
      </c>
      <c r="BP111" s="22">
        <f>IF(ISERROR(VLOOKUP(8,BP$25:$BV$105,BP$106,FALSE)),"",BP$107&amp;(VLOOKUP(8,BP$25:$BV$105,BP$106,FALSE))&amp;" ")</f>
      </c>
      <c r="BQ111" s="22">
        <f>IF(ISERROR(VLOOKUP(8,BQ$25:$BV$105,BQ$106,FALSE)),"",BQ$107&amp;(VLOOKUP(8,BQ$25:$BV$105,BQ$106,FALSE))&amp;" ")</f>
      </c>
      <c r="BR111" s="22">
        <f>IF(ISERROR(VLOOKUP(8,BR$25:$BV$105,BR$106,FALSE)),"",BR$107&amp;(VLOOKUP(8,BR$25:$BV$105,BR$106,FALSE))&amp;" ")</f>
      </c>
      <c r="BS111" s="22">
        <f>IF(ISERROR(VLOOKUP(8,BS$25:$BV$105,BS$106,FALSE)),"",BS$107&amp;(VLOOKUP(8,BS$25:$BV$105,BS$106,FALSE))&amp;" ")</f>
      </c>
    </row>
    <row r="112" spans="65:74" ht="12.75">
      <c r="BM112" s="23">
        <f>BM108&amp;BM109&amp;BM110&amp;BM111</f>
      </c>
      <c r="BN112" s="23">
        <f aca="true" t="shared" si="17" ref="BN112:BS112">BN108&amp;BN109&amp;BN110&amp;BN111</f>
      </c>
      <c r="BO112" s="23">
        <f t="shared" si="17"/>
      </c>
      <c r="BP112" s="23">
        <f t="shared" si="17"/>
      </c>
      <c r="BQ112" s="23">
        <f t="shared" si="17"/>
      </c>
      <c r="BR112" s="23">
        <f t="shared" si="17"/>
      </c>
      <c r="BS112" s="23">
        <f t="shared" si="17"/>
      </c>
      <c r="BT112" s="23">
        <f>BT25&amp;BT26&amp;BT27&amp;BT28&amp;BT29&amp;BT30&amp;BT31&amp;BT32&amp;BT33&amp;BT34</f>
      </c>
      <c r="BU112" s="23">
        <f>BU25&amp;BU26&amp;BU27&amp;BU28&amp;BU29&amp;BU30&amp;BU31&amp;BU32&amp;BU33&amp;BU34</f>
      </c>
      <c r="BV112" s="23"/>
    </row>
    <row r="113" spans="65:73" ht="12.75">
      <c r="BM113" s="22">
        <f aca="true" t="shared" si="18" ref="BM113:BS113">SUM(BM25:BM105)</f>
        <v>0</v>
      </c>
      <c r="BN113" s="22">
        <f t="shared" si="18"/>
        <v>0</v>
      </c>
      <c r="BO113" s="22">
        <f t="shared" si="18"/>
        <v>0</v>
      </c>
      <c r="BP113" s="22">
        <f t="shared" si="18"/>
        <v>0</v>
      </c>
      <c r="BQ113" s="22">
        <f t="shared" si="18"/>
        <v>0</v>
      </c>
      <c r="BR113" s="22">
        <f t="shared" si="18"/>
        <v>0</v>
      </c>
      <c r="BS113" s="22">
        <f t="shared" si="18"/>
        <v>0</v>
      </c>
      <c r="BT113" s="22">
        <f>SUM(BT35:BT44)</f>
        <v>0</v>
      </c>
      <c r="BU113" s="22">
        <f>SUM(BU35:BU44)</f>
        <v>0</v>
      </c>
    </row>
    <row r="114" spans="69:70" ht="12.75">
      <c r="BQ114" s="22">
        <f>IF(ISERROR(VLOOKUP(1,BQ$25:$BW$105,BQ$106+1,FALSE)),"",(VLOOKUP(1,BQ$25:$BW$105,BQ$106+1,FALSE))&amp;" ")</f>
      </c>
      <c r="BR114" s="22">
        <f>IF(ISERROR(VLOOKUP(1,BR$25:$BW$105,BR$106+1,FALSE)),"",(VLOOKUP(1,BR$25:$BW$105,BR$106+1,FALSE))&amp;" ")</f>
      </c>
    </row>
    <row r="115" spans="69:70" ht="12.75">
      <c r="BQ115" s="22">
        <f>IF(ISERROR(VLOOKUP(2,BQ$25:$BW$105,BQ$106+1,FALSE)),"","and "&amp;(VLOOKUP(2,BQ$25:$BW$105,BQ$106+1,FALSE))&amp;" ")</f>
      </c>
      <c r="BR115" s="22">
        <f>IF(ISERROR(VLOOKUP(2,BR$25:$BW$105,BR$106+1,FALSE)),"","and "&amp;(VLOOKUP(2,BR$25:$BW$105,BR$106+1,FALSE))&amp;" ")</f>
      </c>
    </row>
    <row r="116" spans="69:70" ht="12.75">
      <c r="BQ116" s="22">
        <f>IF(ISERROR(VLOOKUP(4,BQ$25:$BW$105,BQ$106+1,FALSE)),"","and "&amp;(VLOOKUP(4,BQ$25:$BW$105,BQ$106+1,FALSE))&amp;" ")</f>
      </c>
      <c r="BR116" s="22">
        <f>IF(ISERROR(VLOOKUP(4,BR$25:$BW$105,BR$106+1,FALSE)),"","and "&amp;(VLOOKUP(4,BR$25:$BW$105,BR$106+1,FALSE))&amp;" ")</f>
      </c>
    </row>
    <row r="117" spans="69:70" ht="12.75">
      <c r="BQ117" s="22">
        <f>IF(ISERROR(VLOOKUP(8,BQ$25:$BW$105,BQ$106+1,FALSE)),"","and "&amp;(VLOOKUP(8,BQ$25:$BW$105,BQ$106+1,FALSE))&amp;" ")</f>
      </c>
      <c r="BR117" s="22">
        <f>IF(ISERROR(VLOOKUP(8,BR$25:$BW$105,BR$106+1,FALSE)),"","and "&amp;(VLOOKUP(8,BR$25:$BW$105,BR$106+1,FALSE))&amp;" ")</f>
      </c>
    </row>
    <row r="118" spans="69:70" ht="12.75">
      <c r="BQ118" s="22">
        <f>BQ114&amp;BQ115&amp;BQ116&amp;BQ117</f>
      </c>
      <c r="BR118" s="22">
        <f>BR114&amp;BR115&amp;BR116&amp;BR117</f>
      </c>
    </row>
  </sheetData>
  <sheetProtection password="8197" sheet="1" objects="1" scenarios="1"/>
  <mergeCells count="90">
    <mergeCell ref="C19:D19"/>
    <mergeCell ref="F23:H23"/>
    <mergeCell ref="B104:C104"/>
    <mergeCell ref="B101:C101"/>
    <mergeCell ref="B102:C102"/>
    <mergeCell ref="B103:C103"/>
    <mergeCell ref="B94:C94"/>
    <mergeCell ref="B95:C95"/>
    <mergeCell ref="B88:C88"/>
    <mergeCell ref="B92:C92"/>
    <mergeCell ref="B93:C93"/>
    <mergeCell ref="C18:D18"/>
    <mergeCell ref="C20:D20"/>
    <mergeCell ref="D23:E23"/>
    <mergeCell ref="B89:C89"/>
    <mergeCell ref="B90:C90"/>
    <mergeCell ref="B91:C91"/>
    <mergeCell ref="B84:C84"/>
    <mergeCell ref="B85:C85"/>
    <mergeCell ref="B86:C86"/>
    <mergeCell ref="B100:C100"/>
    <mergeCell ref="B96:C96"/>
    <mergeCell ref="B97:C97"/>
    <mergeCell ref="B98:C98"/>
    <mergeCell ref="B99:C99"/>
    <mergeCell ref="B87:C87"/>
    <mergeCell ref="B80:C80"/>
    <mergeCell ref="B81:C81"/>
    <mergeCell ref="B82:C82"/>
    <mergeCell ref="B83:C83"/>
    <mergeCell ref="B76:C76"/>
    <mergeCell ref="B77:C77"/>
    <mergeCell ref="B78:C78"/>
    <mergeCell ref="B79:C79"/>
    <mergeCell ref="B72:C72"/>
    <mergeCell ref="B73:C73"/>
    <mergeCell ref="B74:C74"/>
    <mergeCell ref="B75:C75"/>
    <mergeCell ref="B68:C68"/>
    <mergeCell ref="B69:C69"/>
    <mergeCell ref="B70:C70"/>
    <mergeCell ref="B71:C71"/>
    <mergeCell ref="B64:C64"/>
    <mergeCell ref="B65:C65"/>
    <mergeCell ref="B66:C66"/>
    <mergeCell ref="B67:C67"/>
    <mergeCell ref="B60:C60"/>
    <mergeCell ref="B61:C61"/>
    <mergeCell ref="B62:C62"/>
    <mergeCell ref="B63:C63"/>
    <mergeCell ref="B56:C56"/>
    <mergeCell ref="B57:C57"/>
    <mergeCell ref="B58:C58"/>
    <mergeCell ref="B59:C59"/>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C14:D14"/>
    <mergeCell ref="C15:D15"/>
    <mergeCell ref="C16:D16"/>
    <mergeCell ref="C17:D17"/>
  </mergeCells>
  <dataValidations count="5">
    <dataValidation type="list" allowBlank="1" showInputMessage="1" showErrorMessage="1" sqref="D25:D104">
      <formula1>$Y$25:$Y$30</formula1>
    </dataValidation>
    <dataValidation type="whole" allowBlank="1" showInputMessage="1" showErrorMessage="1" error="Please enter a positive whole number.  " sqref="E25:E104">
      <formula1>0</formula1>
      <formula2>999999999999</formula2>
    </dataValidation>
    <dataValidation type="whole" allowBlank="1" showInputMessage="1" showErrorMessage="1" error="Please enter a positive whole number.  " sqref="F25:H104">
      <formula1>0</formula1>
      <formula2>999999999</formula2>
    </dataValidation>
    <dataValidation type="list" allowBlank="1" showInputMessage="1" showErrorMessage="1" sqref="G3">
      <formula1>$Z$25:$Z$37</formula1>
    </dataValidation>
    <dataValidation type="list" allowBlank="1" showInputMessage="1" showErrorMessage="1" sqref="H3">
      <formula1>$AA$25:$AA$45</formula1>
    </dataValidation>
  </dataValidations>
  <printOptions/>
  <pageMargins left="0.42" right="0.37" top="0.61" bottom="0.74" header="0.5118110236220472" footer="0.5118110236220472"/>
  <pageSetup fitToHeight="4" fitToWidth="1" horizontalDpi="600" verticalDpi="600" orientation="landscape" paperSize="9" scale="63" r:id="rId3"/>
  <headerFooter alignWithMargins="0">
    <oddFooter>&amp;C&amp;F</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M87"/>
  <sheetViews>
    <sheetView workbookViewId="0" topLeftCell="A1">
      <selection activeCell="E18" sqref="E18"/>
    </sheetView>
  </sheetViews>
  <sheetFormatPr defaultColWidth="9.00390625" defaultRowHeight="15"/>
  <cols>
    <col min="1" max="1" width="9.00390625" style="22" customWidth="1"/>
    <col min="2" max="2" width="33.625" style="22" customWidth="1"/>
    <col min="3" max="3" width="19.25390625" style="22" customWidth="1"/>
    <col min="4" max="4" width="14.25390625" style="22" customWidth="1"/>
    <col min="5" max="5" width="13.50390625" style="22" customWidth="1"/>
    <col min="6" max="6" width="13.25390625" style="22" customWidth="1"/>
    <col min="7" max="7" width="23.875" style="22" customWidth="1"/>
    <col min="8" max="8" width="14.00390625" style="22" customWidth="1"/>
    <col min="9" max="9" width="36.875" style="22" customWidth="1"/>
    <col min="10" max="10" width="17.50390625" style="22" customWidth="1"/>
    <col min="11" max="11" width="14.625" style="22" hidden="1" customWidth="1"/>
    <col min="12" max="13" width="0" style="22" hidden="1" customWidth="1"/>
    <col min="14" max="16384" width="9.00390625" style="22" customWidth="1"/>
  </cols>
  <sheetData>
    <row r="2" spans="2:9" ht="19.5">
      <c r="B2" s="61" t="s">
        <v>32</v>
      </c>
      <c r="D2" s="22" t="s">
        <v>75</v>
      </c>
      <c r="F2" s="58" t="s">
        <v>40</v>
      </c>
      <c r="G2" s="59">
        <v>2007</v>
      </c>
      <c r="I2" s="62" t="s">
        <v>209</v>
      </c>
    </row>
    <row r="4" ht="12.75">
      <c r="B4" s="98" t="s">
        <v>31</v>
      </c>
    </row>
    <row r="7" spans="2:9" s="23" customFormat="1" ht="73.5" customHeight="1">
      <c r="B7" s="4" t="s">
        <v>0</v>
      </c>
      <c r="C7" s="4" t="s">
        <v>9</v>
      </c>
      <c r="D7" s="4" t="s">
        <v>64</v>
      </c>
      <c r="E7" s="4" t="s">
        <v>67</v>
      </c>
      <c r="F7" s="4" t="s">
        <v>65</v>
      </c>
      <c r="G7" s="4" t="s">
        <v>61</v>
      </c>
      <c r="H7" s="4" t="s">
        <v>66</v>
      </c>
      <c r="I7" s="4" t="s">
        <v>201</v>
      </c>
    </row>
    <row r="8" spans="1:13" ht="12.75">
      <c r="A8" s="23">
        <v>1</v>
      </c>
      <c r="B8" s="4">
        <f>IF(ISBLANK(Generator_Info!B16),"",Generator_Info!B16)</f>
      </c>
      <c r="C8" s="3" t="s">
        <v>8</v>
      </c>
      <c r="D8" s="52" t="s">
        <v>8</v>
      </c>
      <c r="E8" s="52" t="s">
        <v>8</v>
      </c>
      <c r="F8" s="57"/>
      <c r="G8" s="59" t="s">
        <v>8</v>
      </c>
      <c r="H8" s="57"/>
      <c r="I8" s="101"/>
      <c r="K8" s="22" t="s">
        <v>8</v>
      </c>
      <c r="L8" s="24" t="s">
        <v>81</v>
      </c>
      <c r="M8" s="24">
        <v>2007</v>
      </c>
    </row>
    <row r="9" spans="1:13" ht="12.75">
      <c r="A9" s="23">
        <v>2</v>
      </c>
      <c r="B9" s="4">
        <f>IF(ISBLANK(Generator_Info!B17),"",Generator_Info!B17)</f>
      </c>
      <c r="C9" s="3" t="s">
        <v>8</v>
      </c>
      <c r="D9" s="52" t="s">
        <v>8</v>
      </c>
      <c r="E9" s="52" t="s">
        <v>8</v>
      </c>
      <c r="F9" s="57"/>
      <c r="G9" s="59" t="s">
        <v>8</v>
      </c>
      <c r="H9" s="57"/>
      <c r="I9" s="101"/>
      <c r="K9" s="22" t="s">
        <v>85</v>
      </c>
      <c r="L9" s="24" t="s">
        <v>37</v>
      </c>
      <c r="M9" s="24">
        <v>2008</v>
      </c>
    </row>
    <row r="10" spans="1:13" ht="12.75">
      <c r="A10" s="23">
        <v>3</v>
      </c>
      <c r="B10" s="4">
        <f>IF(ISBLANK(Generator_Info!B18),"",Generator_Info!B18)</f>
      </c>
      <c r="C10" s="3" t="s">
        <v>8</v>
      </c>
      <c r="D10" s="52" t="s">
        <v>8</v>
      </c>
      <c r="E10" s="52" t="s">
        <v>8</v>
      </c>
      <c r="F10" s="57"/>
      <c r="G10" s="59" t="s">
        <v>8</v>
      </c>
      <c r="H10" s="57"/>
      <c r="I10" s="101"/>
      <c r="K10" s="22" t="s">
        <v>159</v>
      </c>
      <c r="L10" s="24" t="s">
        <v>38</v>
      </c>
      <c r="M10" s="24">
        <v>2009</v>
      </c>
    </row>
    <row r="11" spans="1:13" ht="12.75">
      <c r="A11" s="23">
        <v>4</v>
      </c>
      <c r="B11" s="4">
        <f>IF(ISBLANK(Generator_Info!B19),"",Generator_Info!B19)</f>
      </c>
      <c r="C11" s="3" t="s">
        <v>8</v>
      </c>
      <c r="D11" s="52" t="s">
        <v>8</v>
      </c>
      <c r="E11" s="52" t="s">
        <v>8</v>
      </c>
      <c r="F11" s="57"/>
      <c r="G11" s="59" t="s">
        <v>8</v>
      </c>
      <c r="H11" s="57"/>
      <c r="I11" s="101"/>
      <c r="K11" s="22" t="s">
        <v>160</v>
      </c>
      <c r="L11" s="24" t="s">
        <v>39</v>
      </c>
      <c r="M11" s="24">
        <v>2010</v>
      </c>
    </row>
    <row r="12" spans="1:13" ht="12.75">
      <c r="A12" s="23">
        <v>5</v>
      </c>
      <c r="B12" s="4">
        <f>IF(ISBLANK(Generator_Info!B20),"",Generator_Info!B20)</f>
      </c>
      <c r="C12" s="3" t="s">
        <v>8</v>
      </c>
      <c r="D12" s="52" t="s">
        <v>8</v>
      </c>
      <c r="E12" s="52" t="s">
        <v>8</v>
      </c>
      <c r="F12" s="57"/>
      <c r="G12" s="59" t="s">
        <v>8</v>
      </c>
      <c r="H12" s="57"/>
      <c r="I12" s="101"/>
      <c r="K12" s="22" t="s">
        <v>161</v>
      </c>
      <c r="L12" s="24" t="s">
        <v>40</v>
      </c>
      <c r="M12" s="24">
        <v>2011</v>
      </c>
    </row>
    <row r="13" spans="1:13" ht="12.75">
      <c r="A13" s="23">
        <v>6</v>
      </c>
      <c r="B13" s="4">
        <f>IF(ISBLANK(Generator_Info!B21),"",Generator_Info!B21)</f>
      </c>
      <c r="C13" s="3" t="s">
        <v>8</v>
      </c>
      <c r="D13" s="52" t="s">
        <v>8</v>
      </c>
      <c r="E13" s="52" t="s">
        <v>8</v>
      </c>
      <c r="F13" s="57"/>
      <c r="G13" s="59" t="s">
        <v>8</v>
      </c>
      <c r="H13" s="57"/>
      <c r="I13" s="101"/>
      <c r="L13" s="24" t="s">
        <v>41</v>
      </c>
      <c r="M13" s="24">
        <v>2012</v>
      </c>
    </row>
    <row r="14" spans="1:13" ht="12.75">
      <c r="A14" s="23">
        <v>7</v>
      </c>
      <c r="B14" s="4">
        <f>IF(ISBLANK(Generator_Info!B22),"",Generator_Info!B22)</f>
      </c>
      <c r="C14" s="3" t="s">
        <v>8</v>
      </c>
      <c r="D14" s="52" t="s">
        <v>8</v>
      </c>
      <c r="E14" s="52" t="s">
        <v>8</v>
      </c>
      <c r="F14" s="57"/>
      <c r="G14" s="59" t="s">
        <v>8</v>
      </c>
      <c r="H14" s="57"/>
      <c r="I14" s="101"/>
      <c r="L14" s="24" t="s">
        <v>42</v>
      </c>
      <c r="M14" s="24">
        <v>2013</v>
      </c>
    </row>
    <row r="15" spans="1:13" ht="12.75">
      <c r="A15" s="23">
        <v>8</v>
      </c>
      <c r="B15" s="4">
        <f>IF(ISBLANK(Generator_Info!B23),"",Generator_Info!B23)</f>
      </c>
      <c r="C15" s="3" t="s">
        <v>8</v>
      </c>
      <c r="D15" s="52" t="s">
        <v>8</v>
      </c>
      <c r="E15" s="52" t="s">
        <v>8</v>
      </c>
      <c r="F15" s="57"/>
      <c r="G15" s="59" t="s">
        <v>8</v>
      </c>
      <c r="H15" s="57"/>
      <c r="I15" s="101"/>
      <c r="L15" s="24" t="s">
        <v>43</v>
      </c>
      <c r="M15" s="24">
        <v>2014</v>
      </c>
    </row>
    <row r="16" spans="1:13" ht="12.75">
      <c r="A16" s="23">
        <v>9</v>
      </c>
      <c r="B16" s="4">
        <f>IF(ISBLANK(Generator_Info!B24),"",Generator_Info!B24)</f>
      </c>
      <c r="C16" s="3" t="s">
        <v>8</v>
      </c>
      <c r="D16" s="52" t="s">
        <v>8</v>
      </c>
      <c r="E16" s="52" t="s">
        <v>8</v>
      </c>
      <c r="F16" s="57"/>
      <c r="G16" s="59" t="s">
        <v>8</v>
      </c>
      <c r="H16" s="57"/>
      <c r="I16" s="101"/>
      <c r="L16" s="24" t="s">
        <v>44</v>
      </c>
      <c r="M16" s="24">
        <v>2015</v>
      </c>
    </row>
    <row r="17" spans="1:13" ht="12.75">
      <c r="A17" s="23">
        <v>10</v>
      </c>
      <c r="B17" s="4">
        <f>IF(ISBLANK(Generator_Info!B25),"",Generator_Info!B25)</f>
      </c>
      <c r="C17" s="3" t="s">
        <v>8</v>
      </c>
      <c r="D17" s="52" t="s">
        <v>8</v>
      </c>
      <c r="E17" s="52" t="s">
        <v>8</v>
      </c>
      <c r="F17" s="57"/>
      <c r="G17" s="59" t="s">
        <v>8</v>
      </c>
      <c r="H17" s="57"/>
      <c r="I17" s="101"/>
      <c r="L17" s="24" t="s">
        <v>45</v>
      </c>
      <c r="M17" s="24">
        <v>2016</v>
      </c>
    </row>
    <row r="18" spans="1:13" ht="12.75">
      <c r="A18" s="23">
        <v>11</v>
      </c>
      <c r="B18" s="4">
        <f>IF(ISBLANK(Generator_Info!B26),"",Generator_Info!B26)</f>
      </c>
      <c r="C18" s="3" t="s">
        <v>8</v>
      </c>
      <c r="D18" s="52" t="s">
        <v>8</v>
      </c>
      <c r="E18" s="52" t="s">
        <v>8</v>
      </c>
      <c r="F18" s="57"/>
      <c r="G18" s="59" t="s">
        <v>8</v>
      </c>
      <c r="H18" s="57"/>
      <c r="I18" s="101"/>
      <c r="L18" s="24" t="s">
        <v>46</v>
      </c>
      <c r="M18" s="24">
        <v>2017</v>
      </c>
    </row>
    <row r="19" spans="1:13" ht="12.75">
      <c r="A19" s="23">
        <v>12</v>
      </c>
      <c r="B19" s="4">
        <f>IF(ISBLANK(Generator_Info!B27),"",Generator_Info!B27)</f>
      </c>
      <c r="C19" s="3" t="s">
        <v>8</v>
      </c>
      <c r="D19" s="52" t="s">
        <v>8</v>
      </c>
      <c r="E19" s="52" t="s">
        <v>8</v>
      </c>
      <c r="F19" s="57"/>
      <c r="G19" s="59" t="s">
        <v>8</v>
      </c>
      <c r="H19" s="57"/>
      <c r="I19" s="101"/>
      <c r="L19" s="24" t="s">
        <v>47</v>
      </c>
      <c r="M19" s="24">
        <v>2018</v>
      </c>
    </row>
    <row r="20" spans="1:13" ht="12.75">
      <c r="A20" s="23">
        <v>13</v>
      </c>
      <c r="B20" s="4">
        <f>IF(ISBLANK(Generator_Info!B28),"",Generator_Info!B28)</f>
      </c>
      <c r="C20" s="3" t="s">
        <v>8</v>
      </c>
      <c r="D20" s="52" t="s">
        <v>8</v>
      </c>
      <c r="E20" s="52" t="s">
        <v>8</v>
      </c>
      <c r="F20" s="57"/>
      <c r="G20" s="59" t="s">
        <v>8</v>
      </c>
      <c r="H20" s="57"/>
      <c r="I20" s="101"/>
      <c r="L20" s="24" t="s">
        <v>48</v>
      </c>
      <c r="M20" s="24">
        <v>2019</v>
      </c>
    </row>
    <row r="21" spans="1:13" ht="12.75">
      <c r="A21" s="23">
        <v>14</v>
      </c>
      <c r="B21" s="4">
        <f>IF(ISBLANK(Generator_Info!B29),"",Generator_Info!B29)</f>
      </c>
      <c r="C21" s="3" t="s">
        <v>8</v>
      </c>
      <c r="D21" s="52" t="s">
        <v>8</v>
      </c>
      <c r="E21" s="52" t="s">
        <v>8</v>
      </c>
      <c r="F21" s="57"/>
      <c r="G21" s="59" t="s">
        <v>8</v>
      </c>
      <c r="H21" s="57"/>
      <c r="I21" s="101"/>
      <c r="L21" s="24"/>
      <c r="M21" s="24">
        <v>2020</v>
      </c>
    </row>
    <row r="22" spans="1:13" ht="12.75">
      <c r="A22" s="23">
        <v>15</v>
      </c>
      <c r="B22" s="4">
        <f>IF(ISBLANK(Generator_Info!B30),"",Generator_Info!B30)</f>
      </c>
      <c r="C22" s="3" t="s">
        <v>8</v>
      </c>
      <c r="D22" s="52" t="s">
        <v>8</v>
      </c>
      <c r="E22" s="52" t="s">
        <v>8</v>
      </c>
      <c r="F22" s="57"/>
      <c r="G22" s="59" t="s">
        <v>8</v>
      </c>
      <c r="H22" s="57"/>
      <c r="I22" s="101"/>
      <c r="L22" s="24"/>
      <c r="M22" s="24">
        <v>2021</v>
      </c>
    </row>
    <row r="23" spans="1:13" ht="12.75">
      <c r="A23" s="23">
        <v>16</v>
      </c>
      <c r="B23" s="4">
        <f>IF(ISBLANK(Generator_Info!B31),"",Generator_Info!B31)</f>
      </c>
      <c r="C23" s="3" t="s">
        <v>8</v>
      </c>
      <c r="D23" s="52" t="s">
        <v>8</v>
      </c>
      <c r="E23" s="52" t="s">
        <v>8</v>
      </c>
      <c r="F23" s="57"/>
      <c r="G23" s="59" t="s">
        <v>8</v>
      </c>
      <c r="H23" s="57"/>
      <c r="I23" s="101"/>
      <c r="L23" s="24"/>
      <c r="M23" s="24">
        <v>2022</v>
      </c>
    </row>
    <row r="24" spans="1:13" ht="12.75">
      <c r="A24" s="23">
        <v>17</v>
      </c>
      <c r="B24" s="4">
        <f>IF(ISBLANK(Generator_Info!B32),"",Generator_Info!B32)</f>
      </c>
      <c r="C24" s="3" t="s">
        <v>8</v>
      </c>
      <c r="D24" s="52" t="s">
        <v>8</v>
      </c>
      <c r="E24" s="52" t="s">
        <v>8</v>
      </c>
      <c r="F24" s="57"/>
      <c r="G24" s="59" t="s">
        <v>8</v>
      </c>
      <c r="H24" s="57"/>
      <c r="I24" s="101"/>
      <c r="L24" s="24"/>
      <c r="M24" s="24">
        <v>2023</v>
      </c>
    </row>
    <row r="25" spans="1:13" ht="12.75">
      <c r="A25" s="23">
        <v>18</v>
      </c>
      <c r="B25" s="4">
        <f>IF(ISBLANK(Generator_Info!B33),"",Generator_Info!B33)</f>
      </c>
      <c r="C25" s="3" t="s">
        <v>8</v>
      </c>
      <c r="D25" s="52" t="s">
        <v>8</v>
      </c>
      <c r="E25" s="52" t="s">
        <v>8</v>
      </c>
      <c r="F25" s="57"/>
      <c r="G25" s="59" t="s">
        <v>8</v>
      </c>
      <c r="H25" s="57"/>
      <c r="I25" s="101"/>
      <c r="L25" s="24"/>
      <c r="M25" s="24">
        <v>2024</v>
      </c>
    </row>
    <row r="26" spans="1:13" ht="12.75">
      <c r="A26" s="23">
        <v>19</v>
      </c>
      <c r="B26" s="4">
        <f>IF(ISBLANK(Generator_Info!B34),"",Generator_Info!B34)</f>
      </c>
      <c r="C26" s="3" t="s">
        <v>8</v>
      </c>
      <c r="D26" s="52" t="s">
        <v>8</v>
      </c>
      <c r="E26" s="52" t="s">
        <v>8</v>
      </c>
      <c r="F26" s="57"/>
      <c r="G26" s="59" t="s">
        <v>8</v>
      </c>
      <c r="H26" s="57"/>
      <c r="I26" s="101"/>
      <c r="L26" s="24"/>
      <c r="M26" s="24">
        <v>2025</v>
      </c>
    </row>
    <row r="27" spans="1:13" ht="12.75">
      <c r="A27" s="23">
        <v>20</v>
      </c>
      <c r="B27" s="4">
        <f>IF(ISBLANK(Generator_Info!B35),"",Generator_Info!B35)</f>
      </c>
      <c r="C27" s="3" t="s">
        <v>8</v>
      </c>
      <c r="D27" s="52" t="s">
        <v>8</v>
      </c>
      <c r="E27" s="52" t="s">
        <v>8</v>
      </c>
      <c r="F27" s="57"/>
      <c r="G27" s="59" t="s">
        <v>8</v>
      </c>
      <c r="H27" s="57"/>
      <c r="I27" s="101"/>
      <c r="L27" s="24"/>
      <c r="M27" s="24">
        <v>2026</v>
      </c>
    </row>
    <row r="28" spans="1:13" ht="12.75">
      <c r="A28" s="23">
        <v>21</v>
      </c>
      <c r="B28" s="4">
        <f>IF(ISBLANK(Generator_Info!B36),"",Generator_Info!B36)</f>
      </c>
      <c r="C28" s="3" t="s">
        <v>8</v>
      </c>
      <c r="D28" s="52" t="s">
        <v>8</v>
      </c>
      <c r="E28" s="52" t="s">
        <v>8</v>
      </c>
      <c r="F28" s="57"/>
      <c r="G28" s="59" t="s">
        <v>8</v>
      </c>
      <c r="H28" s="57"/>
      <c r="I28" s="101"/>
      <c r="L28" s="24"/>
      <c r="M28" s="24">
        <v>2027</v>
      </c>
    </row>
    <row r="29" spans="1:9" ht="12.75">
      <c r="A29" s="23">
        <v>22</v>
      </c>
      <c r="B29" s="4">
        <f>IF(ISBLANK(Generator_Info!B37),"",Generator_Info!B37)</f>
      </c>
      <c r="C29" s="3" t="s">
        <v>8</v>
      </c>
      <c r="D29" s="52" t="s">
        <v>8</v>
      </c>
      <c r="E29" s="52" t="s">
        <v>8</v>
      </c>
      <c r="F29" s="57"/>
      <c r="G29" s="59" t="s">
        <v>8</v>
      </c>
      <c r="H29" s="57"/>
      <c r="I29" s="101"/>
    </row>
    <row r="30" spans="1:9" ht="12.75">
      <c r="A30" s="23">
        <v>23</v>
      </c>
      <c r="B30" s="4">
        <f>IF(ISBLANK(Generator_Info!B38),"",Generator_Info!B38)</f>
      </c>
      <c r="C30" s="3" t="s">
        <v>8</v>
      </c>
      <c r="D30" s="52" t="s">
        <v>8</v>
      </c>
      <c r="E30" s="52" t="s">
        <v>8</v>
      </c>
      <c r="F30" s="57"/>
      <c r="G30" s="59" t="s">
        <v>8</v>
      </c>
      <c r="H30" s="57"/>
      <c r="I30" s="101"/>
    </row>
    <row r="31" spans="1:9" ht="12.75">
      <c r="A31" s="23">
        <v>24</v>
      </c>
      <c r="B31" s="4">
        <f>IF(ISBLANK(Generator_Info!B39),"",Generator_Info!B39)</f>
      </c>
      <c r="C31" s="3" t="s">
        <v>8</v>
      </c>
      <c r="D31" s="52" t="s">
        <v>8</v>
      </c>
      <c r="E31" s="52" t="s">
        <v>8</v>
      </c>
      <c r="F31" s="57"/>
      <c r="G31" s="59" t="s">
        <v>8</v>
      </c>
      <c r="H31" s="57"/>
      <c r="I31" s="101"/>
    </row>
    <row r="32" spans="1:9" ht="12.75">
      <c r="A32" s="23">
        <v>25</v>
      </c>
      <c r="B32" s="4">
        <f>IF(ISBLANK(Generator_Info!B40),"",Generator_Info!B40)</f>
      </c>
      <c r="C32" s="3" t="s">
        <v>8</v>
      </c>
      <c r="D32" s="52" t="s">
        <v>8</v>
      </c>
      <c r="E32" s="52" t="s">
        <v>8</v>
      </c>
      <c r="F32" s="57"/>
      <c r="G32" s="59" t="s">
        <v>8</v>
      </c>
      <c r="H32" s="57"/>
      <c r="I32" s="101"/>
    </row>
    <row r="33" spans="1:9" ht="12.75">
      <c r="A33" s="23">
        <v>26</v>
      </c>
      <c r="B33" s="4">
        <f>IF(ISBLANK(Generator_Info!B41),"",Generator_Info!B41)</f>
      </c>
      <c r="C33" s="3" t="s">
        <v>8</v>
      </c>
      <c r="D33" s="52" t="s">
        <v>8</v>
      </c>
      <c r="E33" s="52" t="s">
        <v>8</v>
      </c>
      <c r="F33" s="57"/>
      <c r="G33" s="59" t="s">
        <v>8</v>
      </c>
      <c r="H33" s="57"/>
      <c r="I33" s="101"/>
    </row>
    <row r="34" spans="1:9" ht="12.75">
      <c r="A34" s="23">
        <v>27</v>
      </c>
      <c r="B34" s="4">
        <f>IF(ISBLANK(Generator_Info!B42),"",Generator_Info!B42)</f>
      </c>
      <c r="C34" s="3" t="s">
        <v>8</v>
      </c>
      <c r="D34" s="52" t="s">
        <v>8</v>
      </c>
      <c r="E34" s="52" t="s">
        <v>8</v>
      </c>
      <c r="F34" s="57"/>
      <c r="G34" s="59" t="s">
        <v>8</v>
      </c>
      <c r="H34" s="57"/>
      <c r="I34" s="101"/>
    </row>
    <row r="35" spans="1:9" ht="12.75">
      <c r="A35" s="23">
        <v>28</v>
      </c>
      <c r="B35" s="4">
        <f>IF(ISBLANK(Generator_Info!B43),"",Generator_Info!B43)</f>
      </c>
      <c r="C35" s="3" t="s">
        <v>8</v>
      </c>
      <c r="D35" s="52" t="s">
        <v>8</v>
      </c>
      <c r="E35" s="52" t="s">
        <v>8</v>
      </c>
      <c r="F35" s="57"/>
      <c r="G35" s="59" t="s">
        <v>8</v>
      </c>
      <c r="H35" s="57"/>
      <c r="I35" s="101"/>
    </row>
    <row r="36" spans="1:9" ht="12.75">
      <c r="A36" s="23">
        <v>29</v>
      </c>
      <c r="B36" s="4">
        <f>IF(ISBLANK(Generator_Info!B44),"",Generator_Info!B44)</f>
      </c>
      <c r="C36" s="3" t="s">
        <v>8</v>
      </c>
      <c r="D36" s="52" t="s">
        <v>8</v>
      </c>
      <c r="E36" s="52" t="s">
        <v>8</v>
      </c>
      <c r="F36" s="57"/>
      <c r="G36" s="59" t="s">
        <v>8</v>
      </c>
      <c r="H36" s="57"/>
      <c r="I36" s="101"/>
    </row>
    <row r="37" spans="1:9" ht="12.75">
      <c r="A37" s="23">
        <v>30</v>
      </c>
      <c r="B37" s="4">
        <f>IF(ISBLANK(Generator_Info!B45),"",Generator_Info!B45)</f>
      </c>
      <c r="C37" s="3" t="s">
        <v>8</v>
      </c>
      <c r="D37" s="52" t="s">
        <v>8</v>
      </c>
      <c r="E37" s="52" t="s">
        <v>8</v>
      </c>
      <c r="F37" s="57"/>
      <c r="G37" s="59" t="s">
        <v>8</v>
      </c>
      <c r="H37" s="57"/>
      <c r="I37" s="101"/>
    </row>
    <row r="38" spans="1:9" ht="12.75">
      <c r="A38" s="23">
        <v>31</v>
      </c>
      <c r="B38" s="4">
        <f>IF(ISBLANK(Generator_Info!B46),"",Generator_Info!B46)</f>
      </c>
      <c r="C38" s="3" t="s">
        <v>8</v>
      </c>
      <c r="D38" s="52" t="s">
        <v>8</v>
      </c>
      <c r="E38" s="52" t="s">
        <v>8</v>
      </c>
      <c r="F38" s="57"/>
      <c r="G38" s="59" t="s">
        <v>8</v>
      </c>
      <c r="H38" s="57"/>
      <c r="I38" s="101"/>
    </row>
    <row r="39" spans="1:9" ht="12.75">
      <c r="A39" s="23">
        <v>32</v>
      </c>
      <c r="B39" s="4">
        <f>IF(ISBLANK(Generator_Info!B47),"",Generator_Info!B47)</f>
      </c>
      <c r="C39" s="3" t="s">
        <v>8</v>
      </c>
      <c r="D39" s="52" t="s">
        <v>8</v>
      </c>
      <c r="E39" s="52" t="s">
        <v>8</v>
      </c>
      <c r="F39" s="57"/>
      <c r="G39" s="59" t="s">
        <v>8</v>
      </c>
      <c r="H39" s="57"/>
      <c r="I39" s="101"/>
    </row>
    <row r="40" spans="1:9" ht="12.75">
      <c r="A40" s="23">
        <v>33</v>
      </c>
      <c r="B40" s="4">
        <f>IF(ISBLANK(Generator_Info!B48),"",Generator_Info!B48)</f>
      </c>
      <c r="C40" s="3" t="s">
        <v>8</v>
      </c>
      <c r="D40" s="52" t="s">
        <v>8</v>
      </c>
      <c r="E40" s="52" t="s">
        <v>8</v>
      </c>
      <c r="F40" s="57"/>
      <c r="G40" s="59" t="s">
        <v>8</v>
      </c>
      <c r="H40" s="57"/>
      <c r="I40" s="101"/>
    </row>
    <row r="41" spans="1:9" ht="12.75">
      <c r="A41" s="23">
        <v>34</v>
      </c>
      <c r="B41" s="4">
        <f>IF(ISBLANK(Generator_Info!B49),"",Generator_Info!B49)</f>
      </c>
      <c r="C41" s="3" t="s">
        <v>8</v>
      </c>
      <c r="D41" s="52" t="s">
        <v>8</v>
      </c>
      <c r="E41" s="52" t="s">
        <v>8</v>
      </c>
      <c r="F41" s="57"/>
      <c r="G41" s="59" t="s">
        <v>8</v>
      </c>
      <c r="H41" s="57"/>
      <c r="I41" s="101"/>
    </row>
    <row r="42" spans="1:9" ht="12.75">
      <c r="A42" s="23">
        <v>35</v>
      </c>
      <c r="B42" s="4">
        <f>IF(ISBLANK(Generator_Info!B50),"",Generator_Info!B50)</f>
      </c>
      <c r="C42" s="3" t="s">
        <v>8</v>
      </c>
      <c r="D42" s="52" t="s">
        <v>8</v>
      </c>
      <c r="E42" s="52" t="s">
        <v>8</v>
      </c>
      <c r="F42" s="57"/>
      <c r="G42" s="59" t="s">
        <v>8</v>
      </c>
      <c r="H42" s="57"/>
      <c r="I42" s="101"/>
    </row>
    <row r="43" spans="1:9" ht="12.75">
      <c r="A43" s="23">
        <v>36</v>
      </c>
      <c r="B43" s="4">
        <f>IF(ISBLANK(Generator_Info!B51),"",Generator_Info!B51)</f>
      </c>
      <c r="C43" s="3" t="s">
        <v>8</v>
      </c>
      <c r="D43" s="52" t="s">
        <v>8</v>
      </c>
      <c r="E43" s="52" t="s">
        <v>8</v>
      </c>
      <c r="F43" s="57"/>
      <c r="G43" s="59" t="s">
        <v>8</v>
      </c>
      <c r="H43" s="57"/>
      <c r="I43" s="101"/>
    </row>
    <row r="44" spans="1:9" ht="12.75">
      <c r="A44" s="23">
        <v>37</v>
      </c>
      <c r="B44" s="4">
        <f>IF(ISBLANK(Generator_Info!B52),"",Generator_Info!B52)</f>
      </c>
      <c r="C44" s="3" t="s">
        <v>8</v>
      </c>
      <c r="D44" s="52" t="s">
        <v>8</v>
      </c>
      <c r="E44" s="52" t="s">
        <v>8</v>
      </c>
      <c r="F44" s="57"/>
      <c r="G44" s="59" t="s">
        <v>8</v>
      </c>
      <c r="H44" s="57"/>
      <c r="I44" s="101"/>
    </row>
    <row r="45" spans="1:9" ht="12.75">
      <c r="A45" s="23">
        <v>38</v>
      </c>
      <c r="B45" s="4">
        <f>IF(ISBLANK(Generator_Info!B53),"",Generator_Info!B53)</f>
      </c>
      <c r="C45" s="3" t="s">
        <v>8</v>
      </c>
      <c r="D45" s="52" t="s">
        <v>8</v>
      </c>
      <c r="E45" s="52" t="s">
        <v>8</v>
      </c>
      <c r="F45" s="57"/>
      <c r="G45" s="59" t="s">
        <v>8</v>
      </c>
      <c r="H45" s="57"/>
      <c r="I45" s="101"/>
    </row>
    <row r="46" spans="1:9" ht="12.75">
      <c r="A46" s="23">
        <v>39</v>
      </c>
      <c r="B46" s="4">
        <f>IF(ISBLANK(Generator_Info!B54),"",Generator_Info!B54)</f>
      </c>
      <c r="C46" s="3" t="s">
        <v>8</v>
      </c>
      <c r="D46" s="52" t="s">
        <v>8</v>
      </c>
      <c r="E46" s="52" t="s">
        <v>8</v>
      </c>
      <c r="F46" s="57"/>
      <c r="G46" s="59" t="s">
        <v>8</v>
      </c>
      <c r="H46" s="57"/>
      <c r="I46" s="101"/>
    </row>
    <row r="47" spans="1:9" ht="12.75">
      <c r="A47" s="23">
        <v>40</v>
      </c>
      <c r="B47" s="4">
        <f>IF(ISBLANK(Generator_Info!B55),"",Generator_Info!B55)</f>
      </c>
      <c r="C47" s="3" t="s">
        <v>8</v>
      </c>
      <c r="D47" s="52" t="s">
        <v>8</v>
      </c>
      <c r="E47" s="52" t="s">
        <v>8</v>
      </c>
      <c r="F47" s="57"/>
      <c r="G47" s="59" t="s">
        <v>8</v>
      </c>
      <c r="H47" s="57"/>
      <c r="I47" s="101"/>
    </row>
    <row r="48" spans="1:9" ht="12.75">
      <c r="A48" s="23">
        <v>41</v>
      </c>
      <c r="B48" s="4">
        <f>IF(ISBLANK(Generator_Info!B56),"",Generator_Info!B56)</f>
      </c>
      <c r="C48" s="3" t="s">
        <v>8</v>
      </c>
      <c r="D48" s="52" t="s">
        <v>8</v>
      </c>
      <c r="E48" s="52" t="s">
        <v>8</v>
      </c>
      <c r="F48" s="57"/>
      <c r="G48" s="59" t="s">
        <v>8</v>
      </c>
      <c r="H48" s="57"/>
      <c r="I48" s="101"/>
    </row>
    <row r="49" spans="1:9" ht="12.75">
      <c r="A49" s="23">
        <v>42</v>
      </c>
      <c r="B49" s="4">
        <f>IF(ISBLANK(Generator_Info!B57),"",Generator_Info!B57)</f>
      </c>
      <c r="C49" s="3" t="s">
        <v>8</v>
      </c>
      <c r="D49" s="52" t="s">
        <v>8</v>
      </c>
      <c r="E49" s="52" t="s">
        <v>8</v>
      </c>
      <c r="F49" s="57"/>
      <c r="G49" s="59" t="s">
        <v>8</v>
      </c>
      <c r="H49" s="57"/>
      <c r="I49" s="101"/>
    </row>
    <row r="50" spans="1:9" ht="12.75">
      <c r="A50" s="23">
        <v>43</v>
      </c>
      <c r="B50" s="4">
        <f>IF(ISBLANK(Generator_Info!B58),"",Generator_Info!B58)</f>
      </c>
      <c r="C50" s="3" t="s">
        <v>8</v>
      </c>
      <c r="D50" s="52" t="s">
        <v>8</v>
      </c>
      <c r="E50" s="52" t="s">
        <v>8</v>
      </c>
      <c r="F50" s="57"/>
      <c r="G50" s="59" t="s">
        <v>8</v>
      </c>
      <c r="H50" s="57"/>
      <c r="I50" s="101"/>
    </row>
    <row r="51" spans="1:9" ht="12.75">
      <c r="A51" s="23">
        <v>44</v>
      </c>
      <c r="B51" s="4">
        <f>IF(ISBLANK(Generator_Info!B59),"",Generator_Info!B59)</f>
      </c>
      <c r="C51" s="3" t="s">
        <v>8</v>
      </c>
      <c r="D51" s="52" t="s">
        <v>8</v>
      </c>
      <c r="E51" s="52" t="s">
        <v>8</v>
      </c>
      <c r="F51" s="57"/>
      <c r="G51" s="59" t="s">
        <v>8</v>
      </c>
      <c r="H51" s="57"/>
      <c r="I51" s="101"/>
    </row>
    <row r="52" spans="1:9" ht="12.75">
      <c r="A52" s="23">
        <v>45</v>
      </c>
      <c r="B52" s="4">
        <f>IF(ISBLANK(Generator_Info!B60),"",Generator_Info!B60)</f>
      </c>
      <c r="C52" s="3" t="s">
        <v>8</v>
      </c>
      <c r="D52" s="52" t="s">
        <v>8</v>
      </c>
      <c r="E52" s="52" t="s">
        <v>8</v>
      </c>
      <c r="F52" s="57"/>
      <c r="G52" s="59" t="s">
        <v>8</v>
      </c>
      <c r="H52" s="57"/>
      <c r="I52" s="101"/>
    </row>
    <row r="53" spans="1:9" ht="12.75">
      <c r="A53" s="23">
        <v>46</v>
      </c>
      <c r="B53" s="4">
        <f>IF(ISBLANK(Generator_Info!B61),"",Generator_Info!B61)</f>
      </c>
      <c r="C53" s="3" t="s">
        <v>8</v>
      </c>
      <c r="D53" s="52" t="s">
        <v>8</v>
      </c>
      <c r="E53" s="52" t="s">
        <v>8</v>
      </c>
      <c r="F53" s="57"/>
      <c r="G53" s="59" t="s">
        <v>8</v>
      </c>
      <c r="H53" s="57"/>
      <c r="I53" s="101"/>
    </row>
    <row r="54" spans="1:9" ht="12.75">
      <c r="A54" s="23">
        <v>47</v>
      </c>
      <c r="B54" s="4">
        <f>IF(ISBLANK(Generator_Info!B62),"",Generator_Info!B62)</f>
      </c>
      <c r="C54" s="3" t="s">
        <v>8</v>
      </c>
      <c r="D54" s="52" t="s">
        <v>8</v>
      </c>
      <c r="E54" s="52" t="s">
        <v>8</v>
      </c>
      <c r="F54" s="57"/>
      <c r="G54" s="59" t="s">
        <v>8</v>
      </c>
      <c r="H54" s="57"/>
      <c r="I54" s="101"/>
    </row>
    <row r="55" spans="1:9" ht="12.75">
      <c r="A55" s="23">
        <v>48</v>
      </c>
      <c r="B55" s="4">
        <f>IF(ISBLANK(Generator_Info!B63),"",Generator_Info!B63)</f>
      </c>
      <c r="C55" s="3" t="s">
        <v>8</v>
      </c>
      <c r="D55" s="52" t="s">
        <v>8</v>
      </c>
      <c r="E55" s="52" t="s">
        <v>8</v>
      </c>
      <c r="F55" s="57"/>
      <c r="G55" s="59" t="s">
        <v>8</v>
      </c>
      <c r="H55" s="57"/>
      <c r="I55" s="101"/>
    </row>
    <row r="56" spans="1:9" ht="12.75">
      <c r="A56" s="23">
        <v>49</v>
      </c>
      <c r="B56" s="4">
        <f>IF(ISBLANK(Generator_Info!B64),"",Generator_Info!B64)</f>
      </c>
      <c r="C56" s="3" t="s">
        <v>8</v>
      </c>
      <c r="D56" s="52" t="s">
        <v>8</v>
      </c>
      <c r="E56" s="52" t="s">
        <v>8</v>
      </c>
      <c r="F56" s="57"/>
      <c r="G56" s="59" t="s">
        <v>8</v>
      </c>
      <c r="H56" s="57"/>
      <c r="I56" s="101"/>
    </row>
    <row r="57" spans="1:9" ht="12.75">
      <c r="A57" s="23">
        <v>50</v>
      </c>
      <c r="B57" s="4">
        <f>IF(ISBLANK(Generator_Info!B65),"",Generator_Info!B65)</f>
      </c>
      <c r="C57" s="3" t="s">
        <v>8</v>
      </c>
      <c r="D57" s="52" t="s">
        <v>8</v>
      </c>
      <c r="E57" s="52" t="s">
        <v>8</v>
      </c>
      <c r="F57" s="57"/>
      <c r="G57" s="59" t="s">
        <v>8</v>
      </c>
      <c r="H57" s="57"/>
      <c r="I57" s="101"/>
    </row>
    <row r="58" spans="1:9" ht="12.75">
      <c r="A58" s="23">
        <v>51</v>
      </c>
      <c r="B58" s="4">
        <f>IF(ISBLANK(Generator_Info!B66),"",Generator_Info!B66)</f>
      </c>
      <c r="C58" s="3" t="s">
        <v>8</v>
      </c>
      <c r="D58" s="52" t="s">
        <v>8</v>
      </c>
      <c r="E58" s="52" t="s">
        <v>8</v>
      </c>
      <c r="F58" s="57"/>
      <c r="G58" s="59" t="s">
        <v>8</v>
      </c>
      <c r="H58" s="57"/>
      <c r="I58" s="101"/>
    </row>
    <row r="59" spans="1:9" ht="12.75">
      <c r="A59" s="23">
        <v>52</v>
      </c>
      <c r="B59" s="4">
        <f>IF(ISBLANK(Generator_Info!B67),"",Generator_Info!B67)</f>
      </c>
      <c r="C59" s="3" t="s">
        <v>8</v>
      </c>
      <c r="D59" s="52" t="s">
        <v>8</v>
      </c>
      <c r="E59" s="52" t="s">
        <v>8</v>
      </c>
      <c r="F59" s="57"/>
      <c r="G59" s="59" t="s">
        <v>8</v>
      </c>
      <c r="H59" s="57"/>
      <c r="I59" s="101"/>
    </row>
    <row r="60" spans="1:9" ht="12.75">
      <c r="A60" s="23">
        <v>53</v>
      </c>
      <c r="B60" s="4">
        <f>IF(ISBLANK(Generator_Info!B68),"",Generator_Info!B68)</f>
      </c>
      <c r="C60" s="3" t="s">
        <v>8</v>
      </c>
      <c r="D60" s="52" t="s">
        <v>8</v>
      </c>
      <c r="E60" s="52" t="s">
        <v>8</v>
      </c>
      <c r="F60" s="57"/>
      <c r="G60" s="59" t="s">
        <v>8</v>
      </c>
      <c r="H60" s="57"/>
      <c r="I60" s="101"/>
    </row>
    <row r="61" spans="1:9" ht="12.75">
      <c r="A61" s="23">
        <v>54</v>
      </c>
      <c r="B61" s="4">
        <f>IF(ISBLANK(Generator_Info!B69),"",Generator_Info!B69)</f>
      </c>
      <c r="C61" s="3" t="s">
        <v>8</v>
      </c>
      <c r="D61" s="52" t="s">
        <v>8</v>
      </c>
      <c r="E61" s="52" t="s">
        <v>8</v>
      </c>
      <c r="F61" s="57"/>
      <c r="G61" s="59" t="s">
        <v>8</v>
      </c>
      <c r="H61" s="57"/>
      <c r="I61" s="101"/>
    </row>
    <row r="62" spans="1:9" ht="12.75">
      <c r="A62" s="23">
        <v>55</v>
      </c>
      <c r="B62" s="4">
        <f>IF(ISBLANK(Generator_Info!B70),"",Generator_Info!B70)</f>
      </c>
      <c r="C62" s="3" t="s">
        <v>8</v>
      </c>
      <c r="D62" s="52" t="s">
        <v>8</v>
      </c>
      <c r="E62" s="52" t="s">
        <v>8</v>
      </c>
      <c r="F62" s="57"/>
      <c r="G62" s="59" t="s">
        <v>8</v>
      </c>
      <c r="H62" s="57"/>
      <c r="I62" s="101"/>
    </row>
    <row r="63" spans="1:9" ht="12.75">
      <c r="A63" s="23">
        <v>56</v>
      </c>
      <c r="B63" s="4">
        <f>IF(ISBLANK(Generator_Info!B71),"",Generator_Info!B71)</f>
      </c>
      <c r="C63" s="3" t="s">
        <v>8</v>
      </c>
      <c r="D63" s="52" t="s">
        <v>8</v>
      </c>
      <c r="E63" s="52" t="s">
        <v>8</v>
      </c>
      <c r="F63" s="57"/>
      <c r="G63" s="59" t="s">
        <v>8</v>
      </c>
      <c r="H63" s="57"/>
      <c r="I63" s="101"/>
    </row>
    <row r="64" spans="1:9" ht="12.75">
      <c r="A64" s="23">
        <v>57</v>
      </c>
      <c r="B64" s="4">
        <f>IF(ISBLANK(Generator_Info!B72),"",Generator_Info!B72)</f>
      </c>
      <c r="C64" s="3" t="s">
        <v>8</v>
      </c>
      <c r="D64" s="52" t="s">
        <v>8</v>
      </c>
      <c r="E64" s="52" t="s">
        <v>8</v>
      </c>
      <c r="F64" s="57"/>
      <c r="G64" s="59" t="s">
        <v>8</v>
      </c>
      <c r="H64" s="57"/>
      <c r="I64" s="101"/>
    </row>
    <row r="65" spans="1:9" ht="12.75">
      <c r="A65" s="23">
        <v>58</v>
      </c>
      <c r="B65" s="4">
        <f>IF(ISBLANK(Generator_Info!B73),"",Generator_Info!B73)</f>
      </c>
      <c r="C65" s="3" t="s">
        <v>8</v>
      </c>
      <c r="D65" s="52" t="s">
        <v>8</v>
      </c>
      <c r="E65" s="52" t="s">
        <v>8</v>
      </c>
      <c r="F65" s="57"/>
      <c r="G65" s="59" t="s">
        <v>8</v>
      </c>
      <c r="H65" s="57"/>
      <c r="I65" s="101"/>
    </row>
    <row r="66" spans="1:9" ht="12.75">
      <c r="A66" s="23">
        <v>59</v>
      </c>
      <c r="B66" s="4">
        <f>IF(ISBLANK(Generator_Info!B74),"",Generator_Info!B74)</f>
      </c>
      <c r="C66" s="3" t="s">
        <v>8</v>
      </c>
      <c r="D66" s="52" t="s">
        <v>8</v>
      </c>
      <c r="E66" s="52" t="s">
        <v>8</v>
      </c>
      <c r="F66" s="57"/>
      <c r="G66" s="59" t="s">
        <v>8</v>
      </c>
      <c r="H66" s="57"/>
      <c r="I66" s="101"/>
    </row>
    <row r="67" spans="1:9" ht="12.75">
      <c r="A67" s="23">
        <v>60</v>
      </c>
      <c r="B67" s="4">
        <f>IF(ISBLANK(Generator_Info!B75),"",Generator_Info!B75)</f>
      </c>
      <c r="C67" s="3" t="s">
        <v>8</v>
      </c>
      <c r="D67" s="52" t="s">
        <v>8</v>
      </c>
      <c r="E67" s="52" t="s">
        <v>8</v>
      </c>
      <c r="F67" s="57"/>
      <c r="G67" s="59" t="s">
        <v>8</v>
      </c>
      <c r="H67" s="57"/>
      <c r="I67" s="101"/>
    </row>
    <row r="68" spans="1:9" ht="12.75">
      <c r="A68" s="23">
        <v>61</v>
      </c>
      <c r="B68" s="4">
        <f>IF(ISBLANK(Generator_Info!B76),"",Generator_Info!B76)</f>
      </c>
      <c r="C68" s="3" t="s">
        <v>8</v>
      </c>
      <c r="D68" s="52" t="s">
        <v>8</v>
      </c>
      <c r="E68" s="52" t="s">
        <v>8</v>
      </c>
      <c r="F68" s="57"/>
      <c r="G68" s="59" t="s">
        <v>8</v>
      </c>
      <c r="H68" s="57"/>
      <c r="I68" s="101"/>
    </row>
    <row r="69" spans="1:9" ht="12.75">
      <c r="A69" s="23">
        <v>62</v>
      </c>
      <c r="B69" s="4">
        <f>IF(ISBLANK(Generator_Info!B77),"",Generator_Info!B77)</f>
      </c>
      <c r="C69" s="3" t="s">
        <v>8</v>
      </c>
      <c r="D69" s="52" t="s">
        <v>8</v>
      </c>
      <c r="E69" s="52" t="s">
        <v>8</v>
      </c>
      <c r="F69" s="57"/>
      <c r="G69" s="59" t="s">
        <v>8</v>
      </c>
      <c r="H69" s="57"/>
      <c r="I69" s="101"/>
    </row>
    <row r="70" spans="1:9" ht="12.75">
      <c r="A70" s="23">
        <v>63</v>
      </c>
      <c r="B70" s="4">
        <f>IF(ISBLANK(Generator_Info!B78),"",Generator_Info!B78)</f>
      </c>
      <c r="C70" s="3" t="s">
        <v>8</v>
      </c>
      <c r="D70" s="52" t="s">
        <v>8</v>
      </c>
      <c r="E70" s="52" t="s">
        <v>8</v>
      </c>
      <c r="F70" s="57"/>
      <c r="G70" s="59" t="s">
        <v>8</v>
      </c>
      <c r="H70" s="57"/>
      <c r="I70" s="101"/>
    </row>
    <row r="71" spans="1:9" ht="12.75">
      <c r="A71" s="23">
        <v>64</v>
      </c>
      <c r="B71" s="4">
        <f>IF(ISBLANK(Generator_Info!B79),"",Generator_Info!B79)</f>
      </c>
      <c r="C71" s="3" t="s">
        <v>8</v>
      </c>
      <c r="D71" s="52" t="s">
        <v>8</v>
      </c>
      <c r="E71" s="52" t="s">
        <v>8</v>
      </c>
      <c r="F71" s="57"/>
      <c r="G71" s="59" t="s">
        <v>8</v>
      </c>
      <c r="H71" s="57"/>
      <c r="I71" s="101"/>
    </row>
    <row r="72" spans="1:9" ht="12.75">
      <c r="A72" s="23">
        <v>65</v>
      </c>
      <c r="B72" s="4">
        <f>IF(ISBLANK(Generator_Info!B80),"",Generator_Info!B80)</f>
      </c>
      <c r="C72" s="3" t="s">
        <v>8</v>
      </c>
      <c r="D72" s="52" t="s">
        <v>8</v>
      </c>
      <c r="E72" s="52" t="s">
        <v>8</v>
      </c>
      <c r="F72" s="57"/>
      <c r="G72" s="59" t="s">
        <v>8</v>
      </c>
      <c r="H72" s="57"/>
      <c r="I72" s="101"/>
    </row>
    <row r="73" spans="1:9" ht="12.75">
      <c r="A73" s="23">
        <v>66</v>
      </c>
      <c r="B73" s="4">
        <f>IF(ISBLANK(Generator_Info!B81),"",Generator_Info!B81)</f>
      </c>
      <c r="C73" s="3" t="s">
        <v>8</v>
      </c>
      <c r="D73" s="52" t="s">
        <v>8</v>
      </c>
      <c r="E73" s="52" t="s">
        <v>8</v>
      </c>
      <c r="F73" s="57"/>
      <c r="G73" s="59" t="s">
        <v>8</v>
      </c>
      <c r="H73" s="57"/>
      <c r="I73" s="101"/>
    </row>
    <row r="74" spans="1:9" ht="12.75">
      <c r="A74" s="23">
        <v>67</v>
      </c>
      <c r="B74" s="4">
        <f>IF(ISBLANK(Generator_Info!B82),"",Generator_Info!B82)</f>
      </c>
      <c r="C74" s="3" t="s">
        <v>8</v>
      </c>
      <c r="D74" s="52" t="s">
        <v>8</v>
      </c>
      <c r="E74" s="52" t="s">
        <v>8</v>
      </c>
      <c r="F74" s="57"/>
      <c r="G74" s="59" t="s">
        <v>8</v>
      </c>
      <c r="H74" s="57"/>
      <c r="I74" s="101"/>
    </row>
    <row r="75" spans="1:9" ht="12.75">
      <c r="A75" s="23">
        <v>68</v>
      </c>
      <c r="B75" s="4">
        <f>IF(ISBLANK(Generator_Info!B83),"",Generator_Info!B83)</f>
      </c>
      <c r="C75" s="3" t="s">
        <v>8</v>
      </c>
      <c r="D75" s="52" t="s">
        <v>8</v>
      </c>
      <c r="E75" s="52" t="s">
        <v>8</v>
      </c>
      <c r="F75" s="57"/>
      <c r="G75" s="59" t="s">
        <v>8</v>
      </c>
      <c r="H75" s="57"/>
      <c r="I75" s="101"/>
    </row>
    <row r="76" spans="1:9" ht="12.75">
      <c r="A76" s="23">
        <v>69</v>
      </c>
      <c r="B76" s="4">
        <f>IF(ISBLANK(Generator_Info!B84),"",Generator_Info!B84)</f>
      </c>
      <c r="C76" s="3" t="s">
        <v>8</v>
      </c>
      <c r="D76" s="52" t="s">
        <v>8</v>
      </c>
      <c r="E76" s="52" t="s">
        <v>8</v>
      </c>
      <c r="F76" s="57"/>
      <c r="G76" s="59" t="s">
        <v>8</v>
      </c>
      <c r="H76" s="57"/>
      <c r="I76" s="101"/>
    </row>
    <row r="77" spans="1:9" ht="12.75">
      <c r="A77" s="23">
        <v>70</v>
      </c>
      <c r="B77" s="4">
        <f>IF(ISBLANK(Generator_Info!B85),"",Generator_Info!B85)</f>
      </c>
      <c r="C77" s="3" t="s">
        <v>8</v>
      </c>
      <c r="D77" s="52" t="s">
        <v>8</v>
      </c>
      <c r="E77" s="52" t="s">
        <v>8</v>
      </c>
      <c r="F77" s="57"/>
      <c r="G77" s="59" t="s">
        <v>8</v>
      </c>
      <c r="H77" s="57"/>
      <c r="I77" s="101"/>
    </row>
    <row r="78" spans="1:9" ht="12.75">
      <c r="A78" s="23">
        <v>71</v>
      </c>
      <c r="B78" s="4">
        <f>IF(ISBLANK(Generator_Info!B86),"",Generator_Info!B86)</f>
      </c>
      <c r="C78" s="3" t="s">
        <v>8</v>
      </c>
      <c r="D78" s="52" t="s">
        <v>8</v>
      </c>
      <c r="E78" s="52" t="s">
        <v>8</v>
      </c>
      <c r="F78" s="57"/>
      <c r="G78" s="59" t="s">
        <v>8</v>
      </c>
      <c r="H78" s="57"/>
      <c r="I78" s="101"/>
    </row>
    <row r="79" spans="1:9" ht="12.75">
      <c r="A79" s="23">
        <v>72</v>
      </c>
      <c r="B79" s="4">
        <f>IF(ISBLANK(Generator_Info!B87),"",Generator_Info!B87)</f>
      </c>
      <c r="C79" s="3" t="s">
        <v>8</v>
      </c>
      <c r="D79" s="52" t="s">
        <v>8</v>
      </c>
      <c r="E79" s="52" t="s">
        <v>8</v>
      </c>
      <c r="F79" s="57"/>
      <c r="G79" s="59" t="s">
        <v>8</v>
      </c>
      <c r="H79" s="57"/>
      <c r="I79" s="101"/>
    </row>
    <row r="80" spans="1:9" ht="12.75">
      <c r="A80" s="23">
        <v>73</v>
      </c>
      <c r="B80" s="4">
        <f>IF(ISBLANK(Generator_Info!B88),"",Generator_Info!B88)</f>
      </c>
      <c r="C80" s="3" t="s">
        <v>8</v>
      </c>
      <c r="D80" s="52" t="s">
        <v>8</v>
      </c>
      <c r="E80" s="52" t="s">
        <v>8</v>
      </c>
      <c r="F80" s="57"/>
      <c r="G80" s="59" t="s">
        <v>8</v>
      </c>
      <c r="H80" s="57"/>
      <c r="I80" s="101"/>
    </row>
    <row r="81" spans="1:9" ht="12.75">
      <c r="A81" s="23">
        <v>74</v>
      </c>
      <c r="B81" s="4">
        <f>IF(ISBLANK(Generator_Info!B89),"",Generator_Info!B89)</f>
      </c>
      <c r="C81" s="3" t="s">
        <v>8</v>
      </c>
      <c r="D81" s="52" t="s">
        <v>8</v>
      </c>
      <c r="E81" s="52" t="s">
        <v>8</v>
      </c>
      <c r="F81" s="57"/>
      <c r="G81" s="59" t="s">
        <v>8</v>
      </c>
      <c r="H81" s="57"/>
      <c r="I81" s="101"/>
    </row>
    <row r="82" spans="1:9" ht="12.75">
      <c r="A82" s="23">
        <v>75</v>
      </c>
      <c r="B82" s="4">
        <f>IF(ISBLANK(Generator_Info!B90),"",Generator_Info!B90)</f>
      </c>
      <c r="C82" s="3" t="s">
        <v>8</v>
      </c>
      <c r="D82" s="52" t="s">
        <v>8</v>
      </c>
      <c r="E82" s="52" t="s">
        <v>8</v>
      </c>
      <c r="F82" s="57"/>
      <c r="G82" s="59" t="s">
        <v>8</v>
      </c>
      <c r="H82" s="57"/>
      <c r="I82" s="101"/>
    </row>
    <row r="83" spans="1:9" ht="12.75">
      <c r="A83" s="23">
        <v>76</v>
      </c>
      <c r="B83" s="4">
        <f>IF(ISBLANK(Generator_Info!B91),"",Generator_Info!B91)</f>
      </c>
      <c r="C83" s="3" t="s">
        <v>8</v>
      </c>
      <c r="D83" s="52" t="s">
        <v>8</v>
      </c>
      <c r="E83" s="52" t="s">
        <v>8</v>
      </c>
      <c r="F83" s="57"/>
      <c r="G83" s="59" t="s">
        <v>8</v>
      </c>
      <c r="H83" s="57"/>
      <c r="I83" s="101"/>
    </row>
    <row r="84" spans="1:9" ht="12.75">
      <c r="A84" s="23">
        <v>77</v>
      </c>
      <c r="B84" s="4">
        <f>IF(ISBLANK(Generator_Info!B92),"",Generator_Info!B92)</f>
      </c>
      <c r="C84" s="3" t="s">
        <v>8</v>
      </c>
      <c r="D84" s="52" t="s">
        <v>8</v>
      </c>
      <c r="E84" s="52" t="s">
        <v>8</v>
      </c>
      <c r="F84" s="57"/>
      <c r="G84" s="59" t="s">
        <v>8</v>
      </c>
      <c r="H84" s="57"/>
      <c r="I84" s="101"/>
    </row>
    <row r="85" spans="1:9" ht="12.75">
      <c r="A85" s="23">
        <v>78</v>
      </c>
      <c r="B85" s="4">
        <f>IF(ISBLANK(Generator_Info!B93),"",Generator_Info!B93)</f>
      </c>
      <c r="C85" s="3" t="s">
        <v>8</v>
      </c>
      <c r="D85" s="52" t="s">
        <v>8</v>
      </c>
      <c r="E85" s="52" t="s">
        <v>8</v>
      </c>
      <c r="F85" s="57"/>
      <c r="G85" s="59" t="s">
        <v>8</v>
      </c>
      <c r="H85" s="57"/>
      <c r="I85" s="101"/>
    </row>
    <row r="86" spans="1:9" ht="12.75">
      <c r="A86" s="23">
        <v>79</v>
      </c>
      <c r="B86" s="4">
        <f>IF(ISBLANK(Generator_Info!B94),"",Generator_Info!B94)</f>
      </c>
      <c r="C86" s="3" t="s">
        <v>8</v>
      </c>
      <c r="D86" s="52" t="s">
        <v>8</v>
      </c>
      <c r="E86" s="52" t="s">
        <v>8</v>
      </c>
      <c r="F86" s="57"/>
      <c r="G86" s="59" t="s">
        <v>8</v>
      </c>
      <c r="H86" s="57"/>
      <c r="I86" s="101"/>
    </row>
    <row r="87" spans="1:9" ht="12.75">
      <c r="A87" s="23">
        <v>80</v>
      </c>
      <c r="B87" s="4">
        <f>IF(ISBLANK(Generator_Info!B95),"",Generator_Info!B95)</f>
      </c>
      <c r="C87" s="3" t="s">
        <v>8</v>
      </c>
      <c r="D87" s="52" t="s">
        <v>8</v>
      </c>
      <c r="E87" s="52" t="s">
        <v>8</v>
      </c>
      <c r="F87" s="57"/>
      <c r="G87" s="59" t="s">
        <v>8</v>
      </c>
      <c r="H87" s="57"/>
      <c r="I87" s="101"/>
    </row>
  </sheetData>
  <sheetProtection password="8197" sheet="1" objects="1" scenarios="1"/>
  <dataValidations count="5">
    <dataValidation type="list" allowBlank="1" showInputMessage="1" showErrorMessage="1" sqref="C8:C87">
      <formula1>$K$8:$K$12</formula1>
    </dataValidation>
    <dataValidation type="list" allowBlank="1" showInputMessage="1" showErrorMessage="1" sqref="D8:D87 G8:G87">
      <formula1>"Please answer, Yes, No"</formula1>
    </dataValidation>
    <dataValidation type="list" allowBlank="1" showInputMessage="1" showErrorMessage="1" sqref="E8:E87">
      <formula1>"Please answer, n/a, Yes,No"</formula1>
    </dataValidation>
    <dataValidation type="list" allowBlank="1" showInputMessage="1" showErrorMessage="1" sqref="F2">
      <formula1>$L$8:$L$20</formula1>
    </dataValidation>
    <dataValidation type="list" allowBlank="1" showInputMessage="1" showErrorMessage="1" sqref="G2">
      <formula1>$M$8:$M$28</formula1>
    </dataValidation>
  </dataValidations>
  <printOptions/>
  <pageMargins left="0.21" right="0.44" top="0.69" bottom="0.65" header="0.58" footer="0.38"/>
  <pageSetup fitToHeight="2" fitToWidth="1" horizontalDpi="600" verticalDpi="600" orientation="landscape" paperSize="9" scale="73" r:id="rId1"/>
  <headerFooter alignWithMargins="0">
    <oddFooter>&amp;C&amp;F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3:O156"/>
  <sheetViews>
    <sheetView workbookViewId="0" topLeftCell="A1">
      <selection activeCell="A4" sqref="A4"/>
    </sheetView>
  </sheetViews>
  <sheetFormatPr defaultColWidth="9.00390625" defaultRowHeight="15"/>
  <cols>
    <col min="1" max="1" width="9.00390625" style="22" customWidth="1"/>
    <col min="2" max="2" width="30.125" style="22" customWidth="1"/>
    <col min="3" max="3" width="15.125" style="22" customWidth="1"/>
    <col min="4" max="4" width="17.875" style="22" customWidth="1"/>
    <col min="5" max="5" width="15.875" style="22" customWidth="1"/>
    <col min="6" max="6" width="14.75390625" style="22" customWidth="1"/>
    <col min="7" max="7" width="15.375" style="22" customWidth="1"/>
    <col min="8" max="8" width="15.25390625" style="22" customWidth="1"/>
    <col min="9" max="9" width="14.875" style="22" customWidth="1"/>
    <col min="10" max="10" width="16.75390625" style="22" customWidth="1"/>
    <col min="11" max="11" width="22.875" style="22" customWidth="1"/>
    <col min="12" max="13" width="9.00390625" style="22" customWidth="1"/>
    <col min="14" max="15" width="0" style="22" hidden="1" customWidth="1"/>
    <col min="16" max="16384" width="9.00390625" style="22" customWidth="1"/>
  </cols>
  <sheetData>
    <row r="3" spans="2:11" ht="19.5">
      <c r="B3" s="99" t="s">
        <v>14</v>
      </c>
      <c r="E3" s="22" t="s">
        <v>75</v>
      </c>
      <c r="G3" s="58" t="s">
        <v>40</v>
      </c>
      <c r="H3" s="59">
        <v>2007</v>
      </c>
      <c r="K3" s="62" t="s">
        <v>210</v>
      </c>
    </row>
    <row r="4" spans="2:11" ht="12.75">
      <c r="B4" s="63"/>
      <c r="K4" s="67"/>
    </row>
    <row r="5" spans="6:10" ht="12.75">
      <c r="F5" s="63"/>
      <c r="G5" s="63"/>
      <c r="J5" s="63"/>
    </row>
    <row r="6" spans="2:11" ht="89.25">
      <c r="B6" s="4" t="s">
        <v>10</v>
      </c>
      <c r="C6" s="4" t="s">
        <v>68</v>
      </c>
      <c r="D6" s="4" t="s">
        <v>164</v>
      </c>
      <c r="E6" s="46" t="s">
        <v>162</v>
      </c>
      <c r="F6" s="46" t="s">
        <v>163</v>
      </c>
      <c r="G6" s="4" t="s">
        <v>69</v>
      </c>
      <c r="H6" s="4" t="s">
        <v>70</v>
      </c>
      <c r="I6" s="4" t="s">
        <v>11</v>
      </c>
      <c r="J6" s="4" t="s">
        <v>12</v>
      </c>
      <c r="K6" s="4" t="s">
        <v>13</v>
      </c>
    </row>
    <row r="7" spans="1:15" ht="12.75">
      <c r="A7" s="22">
        <v>1</v>
      </c>
      <c r="B7" s="3"/>
      <c r="C7" s="105"/>
      <c r="D7" s="3"/>
      <c r="E7" s="51"/>
      <c r="F7" s="51"/>
      <c r="G7" s="44"/>
      <c r="H7" s="44"/>
      <c r="I7" s="52"/>
      <c r="J7" s="44"/>
      <c r="K7" s="3"/>
      <c r="N7" s="24" t="s">
        <v>81</v>
      </c>
      <c r="O7" s="24">
        <v>2007</v>
      </c>
    </row>
    <row r="8" spans="1:15" ht="12.75">
      <c r="A8" s="22">
        <v>2</v>
      </c>
      <c r="B8" s="3"/>
      <c r="C8" s="105"/>
      <c r="D8" s="3"/>
      <c r="E8" s="51"/>
      <c r="F8" s="51"/>
      <c r="G8" s="44"/>
      <c r="H8" s="44"/>
      <c r="I8" s="52"/>
      <c r="J8" s="44"/>
      <c r="K8" s="3"/>
      <c r="N8" s="24" t="s">
        <v>37</v>
      </c>
      <c r="O8" s="24">
        <v>2008</v>
      </c>
    </row>
    <row r="9" spans="1:15" ht="12.75">
      <c r="A9" s="22">
        <v>3</v>
      </c>
      <c r="B9" s="3"/>
      <c r="C9" s="105"/>
      <c r="D9" s="3"/>
      <c r="E9" s="51"/>
      <c r="F9" s="51"/>
      <c r="G9" s="44"/>
      <c r="H9" s="44"/>
      <c r="I9" s="52"/>
      <c r="J9" s="44"/>
      <c r="K9" s="3"/>
      <c r="N9" s="24" t="s">
        <v>38</v>
      </c>
      <c r="O9" s="24">
        <v>2009</v>
      </c>
    </row>
    <row r="10" spans="1:15" ht="12.75">
      <c r="A10" s="22">
        <v>4</v>
      </c>
      <c r="B10" s="3"/>
      <c r="C10" s="105"/>
      <c r="D10" s="3"/>
      <c r="E10" s="51"/>
      <c r="F10" s="51"/>
      <c r="G10" s="44"/>
      <c r="H10" s="44"/>
      <c r="I10" s="52"/>
      <c r="J10" s="44"/>
      <c r="K10" s="3"/>
      <c r="N10" s="24" t="s">
        <v>39</v>
      </c>
      <c r="O10" s="24">
        <v>2010</v>
      </c>
    </row>
    <row r="11" spans="1:15" ht="12.75">
      <c r="A11" s="22">
        <v>5</v>
      </c>
      <c r="B11" s="3"/>
      <c r="C11" s="105"/>
      <c r="D11" s="3"/>
      <c r="E11" s="51"/>
      <c r="F11" s="53"/>
      <c r="G11" s="44"/>
      <c r="H11" s="44"/>
      <c r="I11" s="52"/>
      <c r="J11" s="44"/>
      <c r="K11" s="3"/>
      <c r="N11" s="24" t="s">
        <v>40</v>
      </c>
      <c r="O11" s="24">
        <v>2011</v>
      </c>
    </row>
    <row r="12" spans="1:15" ht="12.75">
      <c r="A12" s="22">
        <v>6</v>
      </c>
      <c r="B12" s="3"/>
      <c r="C12" s="105"/>
      <c r="D12" s="3"/>
      <c r="E12" s="51"/>
      <c r="F12" s="53"/>
      <c r="G12" s="44"/>
      <c r="H12" s="44"/>
      <c r="I12" s="52"/>
      <c r="J12" s="44"/>
      <c r="K12" s="3"/>
      <c r="N12" s="24" t="s">
        <v>41</v>
      </c>
      <c r="O12" s="24">
        <v>2012</v>
      </c>
    </row>
    <row r="13" spans="1:15" ht="12.75">
      <c r="A13" s="22">
        <v>7</v>
      </c>
      <c r="B13" s="3"/>
      <c r="C13" s="105"/>
      <c r="D13" s="3"/>
      <c r="E13" s="51"/>
      <c r="F13" s="53"/>
      <c r="G13" s="44"/>
      <c r="H13" s="44"/>
      <c r="I13" s="52"/>
      <c r="J13" s="44"/>
      <c r="K13" s="3"/>
      <c r="N13" s="24" t="s">
        <v>42</v>
      </c>
      <c r="O13" s="24">
        <v>2013</v>
      </c>
    </row>
    <row r="14" spans="1:15" ht="12.75">
      <c r="A14" s="22">
        <v>8</v>
      </c>
      <c r="B14" s="3"/>
      <c r="C14" s="105"/>
      <c r="D14" s="3"/>
      <c r="E14" s="51"/>
      <c r="F14" s="53"/>
      <c r="G14" s="44"/>
      <c r="H14" s="44"/>
      <c r="I14" s="52"/>
      <c r="J14" s="44"/>
      <c r="K14" s="3"/>
      <c r="N14" s="24" t="s">
        <v>43</v>
      </c>
      <c r="O14" s="24">
        <v>2014</v>
      </c>
    </row>
    <row r="15" spans="1:15" ht="12.75">
      <c r="A15" s="22">
        <v>9</v>
      </c>
      <c r="B15" s="3"/>
      <c r="C15" s="105"/>
      <c r="D15" s="3"/>
      <c r="E15" s="53"/>
      <c r="F15" s="53"/>
      <c r="G15" s="44"/>
      <c r="H15" s="44"/>
      <c r="I15" s="52"/>
      <c r="J15" s="44"/>
      <c r="K15" s="3"/>
      <c r="N15" s="24" t="s">
        <v>44</v>
      </c>
      <c r="O15" s="24">
        <v>2015</v>
      </c>
    </row>
    <row r="16" spans="1:15" ht="12.75">
      <c r="A16" s="22">
        <v>10</v>
      </c>
      <c r="B16" s="3"/>
      <c r="C16" s="105"/>
      <c r="D16" s="3"/>
      <c r="E16" s="53"/>
      <c r="F16" s="53"/>
      <c r="G16" s="44"/>
      <c r="H16" s="44"/>
      <c r="I16" s="52"/>
      <c r="J16" s="44"/>
      <c r="K16" s="3"/>
      <c r="N16" s="24" t="s">
        <v>45</v>
      </c>
      <c r="O16" s="24">
        <v>2016</v>
      </c>
    </row>
    <row r="17" spans="1:15" ht="12.75">
      <c r="A17" s="22">
        <v>11</v>
      </c>
      <c r="B17" s="3"/>
      <c r="C17" s="105"/>
      <c r="D17" s="3"/>
      <c r="E17" s="53"/>
      <c r="F17" s="53"/>
      <c r="G17" s="44"/>
      <c r="H17" s="44"/>
      <c r="I17" s="52"/>
      <c r="J17" s="44"/>
      <c r="K17" s="3"/>
      <c r="N17" s="24" t="s">
        <v>46</v>
      </c>
      <c r="O17" s="24">
        <v>2017</v>
      </c>
    </row>
    <row r="18" spans="1:15" ht="12.75">
      <c r="A18" s="22">
        <v>12</v>
      </c>
      <c r="B18" s="3"/>
      <c r="C18" s="105"/>
      <c r="D18" s="3"/>
      <c r="E18" s="53"/>
      <c r="F18" s="53"/>
      <c r="G18" s="44"/>
      <c r="H18" s="44"/>
      <c r="I18" s="52"/>
      <c r="J18" s="44"/>
      <c r="K18" s="3"/>
      <c r="N18" s="24" t="s">
        <v>47</v>
      </c>
      <c r="O18" s="24">
        <v>2018</v>
      </c>
    </row>
    <row r="19" spans="1:15" ht="12.75">
      <c r="A19" s="22">
        <v>13</v>
      </c>
      <c r="B19" s="3"/>
      <c r="C19" s="105"/>
      <c r="D19" s="3"/>
      <c r="E19" s="53"/>
      <c r="F19" s="53"/>
      <c r="G19" s="44"/>
      <c r="H19" s="44"/>
      <c r="I19" s="52"/>
      <c r="J19" s="44"/>
      <c r="K19" s="3"/>
      <c r="N19" s="24" t="s">
        <v>48</v>
      </c>
      <c r="O19" s="24">
        <v>2019</v>
      </c>
    </row>
    <row r="20" spans="1:15" ht="12.75">
      <c r="A20" s="22">
        <v>14</v>
      </c>
      <c r="B20" s="3"/>
      <c r="C20" s="105"/>
      <c r="D20" s="3"/>
      <c r="E20" s="53"/>
      <c r="F20" s="53"/>
      <c r="G20" s="44"/>
      <c r="H20" s="44"/>
      <c r="I20" s="52"/>
      <c r="J20" s="44"/>
      <c r="K20" s="3"/>
      <c r="N20" s="24"/>
      <c r="O20" s="24">
        <v>2020</v>
      </c>
    </row>
    <row r="21" spans="1:15" ht="12.75">
      <c r="A21" s="22">
        <v>15</v>
      </c>
      <c r="B21" s="3"/>
      <c r="C21" s="105"/>
      <c r="D21" s="3"/>
      <c r="E21" s="53"/>
      <c r="F21" s="53"/>
      <c r="G21" s="44"/>
      <c r="H21" s="44"/>
      <c r="I21" s="52"/>
      <c r="J21" s="44"/>
      <c r="K21" s="3"/>
      <c r="N21" s="24"/>
      <c r="O21" s="24">
        <v>2021</v>
      </c>
    </row>
    <row r="22" spans="1:15" ht="12.75">
      <c r="A22" s="22">
        <v>16</v>
      </c>
      <c r="B22" s="3"/>
      <c r="C22" s="105"/>
      <c r="D22" s="3"/>
      <c r="E22" s="53"/>
      <c r="F22" s="53"/>
      <c r="G22" s="44"/>
      <c r="H22" s="44"/>
      <c r="I22" s="52"/>
      <c r="J22" s="44"/>
      <c r="K22" s="3"/>
      <c r="N22" s="24"/>
      <c r="O22" s="24">
        <v>2022</v>
      </c>
    </row>
    <row r="23" spans="1:15" ht="12.75">
      <c r="A23" s="22">
        <v>17</v>
      </c>
      <c r="B23" s="3"/>
      <c r="C23" s="105"/>
      <c r="D23" s="3"/>
      <c r="E23" s="53"/>
      <c r="F23" s="53"/>
      <c r="G23" s="44"/>
      <c r="H23" s="44"/>
      <c r="I23" s="52"/>
      <c r="J23" s="44"/>
      <c r="K23" s="3"/>
      <c r="N23" s="24"/>
      <c r="O23" s="24">
        <v>2023</v>
      </c>
    </row>
    <row r="24" spans="1:15" ht="12.75">
      <c r="A24" s="22">
        <v>18</v>
      </c>
      <c r="B24" s="3"/>
      <c r="C24" s="105"/>
      <c r="D24" s="3"/>
      <c r="E24" s="53"/>
      <c r="F24" s="53"/>
      <c r="G24" s="44"/>
      <c r="H24" s="44"/>
      <c r="I24" s="52"/>
      <c r="J24" s="44"/>
      <c r="K24" s="3"/>
      <c r="N24" s="24"/>
      <c r="O24" s="24">
        <v>2024</v>
      </c>
    </row>
    <row r="25" spans="1:15" ht="12.75">
      <c r="A25" s="22">
        <v>19</v>
      </c>
      <c r="B25" s="3"/>
      <c r="C25" s="105"/>
      <c r="D25" s="3"/>
      <c r="E25" s="53"/>
      <c r="F25" s="53"/>
      <c r="G25" s="44"/>
      <c r="H25" s="44"/>
      <c r="I25" s="52"/>
      <c r="J25" s="44"/>
      <c r="K25" s="3"/>
      <c r="N25" s="24"/>
      <c r="O25" s="24">
        <v>2025</v>
      </c>
    </row>
    <row r="26" spans="1:15" ht="12.75">
      <c r="A26" s="22">
        <v>20</v>
      </c>
      <c r="B26" s="3"/>
      <c r="C26" s="105"/>
      <c r="D26" s="3"/>
      <c r="E26" s="53"/>
      <c r="F26" s="53"/>
      <c r="G26" s="44"/>
      <c r="H26" s="44"/>
      <c r="I26" s="52"/>
      <c r="J26" s="44"/>
      <c r="K26" s="3"/>
      <c r="N26" s="24"/>
      <c r="O26" s="24">
        <v>2026</v>
      </c>
    </row>
    <row r="27" spans="1:15" ht="12.75">
      <c r="A27" s="22">
        <v>21</v>
      </c>
      <c r="B27" s="3"/>
      <c r="C27" s="105"/>
      <c r="D27" s="3"/>
      <c r="E27" s="53"/>
      <c r="F27" s="53"/>
      <c r="G27" s="44"/>
      <c r="H27" s="44"/>
      <c r="I27" s="52"/>
      <c r="J27" s="44"/>
      <c r="K27" s="3"/>
      <c r="N27" s="24"/>
      <c r="O27" s="24">
        <v>2027</v>
      </c>
    </row>
    <row r="28" spans="1:11" ht="12.75">
      <c r="A28" s="22">
        <v>22</v>
      </c>
      <c r="B28" s="3"/>
      <c r="C28" s="105"/>
      <c r="D28" s="3"/>
      <c r="E28" s="53"/>
      <c r="F28" s="53"/>
      <c r="G28" s="44"/>
      <c r="H28" s="44"/>
      <c r="I28" s="52"/>
      <c r="J28" s="44"/>
      <c r="K28" s="3"/>
    </row>
    <row r="29" spans="1:11" ht="12.75">
      <c r="A29" s="22">
        <v>23</v>
      </c>
      <c r="B29" s="3"/>
      <c r="C29" s="105"/>
      <c r="D29" s="3"/>
      <c r="E29" s="53"/>
      <c r="F29" s="53"/>
      <c r="G29" s="44"/>
      <c r="H29" s="44"/>
      <c r="I29" s="52"/>
      <c r="J29" s="44"/>
      <c r="K29" s="3"/>
    </row>
    <row r="30" spans="1:11" ht="12.75">
      <c r="A30" s="22">
        <v>24</v>
      </c>
      <c r="B30" s="3"/>
      <c r="C30" s="105"/>
      <c r="D30" s="3"/>
      <c r="E30" s="53"/>
      <c r="F30" s="53"/>
      <c r="G30" s="44"/>
      <c r="H30" s="44"/>
      <c r="I30" s="52"/>
      <c r="J30" s="44"/>
      <c r="K30" s="3"/>
    </row>
    <row r="31" spans="1:11" ht="12.75">
      <c r="A31" s="22">
        <v>25</v>
      </c>
      <c r="B31" s="3"/>
      <c r="C31" s="105"/>
      <c r="D31" s="3"/>
      <c r="E31" s="53"/>
      <c r="F31" s="53"/>
      <c r="G31" s="44"/>
      <c r="H31" s="44"/>
      <c r="I31" s="52"/>
      <c r="J31" s="44"/>
      <c r="K31" s="3"/>
    </row>
    <row r="32" spans="1:11" ht="12.75">
      <c r="A32" s="22">
        <v>26</v>
      </c>
      <c r="B32" s="3"/>
      <c r="C32" s="105"/>
      <c r="D32" s="3"/>
      <c r="E32" s="53"/>
      <c r="F32" s="53"/>
      <c r="G32" s="44"/>
      <c r="H32" s="44"/>
      <c r="I32" s="52"/>
      <c r="J32" s="44"/>
      <c r="K32" s="3"/>
    </row>
    <row r="33" spans="1:11" ht="12.75">
      <c r="A33" s="22">
        <v>27</v>
      </c>
      <c r="B33" s="3"/>
      <c r="C33" s="105"/>
      <c r="D33" s="3"/>
      <c r="E33" s="53"/>
      <c r="F33" s="53"/>
      <c r="G33" s="44"/>
      <c r="H33" s="44"/>
      <c r="I33" s="52"/>
      <c r="J33" s="44"/>
      <c r="K33" s="3"/>
    </row>
    <row r="34" spans="1:11" ht="12.75">
      <c r="A34" s="22">
        <v>28</v>
      </c>
      <c r="B34" s="3"/>
      <c r="C34" s="105"/>
      <c r="D34" s="3"/>
      <c r="E34" s="53"/>
      <c r="F34" s="53"/>
      <c r="G34" s="44"/>
      <c r="H34" s="44"/>
      <c r="I34" s="52"/>
      <c r="J34" s="44"/>
      <c r="K34" s="3"/>
    </row>
    <row r="35" spans="1:11" ht="12.75">
      <c r="A35" s="22">
        <v>29</v>
      </c>
      <c r="B35" s="3"/>
      <c r="C35" s="105"/>
      <c r="D35" s="3"/>
      <c r="E35" s="53"/>
      <c r="F35" s="53"/>
      <c r="G35" s="44"/>
      <c r="H35" s="44"/>
      <c r="I35" s="52"/>
      <c r="J35" s="44"/>
      <c r="K35" s="3"/>
    </row>
    <row r="36" spans="1:11" ht="12.75">
      <c r="A36" s="22">
        <v>30</v>
      </c>
      <c r="B36" s="3"/>
      <c r="C36" s="105"/>
      <c r="D36" s="3"/>
      <c r="E36" s="53"/>
      <c r="F36" s="53"/>
      <c r="G36" s="44"/>
      <c r="H36" s="44"/>
      <c r="I36" s="52"/>
      <c r="J36" s="44"/>
      <c r="K36" s="3"/>
    </row>
    <row r="37" spans="1:11" ht="12.75">
      <c r="A37" s="22">
        <v>31</v>
      </c>
      <c r="B37" s="3"/>
      <c r="C37" s="105"/>
      <c r="D37" s="3"/>
      <c r="E37" s="53"/>
      <c r="F37" s="53"/>
      <c r="G37" s="44"/>
      <c r="H37" s="44"/>
      <c r="I37" s="52"/>
      <c r="J37" s="44"/>
      <c r="K37" s="3"/>
    </row>
    <row r="38" spans="1:11" ht="12.75">
      <c r="A38" s="22">
        <v>32</v>
      </c>
      <c r="B38" s="3"/>
      <c r="C38" s="105"/>
      <c r="D38" s="3"/>
      <c r="E38" s="53"/>
      <c r="F38" s="53"/>
      <c r="G38" s="44"/>
      <c r="H38" s="44"/>
      <c r="I38" s="52"/>
      <c r="J38" s="44"/>
      <c r="K38" s="3"/>
    </row>
    <row r="39" spans="1:11" ht="12.75">
      <c r="A39" s="22">
        <v>33</v>
      </c>
      <c r="B39" s="3"/>
      <c r="C39" s="105"/>
      <c r="D39" s="3"/>
      <c r="E39" s="53"/>
      <c r="F39" s="53"/>
      <c r="G39" s="44"/>
      <c r="H39" s="44"/>
      <c r="I39" s="52"/>
      <c r="J39" s="44"/>
      <c r="K39" s="3"/>
    </row>
    <row r="40" spans="1:11" ht="12.75">
      <c r="A40" s="22">
        <v>34</v>
      </c>
      <c r="B40" s="3"/>
      <c r="C40" s="105"/>
      <c r="D40" s="3"/>
      <c r="E40" s="53"/>
      <c r="F40" s="53"/>
      <c r="G40" s="44"/>
      <c r="H40" s="44"/>
      <c r="I40" s="52"/>
      <c r="J40" s="44"/>
      <c r="K40" s="3"/>
    </row>
    <row r="41" spans="1:11" ht="12.75">
      <c r="A41" s="22">
        <v>35</v>
      </c>
      <c r="B41" s="3"/>
      <c r="C41" s="105"/>
      <c r="D41" s="3"/>
      <c r="E41" s="53"/>
      <c r="F41" s="53"/>
      <c r="G41" s="44"/>
      <c r="H41" s="44"/>
      <c r="I41" s="52"/>
      <c r="J41" s="44"/>
      <c r="K41" s="3"/>
    </row>
    <row r="42" spans="1:11" ht="12.75">
      <c r="A42" s="22">
        <v>36</v>
      </c>
      <c r="B42" s="3"/>
      <c r="C42" s="105"/>
      <c r="D42" s="3"/>
      <c r="E42" s="53"/>
      <c r="F42" s="53"/>
      <c r="G42" s="44"/>
      <c r="H42" s="44"/>
      <c r="I42" s="52"/>
      <c r="J42" s="44"/>
      <c r="K42" s="3"/>
    </row>
    <row r="43" spans="1:11" ht="12.75">
      <c r="A43" s="22">
        <v>37</v>
      </c>
      <c r="B43" s="3"/>
      <c r="C43" s="105"/>
      <c r="D43" s="3"/>
      <c r="E43" s="53"/>
      <c r="F43" s="53"/>
      <c r="G43" s="44"/>
      <c r="H43" s="44"/>
      <c r="I43" s="52"/>
      <c r="J43" s="44"/>
      <c r="K43" s="3"/>
    </row>
    <row r="44" spans="1:11" ht="12.75">
      <c r="A44" s="22">
        <v>38</v>
      </c>
      <c r="B44" s="3"/>
      <c r="C44" s="105"/>
      <c r="D44" s="3"/>
      <c r="E44" s="53"/>
      <c r="F44" s="53"/>
      <c r="G44" s="44"/>
      <c r="H44" s="44"/>
      <c r="I44" s="52"/>
      <c r="J44" s="44"/>
      <c r="K44" s="3"/>
    </row>
    <row r="45" spans="1:11" ht="12.75">
      <c r="A45" s="22">
        <v>39</v>
      </c>
      <c r="B45" s="3"/>
      <c r="C45" s="105"/>
      <c r="D45" s="3"/>
      <c r="E45" s="53"/>
      <c r="F45" s="53"/>
      <c r="G45" s="44"/>
      <c r="H45" s="44"/>
      <c r="I45" s="52"/>
      <c r="J45" s="44"/>
      <c r="K45" s="3"/>
    </row>
    <row r="46" spans="1:11" ht="12.75">
      <c r="A46" s="22">
        <v>40</v>
      </c>
      <c r="B46" s="3"/>
      <c r="C46" s="105"/>
      <c r="D46" s="3"/>
      <c r="E46" s="53"/>
      <c r="F46" s="53"/>
      <c r="G46" s="44"/>
      <c r="H46" s="44"/>
      <c r="I46" s="52"/>
      <c r="J46" s="44"/>
      <c r="K46" s="3"/>
    </row>
    <row r="47" spans="1:11" ht="12.75">
      <c r="A47" s="22">
        <v>41</v>
      </c>
      <c r="B47" s="3"/>
      <c r="C47" s="105"/>
      <c r="D47" s="3"/>
      <c r="E47" s="51"/>
      <c r="F47" s="51"/>
      <c r="G47" s="44"/>
      <c r="H47" s="44"/>
      <c r="I47" s="52"/>
      <c r="J47" s="44"/>
      <c r="K47" s="3"/>
    </row>
    <row r="48" spans="1:11" ht="12.75">
      <c r="A48" s="22">
        <v>42</v>
      </c>
      <c r="B48" s="3"/>
      <c r="C48" s="105"/>
      <c r="D48" s="3"/>
      <c r="E48" s="51"/>
      <c r="F48" s="51"/>
      <c r="G48" s="44"/>
      <c r="H48" s="44"/>
      <c r="I48" s="52"/>
      <c r="J48" s="44"/>
      <c r="K48" s="3"/>
    </row>
    <row r="49" spans="1:11" ht="12.75">
      <c r="A49" s="22">
        <v>43</v>
      </c>
      <c r="B49" s="3"/>
      <c r="C49" s="105"/>
      <c r="D49" s="3"/>
      <c r="E49" s="51"/>
      <c r="F49" s="51"/>
      <c r="G49" s="44"/>
      <c r="H49" s="44"/>
      <c r="I49" s="52"/>
      <c r="J49" s="44"/>
      <c r="K49" s="3"/>
    </row>
    <row r="50" spans="1:11" ht="12.75">
      <c r="A50" s="22">
        <v>44</v>
      </c>
      <c r="B50" s="3"/>
      <c r="C50" s="105"/>
      <c r="D50" s="3"/>
      <c r="E50" s="51"/>
      <c r="F50" s="51"/>
      <c r="G50" s="44"/>
      <c r="H50" s="44"/>
      <c r="I50" s="52"/>
      <c r="J50" s="44"/>
      <c r="K50" s="3"/>
    </row>
    <row r="51" spans="1:11" ht="12.75">
      <c r="A51" s="22">
        <v>45</v>
      </c>
      <c r="B51" s="3"/>
      <c r="C51" s="105"/>
      <c r="D51" s="3"/>
      <c r="E51" s="51"/>
      <c r="F51" s="53"/>
      <c r="G51" s="44"/>
      <c r="H51" s="44"/>
      <c r="I51" s="52"/>
      <c r="J51" s="44"/>
      <c r="K51" s="3"/>
    </row>
    <row r="52" spans="1:11" ht="12.75">
      <c r="A52" s="22">
        <v>46</v>
      </c>
      <c r="B52" s="3"/>
      <c r="C52" s="105"/>
      <c r="D52" s="3"/>
      <c r="E52" s="51"/>
      <c r="F52" s="53"/>
      <c r="G52" s="44"/>
      <c r="H52" s="44"/>
      <c r="I52" s="52"/>
      <c r="J52" s="44"/>
      <c r="K52" s="3"/>
    </row>
    <row r="53" spans="1:11" ht="12.75">
      <c r="A53" s="22">
        <v>47</v>
      </c>
      <c r="B53" s="3"/>
      <c r="C53" s="105"/>
      <c r="D53" s="3"/>
      <c r="E53" s="51"/>
      <c r="F53" s="53"/>
      <c r="G53" s="44"/>
      <c r="H53" s="44"/>
      <c r="I53" s="52"/>
      <c r="J53" s="44"/>
      <c r="K53" s="3"/>
    </row>
    <row r="54" spans="1:11" ht="12.75">
      <c r="A54" s="22">
        <v>48</v>
      </c>
      <c r="B54" s="3"/>
      <c r="C54" s="105"/>
      <c r="D54" s="3"/>
      <c r="E54" s="51"/>
      <c r="F54" s="53"/>
      <c r="G54" s="44"/>
      <c r="H54" s="44"/>
      <c r="I54" s="52"/>
      <c r="J54" s="44"/>
      <c r="K54" s="3"/>
    </row>
    <row r="55" spans="1:11" ht="12.75">
      <c r="A55" s="22">
        <v>49</v>
      </c>
      <c r="B55" s="3"/>
      <c r="C55" s="105"/>
      <c r="D55" s="3"/>
      <c r="E55" s="53"/>
      <c r="F55" s="53"/>
      <c r="G55" s="44"/>
      <c r="H55" s="44"/>
      <c r="I55" s="52"/>
      <c r="J55" s="44"/>
      <c r="K55" s="3"/>
    </row>
    <row r="56" spans="1:11" ht="12.75">
      <c r="A56" s="22">
        <v>50</v>
      </c>
      <c r="B56" s="3"/>
      <c r="C56" s="105"/>
      <c r="D56" s="3"/>
      <c r="E56" s="53"/>
      <c r="F56" s="53"/>
      <c r="G56" s="44"/>
      <c r="H56" s="44"/>
      <c r="I56" s="52"/>
      <c r="J56" s="44"/>
      <c r="K56" s="3"/>
    </row>
    <row r="57" spans="1:11" ht="12.75">
      <c r="A57" s="22">
        <v>51</v>
      </c>
      <c r="B57" s="3"/>
      <c r="C57" s="105"/>
      <c r="D57" s="3"/>
      <c r="E57" s="53"/>
      <c r="F57" s="53"/>
      <c r="G57" s="44"/>
      <c r="H57" s="44"/>
      <c r="I57" s="52"/>
      <c r="J57" s="44"/>
      <c r="K57" s="3"/>
    </row>
    <row r="58" spans="1:11" ht="12.75">
      <c r="A58" s="22">
        <v>52</v>
      </c>
      <c r="B58" s="3"/>
      <c r="C58" s="105"/>
      <c r="D58" s="3"/>
      <c r="E58" s="53"/>
      <c r="F58" s="53"/>
      <c r="G58" s="44"/>
      <c r="H58" s="44"/>
      <c r="I58" s="52"/>
      <c r="J58" s="44"/>
      <c r="K58" s="3"/>
    </row>
    <row r="59" spans="1:11" ht="12.75">
      <c r="A59" s="22">
        <v>53</v>
      </c>
      <c r="B59" s="3"/>
      <c r="C59" s="105"/>
      <c r="D59" s="3"/>
      <c r="E59" s="53"/>
      <c r="F59" s="53"/>
      <c r="G59" s="44"/>
      <c r="H59" s="44"/>
      <c r="I59" s="52"/>
      <c r="J59" s="44"/>
      <c r="K59" s="3"/>
    </row>
    <row r="60" spans="1:11" ht="12.75">
      <c r="A60" s="22">
        <v>54</v>
      </c>
      <c r="B60" s="3"/>
      <c r="C60" s="105"/>
      <c r="D60" s="3"/>
      <c r="E60" s="53"/>
      <c r="F60" s="53"/>
      <c r="G60" s="44"/>
      <c r="H60" s="44"/>
      <c r="I60" s="52"/>
      <c r="J60" s="44"/>
      <c r="K60" s="3"/>
    </row>
    <row r="61" spans="1:11" ht="12.75">
      <c r="A61" s="22">
        <v>55</v>
      </c>
      <c r="B61" s="3"/>
      <c r="C61" s="105"/>
      <c r="D61" s="3"/>
      <c r="E61" s="53"/>
      <c r="F61" s="53"/>
      <c r="G61" s="44"/>
      <c r="H61" s="44"/>
      <c r="I61" s="52"/>
      <c r="J61" s="44"/>
      <c r="K61" s="3"/>
    </row>
    <row r="62" spans="1:11" ht="12.75">
      <c r="A62" s="22">
        <v>56</v>
      </c>
      <c r="B62" s="3"/>
      <c r="C62" s="105"/>
      <c r="D62" s="3"/>
      <c r="E62" s="53"/>
      <c r="F62" s="53"/>
      <c r="G62" s="44"/>
      <c r="H62" s="44"/>
      <c r="I62" s="52"/>
      <c r="J62" s="44"/>
      <c r="K62" s="3"/>
    </row>
    <row r="63" spans="1:11" ht="12.75">
      <c r="A63" s="22">
        <v>57</v>
      </c>
      <c r="B63" s="3"/>
      <c r="C63" s="105"/>
      <c r="D63" s="3"/>
      <c r="E63" s="53"/>
      <c r="F63" s="53"/>
      <c r="G63" s="44"/>
      <c r="H63" s="44"/>
      <c r="I63" s="52"/>
      <c r="J63" s="44"/>
      <c r="K63" s="3"/>
    </row>
    <row r="64" spans="1:11" ht="12.75">
      <c r="A64" s="22">
        <v>58</v>
      </c>
      <c r="B64" s="3"/>
      <c r="C64" s="105"/>
      <c r="D64" s="3"/>
      <c r="E64" s="53"/>
      <c r="F64" s="53"/>
      <c r="G64" s="44"/>
      <c r="H64" s="44"/>
      <c r="I64" s="52"/>
      <c r="J64" s="44"/>
      <c r="K64" s="3"/>
    </row>
    <row r="65" spans="1:11" ht="12.75">
      <c r="A65" s="22">
        <v>59</v>
      </c>
      <c r="B65" s="3"/>
      <c r="C65" s="105"/>
      <c r="D65" s="3"/>
      <c r="E65" s="53"/>
      <c r="F65" s="53"/>
      <c r="G65" s="44"/>
      <c r="H65" s="44"/>
      <c r="I65" s="52"/>
      <c r="J65" s="44"/>
      <c r="K65" s="3"/>
    </row>
    <row r="66" spans="1:11" ht="12.75">
      <c r="A66" s="22">
        <v>60</v>
      </c>
      <c r="B66" s="3"/>
      <c r="C66" s="105"/>
      <c r="D66" s="3"/>
      <c r="E66" s="53"/>
      <c r="F66" s="53"/>
      <c r="G66" s="44"/>
      <c r="H66" s="44"/>
      <c r="I66" s="52"/>
      <c r="J66" s="44"/>
      <c r="K66" s="3"/>
    </row>
    <row r="67" spans="1:11" ht="12.75">
      <c r="A67" s="22">
        <v>61</v>
      </c>
      <c r="B67" s="3"/>
      <c r="C67" s="105"/>
      <c r="D67" s="3"/>
      <c r="E67" s="53"/>
      <c r="F67" s="53"/>
      <c r="G67" s="44"/>
      <c r="H67" s="44"/>
      <c r="I67" s="52"/>
      <c r="J67" s="44"/>
      <c r="K67" s="3"/>
    </row>
    <row r="68" spans="1:11" ht="12.75">
      <c r="A68" s="22">
        <v>62</v>
      </c>
      <c r="B68" s="3"/>
      <c r="C68" s="105"/>
      <c r="D68" s="3"/>
      <c r="E68" s="53"/>
      <c r="F68" s="53"/>
      <c r="G68" s="44"/>
      <c r="H68" s="44"/>
      <c r="I68" s="52"/>
      <c r="J68" s="44"/>
      <c r="K68" s="3"/>
    </row>
    <row r="69" spans="1:11" ht="12.75">
      <c r="A69" s="22">
        <v>63</v>
      </c>
      <c r="B69" s="3"/>
      <c r="C69" s="105"/>
      <c r="D69" s="3"/>
      <c r="E69" s="53"/>
      <c r="F69" s="53"/>
      <c r="G69" s="44"/>
      <c r="H69" s="44"/>
      <c r="I69" s="52"/>
      <c r="J69" s="44"/>
      <c r="K69" s="3"/>
    </row>
    <row r="70" spans="1:11" ht="12.75">
      <c r="A70" s="22">
        <v>64</v>
      </c>
      <c r="B70" s="3"/>
      <c r="C70" s="105"/>
      <c r="D70" s="3"/>
      <c r="E70" s="53"/>
      <c r="F70" s="53"/>
      <c r="G70" s="44"/>
      <c r="H70" s="44"/>
      <c r="I70" s="52"/>
      <c r="J70" s="44"/>
      <c r="K70" s="3"/>
    </row>
    <row r="71" spans="1:11" ht="12.75">
      <c r="A71" s="22">
        <v>65</v>
      </c>
      <c r="B71" s="3"/>
      <c r="C71" s="105"/>
      <c r="D71" s="3"/>
      <c r="E71" s="53"/>
      <c r="F71" s="53"/>
      <c r="G71" s="44"/>
      <c r="H71" s="44"/>
      <c r="I71" s="52"/>
      <c r="J71" s="44"/>
      <c r="K71" s="3"/>
    </row>
    <row r="72" spans="1:11" ht="12.75">
      <c r="A72" s="22">
        <v>66</v>
      </c>
      <c r="B72" s="3"/>
      <c r="C72" s="105"/>
      <c r="D72" s="3"/>
      <c r="E72" s="53"/>
      <c r="F72" s="53"/>
      <c r="G72" s="44"/>
      <c r="H72" s="44"/>
      <c r="I72" s="52"/>
      <c r="J72" s="44"/>
      <c r="K72" s="3"/>
    </row>
    <row r="73" spans="1:11" ht="12.75">
      <c r="A73" s="22">
        <v>67</v>
      </c>
      <c r="B73" s="3"/>
      <c r="C73" s="105"/>
      <c r="D73" s="3"/>
      <c r="E73" s="53"/>
      <c r="F73" s="53"/>
      <c r="G73" s="44"/>
      <c r="H73" s="44"/>
      <c r="I73" s="52"/>
      <c r="J73" s="44"/>
      <c r="K73" s="3"/>
    </row>
    <row r="74" spans="1:11" ht="12.75">
      <c r="A74" s="22">
        <v>68</v>
      </c>
      <c r="B74" s="3"/>
      <c r="C74" s="105"/>
      <c r="D74" s="3"/>
      <c r="E74" s="53"/>
      <c r="F74" s="53"/>
      <c r="G74" s="44"/>
      <c r="H74" s="44"/>
      <c r="I74" s="52"/>
      <c r="J74" s="44"/>
      <c r="K74" s="3"/>
    </row>
    <row r="75" spans="1:11" ht="12.75">
      <c r="A75" s="22">
        <v>69</v>
      </c>
      <c r="B75" s="3"/>
      <c r="C75" s="105"/>
      <c r="D75" s="3"/>
      <c r="E75" s="53"/>
      <c r="F75" s="53"/>
      <c r="G75" s="44"/>
      <c r="H75" s="44"/>
      <c r="I75" s="52"/>
      <c r="J75" s="44"/>
      <c r="K75" s="3"/>
    </row>
    <row r="76" spans="1:11" ht="12.75">
      <c r="A76" s="22">
        <v>70</v>
      </c>
      <c r="B76" s="3"/>
      <c r="C76" s="105"/>
      <c r="D76" s="3"/>
      <c r="E76" s="53"/>
      <c r="F76" s="53"/>
      <c r="G76" s="44"/>
      <c r="H76" s="44"/>
      <c r="I76" s="52"/>
      <c r="J76" s="44"/>
      <c r="K76" s="3"/>
    </row>
    <row r="77" spans="1:11" ht="12.75">
      <c r="A77" s="22">
        <v>71</v>
      </c>
      <c r="B77" s="3"/>
      <c r="C77" s="105"/>
      <c r="D77" s="3"/>
      <c r="E77" s="53"/>
      <c r="F77" s="53"/>
      <c r="G77" s="44"/>
      <c r="H77" s="44"/>
      <c r="I77" s="52"/>
      <c r="J77" s="44"/>
      <c r="K77" s="3"/>
    </row>
    <row r="78" spans="1:11" ht="12.75">
      <c r="A78" s="22">
        <v>72</v>
      </c>
      <c r="B78" s="3"/>
      <c r="C78" s="105"/>
      <c r="D78" s="3"/>
      <c r="E78" s="53"/>
      <c r="F78" s="53"/>
      <c r="G78" s="44"/>
      <c r="H78" s="44"/>
      <c r="I78" s="52"/>
      <c r="J78" s="44"/>
      <c r="K78" s="3"/>
    </row>
    <row r="79" spans="1:11" ht="12.75">
      <c r="A79" s="22">
        <v>73</v>
      </c>
      <c r="B79" s="3"/>
      <c r="C79" s="105"/>
      <c r="D79" s="3"/>
      <c r="E79" s="53"/>
      <c r="F79" s="53"/>
      <c r="G79" s="44"/>
      <c r="H79" s="44"/>
      <c r="I79" s="52"/>
      <c r="J79" s="44"/>
      <c r="K79" s="3"/>
    </row>
    <row r="80" spans="1:11" ht="12.75">
      <c r="A80" s="22">
        <v>74</v>
      </c>
      <c r="B80" s="3"/>
      <c r="C80" s="105"/>
      <c r="D80" s="3"/>
      <c r="E80" s="53"/>
      <c r="F80" s="53"/>
      <c r="G80" s="44"/>
      <c r="H80" s="44"/>
      <c r="I80" s="52"/>
      <c r="J80" s="44"/>
      <c r="K80" s="3"/>
    </row>
    <row r="81" spans="1:11" ht="12.75">
      <c r="A81" s="22">
        <v>75</v>
      </c>
      <c r="B81" s="3"/>
      <c r="C81" s="105"/>
      <c r="D81" s="3"/>
      <c r="E81" s="53"/>
      <c r="F81" s="53"/>
      <c r="G81" s="44"/>
      <c r="H81" s="44"/>
      <c r="I81" s="52"/>
      <c r="J81" s="44"/>
      <c r="K81" s="3"/>
    </row>
    <row r="82" spans="1:11" ht="12.75">
      <c r="A82" s="22">
        <v>76</v>
      </c>
      <c r="B82" s="3"/>
      <c r="C82" s="105"/>
      <c r="D82" s="3"/>
      <c r="E82" s="53"/>
      <c r="F82" s="53"/>
      <c r="G82" s="44"/>
      <c r="H82" s="44"/>
      <c r="I82" s="52"/>
      <c r="J82" s="44"/>
      <c r="K82" s="3"/>
    </row>
    <row r="83" spans="1:11" ht="12.75">
      <c r="A83" s="22">
        <v>77</v>
      </c>
      <c r="B83" s="3"/>
      <c r="C83" s="105"/>
      <c r="D83" s="3"/>
      <c r="E83" s="53"/>
      <c r="F83" s="53"/>
      <c r="G83" s="44"/>
      <c r="H83" s="44"/>
      <c r="I83" s="52"/>
      <c r="J83" s="44"/>
      <c r="K83" s="3"/>
    </row>
    <row r="84" spans="1:11" ht="12.75">
      <c r="A84" s="22">
        <v>78</v>
      </c>
      <c r="B84" s="3"/>
      <c r="C84" s="105"/>
      <c r="D84" s="3"/>
      <c r="E84" s="53"/>
      <c r="F84" s="53"/>
      <c r="G84" s="44"/>
      <c r="H84" s="44"/>
      <c r="I84" s="52"/>
      <c r="J84" s="44"/>
      <c r="K84" s="3"/>
    </row>
    <row r="85" spans="1:11" ht="12.75">
      <c r="A85" s="22">
        <v>79</v>
      </c>
      <c r="B85" s="3"/>
      <c r="C85" s="105"/>
      <c r="D85" s="3"/>
      <c r="E85" s="53"/>
      <c r="F85" s="53"/>
      <c r="G85" s="44"/>
      <c r="H85" s="44"/>
      <c r="I85" s="52"/>
      <c r="J85" s="44"/>
      <c r="K85" s="3"/>
    </row>
    <row r="86" spans="1:11" ht="12.75">
      <c r="A86" s="22">
        <v>80</v>
      </c>
      <c r="B86" s="3"/>
      <c r="C86" s="105"/>
      <c r="D86" s="3"/>
      <c r="E86" s="53"/>
      <c r="F86" s="53"/>
      <c r="G86" s="44"/>
      <c r="H86" s="44"/>
      <c r="I86" s="52"/>
      <c r="J86" s="44"/>
      <c r="K86" s="3"/>
    </row>
    <row r="87" spans="1:11" ht="12.75">
      <c r="A87" s="22">
        <v>81</v>
      </c>
      <c r="B87" s="3"/>
      <c r="C87" s="105"/>
      <c r="D87" s="3"/>
      <c r="E87" s="51"/>
      <c r="F87" s="51"/>
      <c r="G87" s="44"/>
      <c r="H87" s="44"/>
      <c r="I87" s="52"/>
      <c r="J87" s="44"/>
      <c r="K87" s="3"/>
    </row>
    <row r="88" spans="1:11" ht="12.75">
      <c r="A88" s="22">
        <v>82</v>
      </c>
      <c r="B88" s="3"/>
      <c r="C88" s="105"/>
      <c r="D88" s="3"/>
      <c r="E88" s="51"/>
      <c r="F88" s="51"/>
      <c r="G88" s="44"/>
      <c r="H88" s="44"/>
      <c r="I88" s="52"/>
      <c r="J88" s="44"/>
      <c r="K88" s="3"/>
    </row>
    <row r="89" spans="1:11" ht="12.75">
      <c r="A89" s="22">
        <v>83</v>
      </c>
      <c r="B89" s="3"/>
      <c r="C89" s="105"/>
      <c r="D89" s="3"/>
      <c r="E89" s="51"/>
      <c r="F89" s="51"/>
      <c r="G89" s="44"/>
      <c r="H89" s="44"/>
      <c r="I89" s="52"/>
      <c r="J89" s="44"/>
      <c r="K89" s="3"/>
    </row>
    <row r="90" spans="1:11" ht="12.75">
      <c r="A90" s="22">
        <v>84</v>
      </c>
      <c r="B90" s="3"/>
      <c r="C90" s="105"/>
      <c r="D90" s="3"/>
      <c r="E90" s="51"/>
      <c r="F90" s="51"/>
      <c r="G90" s="44"/>
      <c r="H90" s="44"/>
      <c r="I90" s="52"/>
      <c r="J90" s="44"/>
      <c r="K90" s="3"/>
    </row>
    <row r="91" spans="1:11" ht="12.75">
      <c r="A91" s="22">
        <v>85</v>
      </c>
      <c r="B91" s="3"/>
      <c r="C91" s="105"/>
      <c r="D91" s="3"/>
      <c r="E91" s="51"/>
      <c r="F91" s="53"/>
      <c r="G91" s="44"/>
      <c r="H91" s="44"/>
      <c r="I91" s="52"/>
      <c r="J91" s="44"/>
      <c r="K91" s="3"/>
    </row>
    <row r="92" spans="1:11" ht="12.75">
      <c r="A92" s="22">
        <v>86</v>
      </c>
      <c r="B92" s="3"/>
      <c r="C92" s="105"/>
      <c r="D92" s="3"/>
      <c r="E92" s="51"/>
      <c r="F92" s="53"/>
      <c r="G92" s="44"/>
      <c r="H92" s="44"/>
      <c r="I92" s="52"/>
      <c r="J92" s="44"/>
      <c r="K92" s="3"/>
    </row>
    <row r="93" spans="1:11" ht="12.75">
      <c r="A93" s="22">
        <v>87</v>
      </c>
      <c r="B93" s="3"/>
      <c r="C93" s="105"/>
      <c r="D93" s="3"/>
      <c r="E93" s="51"/>
      <c r="F93" s="53"/>
      <c r="G93" s="44"/>
      <c r="H93" s="44"/>
      <c r="I93" s="52"/>
      <c r="J93" s="44"/>
      <c r="K93" s="3"/>
    </row>
    <row r="94" spans="1:11" ht="12.75">
      <c r="A94" s="22">
        <v>88</v>
      </c>
      <c r="B94" s="3"/>
      <c r="C94" s="105"/>
      <c r="D94" s="3"/>
      <c r="E94" s="51"/>
      <c r="F94" s="53"/>
      <c r="G94" s="44"/>
      <c r="H94" s="44"/>
      <c r="I94" s="52"/>
      <c r="J94" s="44"/>
      <c r="K94" s="3"/>
    </row>
    <row r="95" spans="1:11" ht="12.75">
      <c r="A95" s="22">
        <v>89</v>
      </c>
      <c r="B95" s="3"/>
      <c r="C95" s="105"/>
      <c r="D95" s="3"/>
      <c r="E95" s="53"/>
      <c r="F95" s="53"/>
      <c r="G95" s="44"/>
      <c r="H95" s="44"/>
      <c r="I95" s="52"/>
      <c r="J95" s="44"/>
      <c r="K95" s="3"/>
    </row>
    <row r="96" spans="1:11" ht="12.75">
      <c r="A96" s="22">
        <v>90</v>
      </c>
      <c r="B96" s="3"/>
      <c r="C96" s="105"/>
      <c r="D96" s="3"/>
      <c r="E96" s="53"/>
      <c r="F96" s="53"/>
      <c r="G96" s="44"/>
      <c r="H96" s="44"/>
      <c r="I96" s="52"/>
      <c r="J96" s="44"/>
      <c r="K96" s="3"/>
    </row>
    <row r="97" spans="1:11" ht="12.75">
      <c r="A97" s="22">
        <v>91</v>
      </c>
      <c r="B97" s="3"/>
      <c r="C97" s="105"/>
      <c r="D97" s="3"/>
      <c r="E97" s="53"/>
      <c r="F97" s="53"/>
      <c r="G97" s="44"/>
      <c r="H97" s="44"/>
      <c r="I97" s="52"/>
      <c r="J97" s="44"/>
      <c r="K97" s="3"/>
    </row>
    <row r="98" spans="1:11" ht="12.75">
      <c r="A98" s="22">
        <v>92</v>
      </c>
      <c r="B98" s="3"/>
      <c r="C98" s="105"/>
      <c r="D98" s="3"/>
      <c r="E98" s="53"/>
      <c r="F98" s="53"/>
      <c r="G98" s="44"/>
      <c r="H98" s="44"/>
      <c r="I98" s="52"/>
      <c r="J98" s="44"/>
      <c r="K98" s="3"/>
    </row>
    <row r="99" spans="1:11" ht="12.75">
      <c r="A99" s="22">
        <v>93</v>
      </c>
      <c r="B99" s="3"/>
      <c r="C99" s="105"/>
      <c r="D99" s="3"/>
      <c r="E99" s="53"/>
      <c r="F99" s="53"/>
      <c r="G99" s="44"/>
      <c r="H99" s="44"/>
      <c r="I99" s="52"/>
      <c r="J99" s="44"/>
      <c r="K99" s="3"/>
    </row>
    <row r="100" spans="1:11" ht="12.75">
      <c r="A100" s="22">
        <v>94</v>
      </c>
      <c r="B100" s="3"/>
      <c r="C100" s="105"/>
      <c r="D100" s="3"/>
      <c r="E100" s="53"/>
      <c r="F100" s="53"/>
      <c r="G100" s="44"/>
      <c r="H100" s="44"/>
      <c r="I100" s="52"/>
      <c r="J100" s="44"/>
      <c r="K100" s="3"/>
    </row>
    <row r="101" spans="1:11" ht="12.75">
      <c r="A101" s="22">
        <v>95</v>
      </c>
      <c r="B101" s="3"/>
      <c r="C101" s="105"/>
      <c r="D101" s="3"/>
      <c r="E101" s="53"/>
      <c r="F101" s="53"/>
      <c r="G101" s="44"/>
      <c r="H101" s="44"/>
      <c r="I101" s="52"/>
      <c r="J101" s="44"/>
      <c r="K101" s="3"/>
    </row>
    <row r="102" spans="1:11" ht="12.75">
      <c r="A102" s="22">
        <v>96</v>
      </c>
      <c r="B102" s="3"/>
      <c r="C102" s="105"/>
      <c r="D102" s="3"/>
      <c r="E102" s="53"/>
      <c r="F102" s="53"/>
      <c r="G102" s="44"/>
      <c r="H102" s="44"/>
      <c r="I102" s="52"/>
      <c r="J102" s="44"/>
      <c r="K102" s="3"/>
    </row>
    <row r="103" spans="1:11" ht="12.75">
      <c r="A103" s="22">
        <v>97</v>
      </c>
      <c r="B103" s="3"/>
      <c r="C103" s="105"/>
      <c r="D103" s="3"/>
      <c r="E103" s="53"/>
      <c r="F103" s="53"/>
      <c r="G103" s="44"/>
      <c r="H103" s="44"/>
      <c r="I103" s="52"/>
      <c r="J103" s="44"/>
      <c r="K103" s="3"/>
    </row>
    <row r="104" spans="1:11" ht="12.75">
      <c r="A104" s="22">
        <v>98</v>
      </c>
      <c r="B104" s="3"/>
      <c r="C104" s="105"/>
      <c r="D104" s="3"/>
      <c r="E104" s="53"/>
      <c r="F104" s="53"/>
      <c r="G104" s="44"/>
      <c r="H104" s="44"/>
      <c r="I104" s="52"/>
      <c r="J104" s="44"/>
      <c r="K104" s="3"/>
    </row>
    <row r="105" spans="1:11" ht="12.75">
      <c r="A105" s="22">
        <v>99</v>
      </c>
      <c r="B105" s="3"/>
      <c r="C105" s="105"/>
      <c r="D105" s="3"/>
      <c r="E105" s="53"/>
      <c r="F105" s="53"/>
      <c r="G105" s="44"/>
      <c r="H105" s="44"/>
      <c r="I105" s="52"/>
      <c r="J105" s="44"/>
      <c r="K105" s="3"/>
    </row>
    <row r="106" spans="1:11" ht="12.75">
      <c r="A106" s="22">
        <v>100</v>
      </c>
      <c r="B106" s="3"/>
      <c r="C106" s="105"/>
      <c r="D106" s="3"/>
      <c r="E106" s="53"/>
      <c r="F106" s="53"/>
      <c r="G106" s="44"/>
      <c r="H106" s="44"/>
      <c r="I106" s="52"/>
      <c r="J106" s="44"/>
      <c r="K106" s="3"/>
    </row>
    <row r="107" spans="1:11" ht="12.75">
      <c r="A107" s="22">
        <v>101</v>
      </c>
      <c r="B107" s="3"/>
      <c r="C107" s="105"/>
      <c r="D107" s="3"/>
      <c r="E107" s="53"/>
      <c r="F107" s="53"/>
      <c r="G107" s="44"/>
      <c r="H107" s="44"/>
      <c r="I107" s="52"/>
      <c r="J107" s="44"/>
      <c r="K107" s="3"/>
    </row>
    <row r="108" spans="1:11" ht="12.75">
      <c r="A108" s="22">
        <v>102</v>
      </c>
      <c r="B108" s="3"/>
      <c r="C108" s="105"/>
      <c r="D108" s="3"/>
      <c r="E108" s="53"/>
      <c r="F108" s="53"/>
      <c r="G108" s="44"/>
      <c r="H108" s="44"/>
      <c r="I108" s="52"/>
      <c r="J108" s="44"/>
      <c r="K108" s="3"/>
    </row>
    <row r="109" spans="1:11" ht="12.75">
      <c r="A109" s="22">
        <v>103</v>
      </c>
      <c r="B109" s="3"/>
      <c r="C109" s="105"/>
      <c r="D109" s="3"/>
      <c r="E109" s="53"/>
      <c r="F109" s="53"/>
      <c r="G109" s="44"/>
      <c r="H109" s="44"/>
      <c r="I109" s="52"/>
      <c r="J109" s="44"/>
      <c r="K109" s="3"/>
    </row>
    <row r="110" spans="1:11" ht="12.75">
      <c r="A110" s="22">
        <v>104</v>
      </c>
      <c r="B110" s="3"/>
      <c r="C110" s="105"/>
      <c r="D110" s="3"/>
      <c r="E110" s="53"/>
      <c r="F110" s="53"/>
      <c r="G110" s="44"/>
      <c r="H110" s="44"/>
      <c r="I110" s="52"/>
      <c r="J110" s="44"/>
      <c r="K110" s="3"/>
    </row>
    <row r="111" spans="1:11" ht="12.75">
      <c r="A111" s="22">
        <v>105</v>
      </c>
      <c r="B111" s="3"/>
      <c r="C111" s="105"/>
      <c r="D111" s="3"/>
      <c r="E111" s="53"/>
      <c r="F111" s="53"/>
      <c r="G111" s="44"/>
      <c r="H111" s="44"/>
      <c r="I111" s="52"/>
      <c r="J111" s="44"/>
      <c r="K111" s="3"/>
    </row>
    <row r="112" spans="1:11" ht="12.75">
      <c r="A112" s="22">
        <v>106</v>
      </c>
      <c r="B112" s="3"/>
      <c r="C112" s="105"/>
      <c r="D112" s="3"/>
      <c r="E112" s="53"/>
      <c r="F112" s="53"/>
      <c r="G112" s="44"/>
      <c r="H112" s="44"/>
      <c r="I112" s="52"/>
      <c r="J112" s="44"/>
      <c r="K112" s="3"/>
    </row>
    <row r="113" spans="1:11" ht="12.75">
      <c r="A113" s="22">
        <v>107</v>
      </c>
      <c r="B113" s="3"/>
      <c r="C113" s="105"/>
      <c r="D113" s="3"/>
      <c r="E113" s="53"/>
      <c r="F113" s="53"/>
      <c r="G113" s="44"/>
      <c r="H113" s="44"/>
      <c r="I113" s="52"/>
      <c r="J113" s="44"/>
      <c r="K113" s="3"/>
    </row>
    <row r="114" spans="1:11" ht="12.75">
      <c r="A114" s="22">
        <v>108</v>
      </c>
      <c r="B114" s="3"/>
      <c r="C114" s="105"/>
      <c r="D114" s="3"/>
      <c r="E114" s="53"/>
      <c r="F114" s="53"/>
      <c r="G114" s="44"/>
      <c r="H114" s="44"/>
      <c r="I114" s="52"/>
      <c r="J114" s="44"/>
      <c r="K114" s="3"/>
    </row>
    <row r="115" spans="1:11" ht="12.75">
      <c r="A115" s="22">
        <v>109</v>
      </c>
      <c r="B115" s="3"/>
      <c r="C115" s="105"/>
      <c r="D115" s="3"/>
      <c r="E115" s="53"/>
      <c r="F115" s="53"/>
      <c r="G115" s="44"/>
      <c r="H115" s="44"/>
      <c r="I115" s="52"/>
      <c r="J115" s="44"/>
      <c r="K115" s="3"/>
    </row>
    <row r="116" spans="1:11" ht="12.75">
      <c r="A116" s="22">
        <v>110</v>
      </c>
      <c r="B116" s="3"/>
      <c r="C116" s="105"/>
      <c r="D116" s="3"/>
      <c r="E116" s="53"/>
      <c r="F116" s="53"/>
      <c r="G116" s="44"/>
      <c r="H116" s="44"/>
      <c r="I116" s="52"/>
      <c r="J116" s="44"/>
      <c r="K116" s="3"/>
    </row>
    <row r="117" spans="1:11" ht="12.75">
      <c r="A117" s="22">
        <v>111</v>
      </c>
      <c r="B117" s="3"/>
      <c r="C117" s="105"/>
      <c r="D117" s="3"/>
      <c r="E117" s="53"/>
      <c r="F117" s="53"/>
      <c r="G117" s="44"/>
      <c r="H117" s="44"/>
      <c r="I117" s="52"/>
      <c r="J117" s="44"/>
      <c r="K117" s="3"/>
    </row>
    <row r="118" spans="1:11" ht="12.75">
      <c r="A118" s="22">
        <v>112</v>
      </c>
      <c r="B118" s="3"/>
      <c r="C118" s="105"/>
      <c r="D118" s="3"/>
      <c r="E118" s="53"/>
      <c r="F118" s="53"/>
      <c r="G118" s="44"/>
      <c r="H118" s="44"/>
      <c r="I118" s="52"/>
      <c r="J118" s="44"/>
      <c r="K118" s="3"/>
    </row>
    <row r="119" spans="1:11" ht="12.75">
      <c r="A119" s="22">
        <v>113</v>
      </c>
      <c r="B119" s="3"/>
      <c r="C119" s="105"/>
      <c r="D119" s="3"/>
      <c r="E119" s="53"/>
      <c r="F119" s="53"/>
      <c r="G119" s="44"/>
      <c r="H119" s="44"/>
      <c r="I119" s="52"/>
      <c r="J119" s="44"/>
      <c r="K119" s="3"/>
    </row>
    <row r="120" spans="1:11" ht="12.75">
      <c r="A120" s="22">
        <v>114</v>
      </c>
      <c r="B120" s="3"/>
      <c r="C120" s="105"/>
      <c r="D120" s="3"/>
      <c r="E120" s="53"/>
      <c r="F120" s="53"/>
      <c r="G120" s="44"/>
      <c r="H120" s="44"/>
      <c r="I120" s="52"/>
      <c r="J120" s="44"/>
      <c r="K120" s="3"/>
    </row>
    <row r="121" spans="1:11" ht="12.75">
      <c r="A121" s="22">
        <v>115</v>
      </c>
      <c r="B121" s="3"/>
      <c r="C121" s="105"/>
      <c r="D121" s="3"/>
      <c r="E121" s="53"/>
      <c r="F121" s="53"/>
      <c r="G121" s="44"/>
      <c r="H121" s="44"/>
      <c r="I121" s="52"/>
      <c r="J121" s="44"/>
      <c r="K121" s="3"/>
    </row>
    <row r="122" spans="1:11" ht="12.75">
      <c r="A122" s="22">
        <v>116</v>
      </c>
      <c r="B122" s="3"/>
      <c r="C122" s="105"/>
      <c r="D122" s="3"/>
      <c r="E122" s="53"/>
      <c r="F122" s="53"/>
      <c r="G122" s="44"/>
      <c r="H122" s="44"/>
      <c r="I122" s="52"/>
      <c r="J122" s="44"/>
      <c r="K122" s="3"/>
    </row>
    <row r="123" spans="1:11" ht="12.75">
      <c r="A123" s="22">
        <v>117</v>
      </c>
      <c r="B123" s="3"/>
      <c r="C123" s="105"/>
      <c r="D123" s="3"/>
      <c r="E123" s="53"/>
      <c r="F123" s="53"/>
      <c r="G123" s="44"/>
      <c r="H123" s="44"/>
      <c r="I123" s="52"/>
      <c r="J123" s="44"/>
      <c r="K123" s="3"/>
    </row>
    <row r="124" spans="1:11" ht="12.75">
      <c r="A124" s="22">
        <v>118</v>
      </c>
      <c r="B124" s="3"/>
      <c r="C124" s="105"/>
      <c r="D124" s="3"/>
      <c r="E124" s="53"/>
      <c r="F124" s="53"/>
      <c r="G124" s="44"/>
      <c r="H124" s="44"/>
      <c r="I124" s="52"/>
      <c r="J124" s="44"/>
      <c r="K124" s="3"/>
    </row>
    <row r="125" spans="1:11" ht="12.75">
      <c r="A125" s="22">
        <v>119</v>
      </c>
      <c r="B125" s="3"/>
      <c r="C125" s="105"/>
      <c r="D125" s="3"/>
      <c r="E125" s="53"/>
      <c r="F125" s="53"/>
      <c r="G125" s="44"/>
      <c r="H125" s="44"/>
      <c r="I125" s="52"/>
      <c r="J125" s="44"/>
      <c r="K125" s="3"/>
    </row>
    <row r="126" spans="1:11" ht="12.75">
      <c r="A126" s="22">
        <v>120</v>
      </c>
      <c r="B126" s="3"/>
      <c r="C126" s="105"/>
      <c r="D126" s="3"/>
      <c r="E126" s="53"/>
      <c r="F126" s="53"/>
      <c r="G126" s="44"/>
      <c r="H126" s="44"/>
      <c r="I126" s="52"/>
      <c r="J126" s="44"/>
      <c r="K126" s="3"/>
    </row>
    <row r="127" spans="1:11" ht="12.75">
      <c r="A127" s="22">
        <v>121</v>
      </c>
      <c r="B127" s="3"/>
      <c r="C127" s="105"/>
      <c r="D127" s="3"/>
      <c r="E127" s="51"/>
      <c r="F127" s="51"/>
      <c r="G127" s="44"/>
      <c r="H127" s="44"/>
      <c r="I127" s="52"/>
      <c r="J127" s="44"/>
      <c r="K127" s="3"/>
    </row>
    <row r="128" spans="1:11" ht="12.75">
      <c r="A128" s="22">
        <v>122</v>
      </c>
      <c r="B128" s="3"/>
      <c r="C128" s="105"/>
      <c r="D128" s="3"/>
      <c r="E128" s="51"/>
      <c r="F128" s="51"/>
      <c r="G128" s="44"/>
      <c r="H128" s="44"/>
      <c r="I128" s="52"/>
      <c r="J128" s="44"/>
      <c r="K128" s="3"/>
    </row>
    <row r="129" spans="1:11" ht="12.75">
      <c r="A129" s="22">
        <v>123</v>
      </c>
      <c r="B129" s="3"/>
      <c r="C129" s="105"/>
      <c r="D129" s="3"/>
      <c r="E129" s="51"/>
      <c r="F129" s="51"/>
      <c r="G129" s="44"/>
      <c r="H129" s="44"/>
      <c r="I129" s="52"/>
      <c r="J129" s="44"/>
      <c r="K129" s="3"/>
    </row>
    <row r="130" spans="1:11" ht="12.75">
      <c r="A130" s="22">
        <v>124</v>
      </c>
      <c r="B130" s="3"/>
      <c r="C130" s="105"/>
      <c r="D130" s="3"/>
      <c r="E130" s="51"/>
      <c r="F130" s="51"/>
      <c r="G130" s="44"/>
      <c r="H130" s="44"/>
      <c r="I130" s="52"/>
      <c r="J130" s="44"/>
      <c r="K130" s="3"/>
    </row>
    <row r="131" spans="1:11" ht="12.75">
      <c r="A131" s="22">
        <v>125</v>
      </c>
      <c r="B131" s="3"/>
      <c r="C131" s="105"/>
      <c r="D131" s="3"/>
      <c r="E131" s="51"/>
      <c r="F131" s="53"/>
      <c r="G131" s="44"/>
      <c r="H131" s="44"/>
      <c r="I131" s="52"/>
      <c r="J131" s="44"/>
      <c r="K131" s="3"/>
    </row>
    <row r="132" spans="1:11" ht="12.75">
      <c r="A132" s="22">
        <v>126</v>
      </c>
      <c r="B132" s="3"/>
      <c r="C132" s="105"/>
      <c r="D132" s="3"/>
      <c r="E132" s="51"/>
      <c r="F132" s="53"/>
      <c r="G132" s="44"/>
      <c r="H132" s="44"/>
      <c r="I132" s="52"/>
      <c r="J132" s="44"/>
      <c r="K132" s="3"/>
    </row>
    <row r="133" spans="1:11" ht="12.75">
      <c r="A133" s="22">
        <v>127</v>
      </c>
      <c r="B133" s="3"/>
      <c r="C133" s="105"/>
      <c r="D133" s="3"/>
      <c r="E133" s="51"/>
      <c r="F133" s="53"/>
      <c r="G133" s="44"/>
      <c r="H133" s="44"/>
      <c r="I133" s="52"/>
      <c r="J133" s="44"/>
      <c r="K133" s="3"/>
    </row>
    <row r="134" spans="1:11" ht="12.75">
      <c r="A134" s="22">
        <v>128</v>
      </c>
      <c r="B134" s="3"/>
      <c r="C134" s="105"/>
      <c r="D134" s="3"/>
      <c r="E134" s="51"/>
      <c r="F134" s="53"/>
      <c r="G134" s="44"/>
      <c r="H134" s="44"/>
      <c r="I134" s="52"/>
      <c r="J134" s="44"/>
      <c r="K134" s="3"/>
    </row>
    <row r="135" spans="1:11" ht="12.75">
      <c r="A135" s="22">
        <v>129</v>
      </c>
      <c r="B135" s="3"/>
      <c r="C135" s="105"/>
      <c r="D135" s="3"/>
      <c r="E135" s="53"/>
      <c r="F135" s="53"/>
      <c r="G135" s="44"/>
      <c r="H135" s="44"/>
      <c r="I135" s="52"/>
      <c r="J135" s="44"/>
      <c r="K135" s="3"/>
    </row>
    <row r="136" spans="1:11" ht="12.75">
      <c r="A136" s="22">
        <v>130</v>
      </c>
      <c r="B136" s="3"/>
      <c r="C136" s="105"/>
      <c r="D136" s="3"/>
      <c r="E136" s="53"/>
      <c r="F136" s="53"/>
      <c r="G136" s="44"/>
      <c r="H136" s="44"/>
      <c r="I136" s="52"/>
      <c r="J136" s="44"/>
      <c r="K136" s="3"/>
    </row>
    <row r="137" spans="1:11" ht="12.75">
      <c r="A137" s="22">
        <v>131</v>
      </c>
      <c r="B137" s="3"/>
      <c r="C137" s="105"/>
      <c r="D137" s="3"/>
      <c r="E137" s="53"/>
      <c r="F137" s="53"/>
      <c r="G137" s="44"/>
      <c r="H137" s="44"/>
      <c r="I137" s="52"/>
      <c r="J137" s="44"/>
      <c r="K137" s="3"/>
    </row>
    <row r="138" spans="1:11" ht="12.75">
      <c r="A138" s="22">
        <v>132</v>
      </c>
      <c r="B138" s="3"/>
      <c r="C138" s="105"/>
      <c r="D138" s="3"/>
      <c r="E138" s="53"/>
      <c r="F138" s="53"/>
      <c r="G138" s="44"/>
      <c r="H138" s="44"/>
      <c r="I138" s="52"/>
      <c r="J138" s="44"/>
      <c r="K138" s="3"/>
    </row>
    <row r="139" spans="1:11" ht="12.75">
      <c r="A139" s="22">
        <v>133</v>
      </c>
      <c r="B139" s="3"/>
      <c r="C139" s="105"/>
      <c r="D139" s="3"/>
      <c r="E139" s="53"/>
      <c r="F139" s="53"/>
      <c r="G139" s="44"/>
      <c r="H139" s="44"/>
      <c r="I139" s="52"/>
      <c r="J139" s="44"/>
      <c r="K139" s="3"/>
    </row>
    <row r="140" spans="1:11" ht="12.75">
      <c r="A140" s="22">
        <v>134</v>
      </c>
      <c r="B140" s="3"/>
      <c r="C140" s="105"/>
      <c r="D140" s="3"/>
      <c r="E140" s="53"/>
      <c r="F140" s="53"/>
      <c r="G140" s="44"/>
      <c r="H140" s="44"/>
      <c r="I140" s="52"/>
      <c r="J140" s="44"/>
      <c r="K140" s="3"/>
    </row>
    <row r="141" spans="1:11" ht="12.75">
      <c r="A141" s="22">
        <v>135</v>
      </c>
      <c r="B141" s="3"/>
      <c r="C141" s="105"/>
      <c r="D141" s="3"/>
      <c r="E141" s="53"/>
      <c r="F141" s="53"/>
      <c r="G141" s="44"/>
      <c r="H141" s="44"/>
      <c r="I141" s="52"/>
      <c r="J141" s="44"/>
      <c r="K141" s="3"/>
    </row>
    <row r="142" spans="1:11" ht="12.75">
      <c r="A142" s="22">
        <v>136</v>
      </c>
      <c r="B142" s="3"/>
      <c r="C142" s="105"/>
      <c r="D142" s="3"/>
      <c r="E142" s="53"/>
      <c r="F142" s="53"/>
      <c r="G142" s="44"/>
      <c r="H142" s="44"/>
      <c r="I142" s="52"/>
      <c r="J142" s="44"/>
      <c r="K142" s="3"/>
    </row>
    <row r="143" spans="1:11" ht="12.75">
      <c r="A143" s="22">
        <v>137</v>
      </c>
      <c r="B143" s="3"/>
      <c r="C143" s="105"/>
      <c r="D143" s="3"/>
      <c r="E143" s="53"/>
      <c r="F143" s="53"/>
      <c r="G143" s="44"/>
      <c r="H143" s="44"/>
      <c r="I143" s="52"/>
      <c r="J143" s="44"/>
      <c r="K143" s="3"/>
    </row>
    <row r="144" spans="1:11" ht="12.75">
      <c r="A144" s="22">
        <v>138</v>
      </c>
      <c r="B144" s="3"/>
      <c r="C144" s="105"/>
      <c r="D144" s="3"/>
      <c r="E144" s="53"/>
      <c r="F144" s="53"/>
      <c r="G144" s="44"/>
      <c r="H144" s="44"/>
      <c r="I144" s="52"/>
      <c r="J144" s="44"/>
      <c r="K144" s="3"/>
    </row>
    <row r="145" spans="1:11" ht="12.75">
      <c r="A145" s="22">
        <v>139</v>
      </c>
      <c r="B145" s="3"/>
      <c r="C145" s="105"/>
      <c r="D145" s="3"/>
      <c r="E145" s="53"/>
      <c r="F145" s="53"/>
      <c r="G145" s="44"/>
      <c r="H145" s="44"/>
      <c r="I145" s="52"/>
      <c r="J145" s="44"/>
      <c r="K145" s="3"/>
    </row>
    <row r="146" spans="1:11" ht="12.75">
      <c r="A146" s="22">
        <v>140</v>
      </c>
      <c r="B146" s="3"/>
      <c r="C146" s="105"/>
      <c r="D146" s="3"/>
      <c r="E146" s="53"/>
      <c r="F146" s="53"/>
      <c r="G146" s="44"/>
      <c r="H146" s="44"/>
      <c r="I146" s="52"/>
      <c r="J146" s="44"/>
      <c r="K146" s="3"/>
    </row>
    <row r="147" spans="1:11" ht="12.75">
      <c r="A147" s="22">
        <v>141</v>
      </c>
      <c r="B147" s="3"/>
      <c r="C147" s="105"/>
      <c r="D147" s="3"/>
      <c r="E147" s="53"/>
      <c r="F147" s="53"/>
      <c r="G147" s="44"/>
      <c r="H147" s="44"/>
      <c r="I147" s="52"/>
      <c r="J147" s="44"/>
      <c r="K147" s="3"/>
    </row>
    <row r="148" spans="1:11" ht="12.75">
      <c r="A148" s="22">
        <v>142</v>
      </c>
      <c r="B148" s="3"/>
      <c r="C148" s="105"/>
      <c r="D148" s="3"/>
      <c r="E148" s="53"/>
      <c r="F148" s="53"/>
      <c r="G148" s="44"/>
      <c r="H148" s="44"/>
      <c r="I148" s="52"/>
      <c r="J148" s="44"/>
      <c r="K148" s="3"/>
    </row>
    <row r="149" spans="1:11" ht="12.75">
      <c r="A149" s="22">
        <v>143</v>
      </c>
      <c r="B149" s="3"/>
      <c r="C149" s="105"/>
      <c r="D149" s="3"/>
      <c r="E149" s="53"/>
      <c r="F149" s="53"/>
      <c r="G149" s="44"/>
      <c r="H149" s="44"/>
      <c r="I149" s="52"/>
      <c r="J149" s="44"/>
      <c r="K149" s="3"/>
    </row>
    <row r="150" spans="1:11" ht="12.75">
      <c r="A150" s="22">
        <v>144</v>
      </c>
      <c r="B150" s="3"/>
      <c r="C150" s="105"/>
      <c r="D150" s="3"/>
      <c r="E150" s="53"/>
      <c r="F150" s="53"/>
      <c r="G150" s="44"/>
      <c r="H150" s="44"/>
      <c r="I150" s="52"/>
      <c r="J150" s="44"/>
      <c r="K150" s="3"/>
    </row>
    <row r="151" spans="1:11" ht="12.75">
      <c r="A151" s="22">
        <v>145</v>
      </c>
      <c r="B151" s="3"/>
      <c r="C151" s="105"/>
      <c r="D151" s="3"/>
      <c r="E151" s="53"/>
      <c r="F151" s="53"/>
      <c r="G151" s="44"/>
      <c r="H151" s="44"/>
      <c r="I151" s="52"/>
      <c r="J151" s="44"/>
      <c r="K151" s="3"/>
    </row>
    <row r="152" spans="1:11" ht="12.75">
      <c r="A152" s="22">
        <v>146</v>
      </c>
      <c r="B152" s="3"/>
      <c r="C152" s="105"/>
      <c r="D152" s="3"/>
      <c r="E152" s="53"/>
      <c r="F152" s="53"/>
      <c r="G152" s="44"/>
      <c r="H152" s="44"/>
      <c r="I152" s="52"/>
      <c r="J152" s="44"/>
      <c r="K152" s="3"/>
    </row>
    <row r="153" spans="1:11" ht="12.75">
      <c r="A153" s="22">
        <v>147</v>
      </c>
      <c r="B153" s="3"/>
      <c r="C153" s="105"/>
      <c r="D153" s="3"/>
      <c r="E153" s="53"/>
      <c r="F153" s="53"/>
      <c r="G153" s="44"/>
      <c r="H153" s="44"/>
      <c r="I153" s="52"/>
      <c r="J153" s="44"/>
      <c r="K153" s="3"/>
    </row>
    <row r="154" spans="1:11" ht="12.75">
      <c r="A154" s="22">
        <v>148</v>
      </c>
      <c r="B154" s="3"/>
      <c r="C154" s="105"/>
      <c r="D154" s="3"/>
      <c r="E154" s="53"/>
      <c r="F154" s="53"/>
      <c r="G154" s="44"/>
      <c r="H154" s="44"/>
      <c r="I154" s="52"/>
      <c r="J154" s="44"/>
      <c r="K154" s="3"/>
    </row>
    <row r="155" spans="1:11" ht="12.75">
      <c r="A155" s="22">
        <v>149</v>
      </c>
      <c r="B155" s="3"/>
      <c r="C155" s="105"/>
      <c r="D155" s="3"/>
      <c r="E155" s="53"/>
      <c r="F155" s="53"/>
      <c r="G155" s="44"/>
      <c r="H155" s="44"/>
      <c r="I155" s="52"/>
      <c r="J155" s="44"/>
      <c r="K155" s="3"/>
    </row>
    <row r="156" spans="1:11" ht="12.75">
      <c r="A156" s="22">
        <v>150</v>
      </c>
      <c r="B156" s="3"/>
      <c r="C156" s="105"/>
      <c r="D156" s="3"/>
      <c r="E156" s="53"/>
      <c r="F156" s="53"/>
      <c r="G156" s="44"/>
      <c r="H156" s="44"/>
      <c r="I156" s="52"/>
      <c r="J156" s="44"/>
      <c r="K156" s="3"/>
    </row>
  </sheetData>
  <sheetProtection password="8197" sheet="1" objects="1" scenarios="1"/>
  <dataValidations count="5">
    <dataValidation allowBlank="1" showInputMessage="1" showErrorMessage="1" errorTitle="Error" error="This cell only accepts dates eg enter 01 May 04 or 01/05/04" sqref="E7:F166"/>
    <dataValidation type="whole" allowBlank="1" showInputMessage="1" showErrorMessage="1" errorTitle="Error" error="this cell only accepts whole numbers between 0 and 999999999999." sqref="G7:H166">
      <formula1>0</formula1>
      <formula2>999999999999</formula2>
    </dataValidation>
    <dataValidation type="whole" allowBlank="1" showInputMessage="1" showErrorMessage="1" errorTitle="Error" error="This cell doesn't accept negative numbers or decimal places.  Please enter a positive whole number." sqref="J7:J166">
      <formula1>0</formula1>
      <formula2>999999999999</formula2>
    </dataValidation>
    <dataValidation type="list" allowBlank="1" showInputMessage="1" showErrorMessage="1" sqref="G3">
      <formula1>$N$7:$N$19</formula1>
    </dataValidation>
    <dataValidation type="list" allowBlank="1" showInputMessage="1" showErrorMessage="1" sqref="H3">
      <formula1>$O$7:$O$27</formula1>
    </dataValidation>
  </dataValidations>
  <printOptions/>
  <pageMargins left="0.21" right="0.46" top="1" bottom="0.5" header="0.5" footer="0.5"/>
  <pageSetup fitToHeight="2" fitToWidth="1"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B2:AA354"/>
  <sheetViews>
    <sheetView zoomScale="75" zoomScaleNormal="75" workbookViewId="0" topLeftCell="A1">
      <selection activeCell="K9" sqref="K9"/>
    </sheetView>
  </sheetViews>
  <sheetFormatPr defaultColWidth="9.00390625" defaultRowHeight="15"/>
  <cols>
    <col min="1" max="1" width="8.50390625" style="22" customWidth="1"/>
    <col min="2" max="2" width="4.00390625" style="22" customWidth="1"/>
    <col min="3" max="3" width="4.125" style="22" customWidth="1"/>
    <col min="4" max="4" width="13.375" style="22" customWidth="1"/>
    <col min="5" max="5" width="9.50390625" style="22" customWidth="1"/>
    <col min="6" max="6" width="11.125" style="22" customWidth="1"/>
    <col min="7" max="7" width="7.75390625" style="22" customWidth="1"/>
    <col min="8" max="8" width="11.375" style="22" customWidth="1"/>
    <col min="9" max="9" width="12.125" style="22" customWidth="1"/>
    <col min="10" max="10" width="17.50390625" style="22" customWidth="1"/>
    <col min="11" max="11" width="13.50390625" style="22" customWidth="1"/>
    <col min="12" max="12" width="12.875" style="22" customWidth="1"/>
    <col min="13" max="13" width="13.00390625" style="22" customWidth="1"/>
    <col min="14" max="14" width="14.00390625" style="22" customWidth="1"/>
    <col min="15" max="15" width="13.75390625" style="22" customWidth="1"/>
    <col min="16" max="16" width="19.50390625" style="22" customWidth="1"/>
    <col min="17" max="17" width="3.625" style="22" customWidth="1"/>
    <col min="18" max="18" width="11.00390625" style="22" customWidth="1"/>
    <col min="19" max="28" width="9.00390625" style="22" hidden="1" customWidth="1"/>
    <col min="29" max="16384" width="9.00390625" style="22" customWidth="1"/>
  </cols>
  <sheetData>
    <row r="1" ht="12.75"/>
    <row r="2" spans="2:16" ht="19.5">
      <c r="B2" s="61" t="s">
        <v>33</v>
      </c>
      <c r="P2" s="62" t="s">
        <v>210</v>
      </c>
    </row>
    <row r="3" spans="2:17" ht="12.75">
      <c r="B3" s="63"/>
      <c r="N3" s="18"/>
      <c r="O3" s="67"/>
      <c r="P3" s="18"/>
      <c r="Q3" s="18"/>
    </row>
    <row r="4" spans="2:16" ht="12.75">
      <c r="B4" s="63"/>
      <c r="G4" s="100" t="s">
        <v>15</v>
      </c>
      <c r="H4" s="114">
        <f>IF(ISBLANK(Generator_Info!B16),"",Generator_Info!B16)</f>
      </c>
      <c r="I4" s="119"/>
      <c r="J4" s="119"/>
      <c r="K4" s="115"/>
      <c r="N4" s="100" t="s">
        <v>75</v>
      </c>
      <c r="O4" s="11" t="s">
        <v>40</v>
      </c>
      <c r="P4" s="12">
        <v>2007</v>
      </c>
    </row>
    <row r="5" ht="13.5" thickBot="1"/>
    <row r="6" spans="2:17" ht="12.75">
      <c r="B6" s="13"/>
      <c r="C6" s="14"/>
      <c r="D6" s="14"/>
      <c r="E6" s="14"/>
      <c r="F6" s="14"/>
      <c r="G6" s="14"/>
      <c r="H6" s="14"/>
      <c r="I6" s="14"/>
      <c r="J6" s="14"/>
      <c r="K6" s="14"/>
      <c r="L6" s="14"/>
      <c r="M6" s="14"/>
      <c r="N6" s="14"/>
      <c r="O6" s="14"/>
      <c r="P6" s="14"/>
      <c r="Q6" s="15"/>
    </row>
    <row r="7" spans="2:17" ht="12.75">
      <c r="B7" s="16"/>
      <c r="C7" s="17" t="s">
        <v>71</v>
      </c>
      <c r="D7" s="18"/>
      <c r="E7" s="18"/>
      <c r="F7" s="18"/>
      <c r="G7" s="18"/>
      <c r="H7" s="18"/>
      <c r="I7" s="18"/>
      <c r="J7" s="18"/>
      <c r="K7" s="18"/>
      <c r="L7" s="18"/>
      <c r="M7" s="18"/>
      <c r="N7" s="18"/>
      <c r="O7" s="18"/>
      <c r="P7" s="18"/>
      <c r="Q7" s="19"/>
    </row>
    <row r="8" spans="2:22" s="23" customFormat="1" ht="89.25">
      <c r="B8" s="20"/>
      <c r="C8" s="4"/>
      <c r="D8" s="4" t="s">
        <v>16</v>
      </c>
      <c r="E8" s="4" t="s">
        <v>25</v>
      </c>
      <c r="F8" s="4" t="s">
        <v>17</v>
      </c>
      <c r="G8" s="4" t="s">
        <v>26</v>
      </c>
      <c r="H8" s="4" t="s">
        <v>18</v>
      </c>
      <c r="I8" s="4" t="s">
        <v>34</v>
      </c>
      <c r="J8" s="4" t="s">
        <v>35</v>
      </c>
      <c r="K8" s="4" t="s">
        <v>78</v>
      </c>
      <c r="L8" s="4" t="s">
        <v>19</v>
      </c>
      <c r="M8" s="4" t="s">
        <v>20</v>
      </c>
      <c r="N8" s="4" t="s">
        <v>21</v>
      </c>
      <c r="O8" s="4" t="s">
        <v>22</v>
      </c>
      <c r="P8" s="4" t="s">
        <v>23</v>
      </c>
      <c r="Q8" s="21"/>
      <c r="S8" s="22" t="s">
        <v>79</v>
      </c>
      <c r="U8" s="23" t="s">
        <v>80</v>
      </c>
      <c r="V8" s="23" t="s">
        <v>145</v>
      </c>
    </row>
    <row r="9" spans="2:27" ht="12.75">
      <c r="B9" s="16"/>
      <c r="C9" s="24">
        <v>1</v>
      </c>
      <c r="D9" s="3"/>
      <c r="E9" s="3"/>
      <c r="F9" s="3"/>
      <c r="G9" s="3"/>
      <c r="H9" s="3"/>
      <c r="I9" s="4">
        <f aca="true" t="shared" si="0" ref="I9:I20">E9*G9</f>
        <v>0</v>
      </c>
      <c r="J9" s="54">
        <f>IF($I$31=0,0,I9/$I$31)</f>
        <v>0</v>
      </c>
      <c r="K9" s="2" t="s">
        <v>8</v>
      </c>
      <c r="L9" s="3" t="s">
        <v>8</v>
      </c>
      <c r="M9" s="3" t="s">
        <v>8</v>
      </c>
      <c r="N9" s="1" t="s">
        <v>8</v>
      </c>
      <c r="O9" s="3" t="s">
        <v>8</v>
      </c>
      <c r="P9" s="55"/>
      <c r="Q9" s="19"/>
      <c r="S9" s="22">
        <f>IF(K9="yes",1,0)</f>
        <v>0</v>
      </c>
      <c r="U9" s="22">
        <f>IF(P9&lt;=0.02,0,1)</f>
        <v>0</v>
      </c>
      <c r="V9" s="22">
        <f>IF(U9=0,J9,J9*(1-P9))</f>
        <v>0</v>
      </c>
      <c r="Z9" s="24" t="s">
        <v>81</v>
      </c>
      <c r="AA9" s="24">
        <v>2007</v>
      </c>
    </row>
    <row r="10" spans="2:27" ht="12.75">
      <c r="B10" s="16"/>
      <c r="C10" s="24">
        <v>2</v>
      </c>
      <c r="D10" s="3"/>
      <c r="E10" s="3"/>
      <c r="F10" s="3"/>
      <c r="G10" s="3"/>
      <c r="H10" s="3"/>
      <c r="I10" s="4">
        <f t="shared" si="0"/>
        <v>0</v>
      </c>
      <c r="J10" s="54">
        <f aca="true" t="shared" si="1" ref="J10:J20">IF($I$31=0,0,I10/$I$31)</f>
        <v>0</v>
      </c>
      <c r="K10" s="2" t="s">
        <v>8</v>
      </c>
      <c r="L10" s="3" t="s">
        <v>8</v>
      </c>
      <c r="M10" s="3" t="s">
        <v>8</v>
      </c>
      <c r="N10" s="1" t="s">
        <v>8</v>
      </c>
      <c r="O10" s="3" t="s">
        <v>8</v>
      </c>
      <c r="P10" s="55"/>
      <c r="Q10" s="19"/>
      <c r="S10" s="22">
        <f aca="true" t="shared" si="2" ref="S10:S20">IF(K10="yes",1,0)</f>
        <v>0</v>
      </c>
      <c r="U10" s="22">
        <f aca="true" t="shared" si="3" ref="U10:U20">IF(P10&lt;=0.02,0,1)</f>
        <v>0</v>
      </c>
      <c r="V10" s="22">
        <f aca="true" t="shared" si="4" ref="V10:V20">IF(U10=0,J10,J10*(1-P10))</f>
        <v>0</v>
      </c>
      <c r="Z10" s="24" t="s">
        <v>40</v>
      </c>
      <c r="AA10" s="24">
        <v>2008</v>
      </c>
    </row>
    <row r="11" spans="2:27" ht="12.75">
      <c r="B11" s="16"/>
      <c r="C11" s="24">
        <v>3</v>
      </c>
      <c r="D11" s="3"/>
      <c r="E11" s="3"/>
      <c r="F11" s="3"/>
      <c r="G11" s="3"/>
      <c r="H11" s="3"/>
      <c r="I11" s="4">
        <f t="shared" si="0"/>
        <v>0</v>
      </c>
      <c r="J11" s="54">
        <f t="shared" si="1"/>
        <v>0</v>
      </c>
      <c r="K11" s="2" t="s">
        <v>8</v>
      </c>
      <c r="L11" s="3" t="s">
        <v>8</v>
      </c>
      <c r="M11" s="3" t="s">
        <v>8</v>
      </c>
      <c r="N11" s="1" t="s">
        <v>8</v>
      </c>
      <c r="O11" s="3" t="s">
        <v>8</v>
      </c>
      <c r="P11" s="55"/>
      <c r="Q11" s="19"/>
      <c r="S11" s="22">
        <f t="shared" si="2"/>
        <v>0</v>
      </c>
      <c r="U11" s="22">
        <f t="shared" si="3"/>
        <v>0</v>
      </c>
      <c r="V11" s="22">
        <f t="shared" si="4"/>
        <v>0</v>
      </c>
      <c r="Z11" s="24" t="s">
        <v>41</v>
      </c>
      <c r="AA11" s="24">
        <v>2009</v>
      </c>
    </row>
    <row r="12" spans="2:27" ht="12.75">
      <c r="B12" s="16"/>
      <c r="C12" s="24">
        <v>4</v>
      </c>
      <c r="D12" s="3"/>
      <c r="E12" s="3"/>
      <c r="F12" s="3"/>
      <c r="G12" s="3"/>
      <c r="H12" s="3"/>
      <c r="I12" s="4">
        <f t="shared" si="0"/>
        <v>0</v>
      </c>
      <c r="J12" s="54">
        <f t="shared" si="1"/>
        <v>0</v>
      </c>
      <c r="K12" s="2" t="s">
        <v>8</v>
      </c>
      <c r="L12" s="3" t="s">
        <v>8</v>
      </c>
      <c r="M12" s="3" t="s">
        <v>8</v>
      </c>
      <c r="N12" s="1" t="s">
        <v>8</v>
      </c>
      <c r="O12" s="3" t="s">
        <v>8</v>
      </c>
      <c r="P12" s="55"/>
      <c r="Q12" s="19"/>
      <c r="S12" s="22">
        <f t="shared" si="2"/>
        <v>0</v>
      </c>
      <c r="U12" s="22">
        <f t="shared" si="3"/>
        <v>0</v>
      </c>
      <c r="V12" s="22">
        <f t="shared" si="4"/>
        <v>0</v>
      </c>
      <c r="Z12" s="24" t="s">
        <v>82</v>
      </c>
      <c r="AA12" s="24">
        <v>2010</v>
      </c>
    </row>
    <row r="13" spans="2:27" ht="12.75">
      <c r="B13" s="16"/>
      <c r="C13" s="24">
        <v>5</v>
      </c>
      <c r="D13" s="3"/>
      <c r="E13" s="3"/>
      <c r="F13" s="3"/>
      <c r="G13" s="3"/>
      <c r="H13" s="3"/>
      <c r="I13" s="4">
        <f t="shared" si="0"/>
        <v>0</v>
      </c>
      <c r="J13" s="54">
        <f t="shared" si="1"/>
        <v>0</v>
      </c>
      <c r="K13" s="2" t="s">
        <v>8</v>
      </c>
      <c r="L13" s="3" t="s">
        <v>8</v>
      </c>
      <c r="M13" s="3" t="s">
        <v>8</v>
      </c>
      <c r="N13" s="1" t="s">
        <v>8</v>
      </c>
      <c r="O13" s="3" t="s">
        <v>8</v>
      </c>
      <c r="P13" s="55"/>
      <c r="Q13" s="19"/>
      <c r="S13" s="22">
        <f t="shared" si="2"/>
        <v>0</v>
      </c>
      <c r="U13" s="22">
        <f t="shared" si="3"/>
        <v>0</v>
      </c>
      <c r="V13" s="22">
        <f t="shared" si="4"/>
        <v>0</v>
      </c>
      <c r="Z13" s="24" t="s">
        <v>43</v>
      </c>
      <c r="AA13" s="24">
        <v>2011</v>
      </c>
    </row>
    <row r="14" spans="2:27" ht="12.75">
      <c r="B14" s="16"/>
      <c r="C14" s="24">
        <v>6</v>
      </c>
      <c r="D14" s="3"/>
      <c r="E14" s="3"/>
      <c r="F14" s="3"/>
      <c r="G14" s="3"/>
      <c r="H14" s="3"/>
      <c r="I14" s="4">
        <f t="shared" si="0"/>
        <v>0</v>
      </c>
      <c r="J14" s="54">
        <f t="shared" si="1"/>
        <v>0</v>
      </c>
      <c r="K14" s="2" t="s">
        <v>8</v>
      </c>
      <c r="L14" s="3" t="s">
        <v>8</v>
      </c>
      <c r="M14" s="3" t="s">
        <v>8</v>
      </c>
      <c r="N14" s="1" t="s">
        <v>8</v>
      </c>
      <c r="O14" s="3" t="s">
        <v>8</v>
      </c>
      <c r="P14" s="55"/>
      <c r="Q14" s="19"/>
      <c r="S14" s="22">
        <f t="shared" si="2"/>
        <v>0</v>
      </c>
      <c r="U14" s="22">
        <f t="shared" si="3"/>
        <v>0</v>
      </c>
      <c r="V14" s="22">
        <f t="shared" si="4"/>
        <v>0</v>
      </c>
      <c r="Z14" s="24" t="s">
        <v>44</v>
      </c>
      <c r="AA14" s="24">
        <v>2012</v>
      </c>
    </row>
    <row r="15" spans="2:27" ht="12.75">
      <c r="B15" s="16"/>
      <c r="C15" s="24">
        <v>7</v>
      </c>
      <c r="D15" s="3"/>
      <c r="E15" s="3"/>
      <c r="F15" s="3"/>
      <c r="G15" s="3"/>
      <c r="H15" s="3"/>
      <c r="I15" s="4">
        <f t="shared" si="0"/>
        <v>0</v>
      </c>
      <c r="J15" s="54">
        <f t="shared" si="1"/>
        <v>0</v>
      </c>
      <c r="K15" s="2" t="s">
        <v>8</v>
      </c>
      <c r="L15" s="3" t="s">
        <v>8</v>
      </c>
      <c r="M15" s="3" t="s">
        <v>8</v>
      </c>
      <c r="N15" s="1" t="s">
        <v>8</v>
      </c>
      <c r="O15" s="3" t="s">
        <v>8</v>
      </c>
      <c r="P15" s="55"/>
      <c r="Q15" s="19"/>
      <c r="S15" s="22">
        <f t="shared" si="2"/>
        <v>0</v>
      </c>
      <c r="U15" s="22">
        <f t="shared" si="3"/>
        <v>0</v>
      </c>
      <c r="V15" s="22">
        <f t="shared" si="4"/>
        <v>0</v>
      </c>
      <c r="Z15" s="24" t="s">
        <v>45</v>
      </c>
      <c r="AA15" s="24">
        <v>2013</v>
      </c>
    </row>
    <row r="16" spans="2:27" ht="12.75">
      <c r="B16" s="16"/>
      <c r="C16" s="24">
        <v>8</v>
      </c>
      <c r="D16" s="3"/>
      <c r="E16" s="3"/>
      <c r="F16" s="3"/>
      <c r="G16" s="3"/>
      <c r="H16" s="3"/>
      <c r="I16" s="4">
        <f t="shared" si="0"/>
        <v>0</v>
      </c>
      <c r="J16" s="54">
        <f t="shared" si="1"/>
        <v>0</v>
      </c>
      <c r="K16" s="2" t="s">
        <v>8</v>
      </c>
      <c r="L16" s="3" t="s">
        <v>8</v>
      </c>
      <c r="M16" s="3" t="s">
        <v>8</v>
      </c>
      <c r="N16" s="1" t="s">
        <v>8</v>
      </c>
      <c r="O16" s="3" t="s">
        <v>8</v>
      </c>
      <c r="P16" s="55"/>
      <c r="Q16" s="19"/>
      <c r="S16" s="22">
        <f t="shared" si="2"/>
        <v>0</v>
      </c>
      <c r="U16" s="22">
        <f t="shared" si="3"/>
        <v>0</v>
      </c>
      <c r="V16" s="22">
        <f t="shared" si="4"/>
        <v>0</v>
      </c>
      <c r="Z16" s="24" t="s">
        <v>46</v>
      </c>
      <c r="AA16" s="24">
        <v>2014</v>
      </c>
    </row>
    <row r="17" spans="2:27" ht="12.75">
      <c r="B17" s="16"/>
      <c r="C17" s="24">
        <v>9</v>
      </c>
      <c r="D17" s="3"/>
      <c r="E17" s="3"/>
      <c r="F17" s="3"/>
      <c r="G17" s="3"/>
      <c r="H17" s="3"/>
      <c r="I17" s="4">
        <f t="shared" si="0"/>
        <v>0</v>
      </c>
      <c r="J17" s="54">
        <f t="shared" si="1"/>
        <v>0</v>
      </c>
      <c r="K17" s="2" t="s">
        <v>8</v>
      </c>
      <c r="L17" s="3" t="s">
        <v>8</v>
      </c>
      <c r="M17" s="3" t="s">
        <v>8</v>
      </c>
      <c r="N17" s="1" t="s">
        <v>8</v>
      </c>
      <c r="O17" s="3" t="s">
        <v>8</v>
      </c>
      <c r="P17" s="55"/>
      <c r="Q17" s="19"/>
      <c r="S17" s="22">
        <f t="shared" si="2"/>
        <v>0</v>
      </c>
      <c r="U17" s="22">
        <f t="shared" si="3"/>
        <v>0</v>
      </c>
      <c r="V17" s="22">
        <f t="shared" si="4"/>
        <v>0</v>
      </c>
      <c r="Z17" s="24" t="s">
        <v>47</v>
      </c>
      <c r="AA17" s="24">
        <v>2015</v>
      </c>
    </row>
    <row r="18" spans="2:27" ht="12.75">
      <c r="B18" s="16"/>
      <c r="C18" s="25">
        <v>10</v>
      </c>
      <c r="D18" s="3"/>
      <c r="E18" s="3"/>
      <c r="F18" s="3"/>
      <c r="G18" s="3"/>
      <c r="H18" s="3"/>
      <c r="I18" s="4">
        <f t="shared" si="0"/>
        <v>0</v>
      </c>
      <c r="J18" s="54">
        <f t="shared" si="1"/>
        <v>0</v>
      </c>
      <c r="K18" s="2" t="s">
        <v>8</v>
      </c>
      <c r="L18" s="3" t="s">
        <v>8</v>
      </c>
      <c r="M18" s="3" t="s">
        <v>8</v>
      </c>
      <c r="N18" s="1" t="s">
        <v>8</v>
      </c>
      <c r="O18" s="3" t="s">
        <v>8</v>
      </c>
      <c r="P18" s="55"/>
      <c r="Q18" s="19"/>
      <c r="S18" s="22">
        <f t="shared" si="2"/>
        <v>0</v>
      </c>
      <c r="U18" s="22">
        <f t="shared" si="3"/>
        <v>0</v>
      </c>
      <c r="V18" s="22">
        <f t="shared" si="4"/>
        <v>0</v>
      </c>
      <c r="Z18" s="24" t="s">
        <v>48</v>
      </c>
      <c r="AA18" s="24">
        <v>2016</v>
      </c>
    </row>
    <row r="19" spans="2:27" ht="12.75">
      <c r="B19" s="16"/>
      <c r="C19" s="25">
        <v>11</v>
      </c>
      <c r="D19" s="6"/>
      <c r="E19" s="7"/>
      <c r="F19" s="6"/>
      <c r="G19" s="7"/>
      <c r="H19" s="6"/>
      <c r="I19" s="4">
        <f t="shared" si="0"/>
        <v>0</v>
      </c>
      <c r="J19" s="54">
        <f t="shared" si="1"/>
        <v>0</v>
      </c>
      <c r="K19" s="2" t="s">
        <v>8</v>
      </c>
      <c r="L19" s="3" t="s">
        <v>8</v>
      </c>
      <c r="M19" s="3" t="s">
        <v>8</v>
      </c>
      <c r="N19" s="1" t="s">
        <v>8</v>
      </c>
      <c r="O19" s="3" t="s">
        <v>8</v>
      </c>
      <c r="P19" s="55"/>
      <c r="Q19" s="19"/>
      <c r="S19" s="22">
        <f t="shared" si="2"/>
        <v>0</v>
      </c>
      <c r="U19" s="22">
        <f t="shared" si="3"/>
        <v>0</v>
      </c>
      <c r="V19" s="22">
        <f t="shared" si="4"/>
        <v>0</v>
      </c>
      <c r="Z19" s="24" t="s">
        <v>37</v>
      </c>
      <c r="AA19" s="24">
        <v>2017</v>
      </c>
    </row>
    <row r="20" spans="2:27" ht="12.75">
      <c r="B20" s="16"/>
      <c r="C20" s="25">
        <v>12</v>
      </c>
      <c r="D20" s="6"/>
      <c r="E20" s="7"/>
      <c r="F20" s="6"/>
      <c r="G20" s="7"/>
      <c r="H20" s="6"/>
      <c r="I20" s="26">
        <f t="shared" si="0"/>
        <v>0</v>
      </c>
      <c r="J20" s="54">
        <f t="shared" si="1"/>
        <v>0</v>
      </c>
      <c r="K20" s="2" t="s">
        <v>8</v>
      </c>
      <c r="L20" s="3" t="s">
        <v>8</v>
      </c>
      <c r="M20" s="3" t="s">
        <v>8</v>
      </c>
      <c r="N20" s="1" t="s">
        <v>8</v>
      </c>
      <c r="O20" s="3" t="s">
        <v>8</v>
      </c>
      <c r="P20" s="55"/>
      <c r="Q20" s="19"/>
      <c r="S20" s="22">
        <f t="shared" si="2"/>
        <v>0</v>
      </c>
      <c r="U20" s="22">
        <f t="shared" si="3"/>
        <v>0</v>
      </c>
      <c r="V20" s="22">
        <f t="shared" si="4"/>
        <v>0</v>
      </c>
      <c r="Z20" s="24" t="s">
        <v>38</v>
      </c>
      <c r="AA20" s="24">
        <v>2018</v>
      </c>
    </row>
    <row r="21" spans="2:27" ht="12.75">
      <c r="B21" s="16"/>
      <c r="C21" s="27"/>
      <c r="D21" s="28"/>
      <c r="E21" s="28"/>
      <c r="F21" s="28"/>
      <c r="G21" s="28"/>
      <c r="H21" s="28"/>
      <c r="I21" s="29" t="s">
        <v>83</v>
      </c>
      <c r="J21" s="102">
        <f>ROUND(SUMPRODUCT(J9:J20,S9:S20,(1-P9:P20)),4)</f>
        <v>0</v>
      </c>
      <c r="K21" s="18"/>
      <c r="L21" s="18"/>
      <c r="M21" s="18"/>
      <c r="N21" s="18"/>
      <c r="O21" s="18"/>
      <c r="P21" s="18"/>
      <c r="Q21" s="19"/>
      <c r="U21" s="22">
        <f>SUM(U9:U20)</f>
        <v>0</v>
      </c>
      <c r="V21" s="22">
        <f>ROUND(SUM(V9:V20),4)</f>
        <v>0</v>
      </c>
      <c r="Z21" s="24" t="s">
        <v>39</v>
      </c>
      <c r="AA21" s="24">
        <v>2019</v>
      </c>
    </row>
    <row r="22" spans="2:27" ht="12.75">
      <c r="B22" s="16"/>
      <c r="C22" s="30"/>
      <c r="D22" s="31"/>
      <c r="E22" s="31"/>
      <c r="F22" s="31"/>
      <c r="G22" s="31"/>
      <c r="H22" s="31"/>
      <c r="I22" s="32" t="s">
        <v>3</v>
      </c>
      <c r="J22" s="102">
        <f>ROUND(SUMPRODUCT(J9:J20,(1-P9:P20)),4)</f>
        <v>0</v>
      </c>
      <c r="K22" s="18"/>
      <c r="L22" s="18"/>
      <c r="M22" s="18"/>
      <c r="N22" s="18"/>
      <c r="O22" s="18"/>
      <c r="P22" s="18"/>
      <c r="Q22" s="19"/>
      <c r="S22" s="22" t="s">
        <v>8</v>
      </c>
      <c r="Z22" s="24"/>
      <c r="AA22" s="24">
        <v>2020</v>
      </c>
    </row>
    <row r="23" spans="2:27" ht="12.75">
      <c r="B23" s="16"/>
      <c r="C23" s="18"/>
      <c r="D23" s="18"/>
      <c r="E23" s="18"/>
      <c r="F23" s="18"/>
      <c r="G23" s="18"/>
      <c r="H23" s="18"/>
      <c r="I23" s="33"/>
      <c r="K23" s="18"/>
      <c r="L23" s="18"/>
      <c r="M23" s="18"/>
      <c r="N23" s="18"/>
      <c r="O23" s="18"/>
      <c r="P23" s="18"/>
      <c r="Q23" s="19"/>
      <c r="S23" s="22" t="s">
        <v>84</v>
      </c>
      <c r="Z23" s="24"/>
      <c r="AA23" s="24">
        <v>2021</v>
      </c>
    </row>
    <row r="24" spans="2:27" ht="12.75" customHeight="1">
      <c r="B24" s="16"/>
      <c r="C24" s="18"/>
      <c r="D24" s="18"/>
      <c r="E24" s="18"/>
      <c r="F24" s="18"/>
      <c r="G24" s="18"/>
      <c r="H24" s="18"/>
      <c r="I24" s="18"/>
      <c r="J24" s="18"/>
      <c r="K24" s="18"/>
      <c r="N24" s="18"/>
      <c r="O24" s="18"/>
      <c r="P24" s="18"/>
      <c r="Q24" s="19"/>
      <c r="S24" s="22" t="s">
        <v>85</v>
      </c>
      <c r="Z24" s="24"/>
      <c r="AA24" s="24">
        <v>2022</v>
      </c>
    </row>
    <row r="25" spans="2:27" ht="12.75" customHeight="1">
      <c r="B25" s="16"/>
      <c r="C25" s="17" t="s">
        <v>72</v>
      </c>
      <c r="D25" s="18"/>
      <c r="E25" s="18"/>
      <c r="F25" s="18"/>
      <c r="G25" s="18"/>
      <c r="H25" s="18"/>
      <c r="I25" s="18"/>
      <c r="J25" s="18"/>
      <c r="K25" s="18"/>
      <c r="L25" s="17" t="s">
        <v>24</v>
      </c>
      <c r="Q25" s="19"/>
      <c r="S25" s="22" t="s">
        <v>86</v>
      </c>
      <c r="Z25" s="24"/>
      <c r="AA25" s="24">
        <v>2023</v>
      </c>
    </row>
    <row r="26" spans="2:27" ht="51">
      <c r="B26" s="16"/>
      <c r="C26" s="24"/>
      <c r="D26" s="24" t="s">
        <v>87</v>
      </c>
      <c r="E26" s="4" t="s">
        <v>25</v>
      </c>
      <c r="F26" s="4" t="s">
        <v>17</v>
      </c>
      <c r="G26" s="4" t="s">
        <v>26</v>
      </c>
      <c r="H26" s="4" t="s">
        <v>18</v>
      </c>
      <c r="I26" s="4" t="s">
        <v>34</v>
      </c>
      <c r="J26" s="4" t="s">
        <v>35</v>
      </c>
      <c r="K26" s="18"/>
      <c r="L26" s="120"/>
      <c r="M26" s="121"/>
      <c r="N26" s="121"/>
      <c r="O26" s="121"/>
      <c r="P26" s="122"/>
      <c r="Q26" s="19"/>
      <c r="Z26" s="24"/>
      <c r="AA26" s="24">
        <v>2024</v>
      </c>
    </row>
    <row r="27" spans="2:27" ht="12.75" customHeight="1">
      <c r="B27" s="16"/>
      <c r="C27" s="24">
        <v>1</v>
      </c>
      <c r="D27" s="3"/>
      <c r="E27" s="3"/>
      <c r="F27" s="3"/>
      <c r="G27" s="3"/>
      <c r="H27" s="3"/>
      <c r="I27" s="4">
        <f>E27*G27</f>
        <v>0</v>
      </c>
      <c r="J27" s="54">
        <f>IF($I$31=0,0,I27/$I$31)</f>
        <v>0</v>
      </c>
      <c r="K27" s="18"/>
      <c r="L27" s="123"/>
      <c r="M27" s="124"/>
      <c r="N27" s="124"/>
      <c r="O27" s="124"/>
      <c r="P27" s="125"/>
      <c r="Q27" s="19"/>
      <c r="S27" s="22" t="s">
        <v>8</v>
      </c>
      <c r="Z27" s="24"/>
      <c r="AA27" s="24">
        <v>2025</v>
      </c>
    </row>
    <row r="28" spans="2:27" ht="12.75" customHeight="1">
      <c r="B28" s="16"/>
      <c r="C28" s="24">
        <v>2</v>
      </c>
      <c r="D28" s="3"/>
      <c r="E28" s="3"/>
      <c r="F28" s="3"/>
      <c r="G28" s="3"/>
      <c r="H28" s="3"/>
      <c r="I28" s="4">
        <f>E28*G28</f>
        <v>0</v>
      </c>
      <c r="J28" s="54">
        <f>IF($I$31=0,0,I28/$I$31)</f>
        <v>0</v>
      </c>
      <c r="K28" s="18"/>
      <c r="L28" s="123"/>
      <c r="M28" s="124"/>
      <c r="N28" s="124"/>
      <c r="O28" s="124"/>
      <c r="P28" s="125"/>
      <c r="Q28" s="19"/>
      <c r="S28" s="22" t="s">
        <v>84</v>
      </c>
      <c r="Z28" s="24"/>
      <c r="AA28" s="24">
        <v>2026</v>
      </c>
    </row>
    <row r="29" spans="2:27" ht="12.75" customHeight="1">
      <c r="B29" s="16"/>
      <c r="C29" s="24">
        <v>3</v>
      </c>
      <c r="D29" s="3"/>
      <c r="E29" s="3"/>
      <c r="F29" s="3"/>
      <c r="G29" s="3"/>
      <c r="H29" s="3"/>
      <c r="I29" s="4">
        <f>E29*G29</f>
        <v>0</v>
      </c>
      <c r="J29" s="54">
        <f>IF($I$31=0,0,I29/$I$31)</f>
        <v>0</v>
      </c>
      <c r="K29" s="18"/>
      <c r="L29" s="123"/>
      <c r="M29" s="124"/>
      <c r="N29" s="124"/>
      <c r="O29" s="124"/>
      <c r="P29" s="125"/>
      <c r="Q29" s="19"/>
      <c r="S29" s="22" t="s">
        <v>85</v>
      </c>
      <c r="Z29" s="24"/>
      <c r="AA29" s="24">
        <v>2027</v>
      </c>
    </row>
    <row r="30" spans="2:19" ht="13.5" customHeight="1">
      <c r="B30" s="16"/>
      <c r="C30" s="25">
        <v>4</v>
      </c>
      <c r="D30" s="3"/>
      <c r="E30" s="3"/>
      <c r="F30" s="3"/>
      <c r="G30" s="3"/>
      <c r="H30" s="3"/>
      <c r="I30" s="4">
        <f>E30*G30</f>
        <v>0</v>
      </c>
      <c r="J30" s="54">
        <f>IF($I$31=0,0,I30/$I$31)</f>
        <v>0</v>
      </c>
      <c r="K30" s="18"/>
      <c r="L30" s="123"/>
      <c r="M30" s="124"/>
      <c r="N30" s="124"/>
      <c r="O30" s="124"/>
      <c r="P30" s="125"/>
      <c r="Q30" s="19"/>
      <c r="S30" s="22" t="s">
        <v>88</v>
      </c>
    </row>
    <row r="31" spans="2:17" ht="12.75">
      <c r="B31" s="16"/>
      <c r="C31" s="34"/>
      <c r="D31" s="35"/>
      <c r="E31" s="36"/>
      <c r="F31" s="36"/>
      <c r="G31" s="36"/>
      <c r="H31" s="37" t="s">
        <v>73</v>
      </c>
      <c r="I31" s="8">
        <f>SUM(I27:I30,I9:I20)</f>
        <v>0</v>
      </c>
      <c r="J31" s="9">
        <f>SUM(J27:J30)</f>
        <v>0</v>
      </c>
      <c r="K31" s="18"/>
      <c r="L31" s="123"/>
      <c r="M31" s="124"/>
      <c r="N31" s="124"/>
      <c r="O31" s="124"/>
      <c r="P31" s="125"/>
      <c r="Q31" s="19"/>
    </row>
    <row r="32" spans="2:17" ht="12.75">
      <c r="B32" s="16"/>
      <c r="C32" s="18"/>
      <c r="D32" s="18"/>
      <c r="E32" s="18"/>
      <c r="F32" s="18"/>
      <c r="G32" s="18"/>
      <c r="H32" s="18"/>
      <c r="I32" s="18"/>
      <c r="J32" s="18"/>
      <c r="K32" s="18"/>
      <c r="L32" s="123"/>
      <c r="M32" s="124"/>
      <c r="N32" s="124"/>
      <c r="O32" s="124"/>
      <c r="P32" s="125"/>
      <c r="Q32" s="19"/>
    </row>
    <row r="33" spans="2:17" ht="12.75">
      <c r="B33" s="16"/>
      <c r="C33" s="18"/>
      <c r="D33" s="18"/>
      <c r="E33" s="18"/>
      <c r="F33" s="18"/>
      <c r="G33" s="18"/>
      <c r="H33" s="18"/>
      <c r="I33" s="18"/>
      <c r="J33" s="18"/>
      <c r="K33" s="18"/>
      <c r="L33" s="123"/>
      <c r="M33" s="124"/>
      <c r="N33" s="124"/>
      <c r="O33" s="124"/>
      <c r="P33" s="125"/>
      <c r="Q33" s="19"/>
    </row>
    <row r="34" spans="2:17" ht="12.75">
      <c r="B34" s="16"/>
      <c r="C34" s="17" t="s">
        <v>89</v>
      </c>
      <c r="D34" s="18"/>
      <c r="E34" s="18"/>
      <c r="F34" s="18"/>
      <c r="G34" s="18"/>
      <c r="H34" s="18"/>
      <c r="J34" s="10" t="s">
        <v>8</v>
      </c>
      <c r="K34" s="18"/>
      <c r="L34" s="123"/>
      <c r="M34" s="124"/>
      <c r="N34" s="124"/>
      <c r="O34" s="124"/>
      <c r="P34" s="125"/>
      <c r="Q34" s="19"/>
    </row>
    <row r="35" spans="2:17" ht="12.75">
      <c r="B35" s="16"/>
      <c r="C35" s="17" t="s">
        <v>74</v>
      </c>
      <c r="E35" s="18"/>
      <c r="F35" s="18"/>
      <c r="G35" s="18"/>
      <c r="H35" s="18"/>
      <c r="I35" s="18"/>
      <c r="J35" s="10" t="s">
        <v>8</v>
      </c>
      <c r="K35" s="18"/>
      <c r="L35" s="126"/>
      <c r="M35" s="127"/>
      <c r="N35" s="127"/>
      <c r="O35" s="127"/>
      <c r="P35" s="128"/>
      <c r="Q35" s="19"/>
    </row>
    <row r="36" spans="2:17" ht="12.75">
      <c r="B36" s="16"/>
      <c r="C36" s="18"/>
      <c r="D36" s="18"/>
      <c r="E36" s="18"/>
      <c r="F36" s="18"/>
      <c r="G36" s="18"/>
      <c r="H36" s="18"/>
      <c r="I36" s="18"/>
      <c r="J36" s="18"/>
      <c r="K36" s="18"/>
      <c r="L36" s="18"/>
      <c r="M36" s="18"/>
      <c r="N36" s="18"/>
      <c r="O36" s="18"/>
      <c r="P36" s="18"/>
      <c r="Q36" s="19"/>
    </row>
    <row r="37" spans="2:17" ht="13.5" thickBot="1">
      <c r="B37" s="38"/>
      <c r="C37" s="39"/>
      <c r="D37" s="39"/>
      <c r="E37" s="39"/>
      <c r="F37" s="39"/>
      <c r="G37" s="39"/>
      <c r="H37" s="39"/>
      <c r="I37" s="39"/>
      <c r="J37" s="39"/>
      <c r="K37" s="39"/>
      <c r="L37" s="39"/>
      <c r="M37" s="39"/>
      <c r="N37" s="39"/>
      <c r="O37" s="39"/>
      <c r="P37" s="39"/>
      <c r="Q37" s="40"/>
    </row>
    <row r="38" spans="2:16" ht="12.75">
      <c r="B38" s="18"/>
      <c r="C38" s="18"/>
      <c r="D38" s="18"/>
      <c r="E38" s="18"/>
      <c r="F38" s="18"/>
      <c r="G38" s="18"/>
      <c r="H38" s="18"/>
      <c r="I38" s="18"/>
      <c r="J38" s="18"/>
      <c r="K38" s="18"/>
      <c r="L38" s="18"/>
      <c r="M38" s="18"/>
      <c r="N38" s="18"/>
      <c r="O38" s="18"/>
      <c r="P38" s="18"/>
    </row>
    <row r="39" spans="2:16" ht="12.75">
      <c r="B39" s="18"/>
      <c r="C39" s="18"/>
      <c r="D39" s="18"/>
      <c r="E39" s="18"/>
      <c r="F39" s="18"/>
      <c r="G39" s="18"/>
      <c r="H39" s="18"/>
      <c r="I39" s="18"/>
      <c r="J39" s="18"/>
      <c r="K39" s="18"/>
      <c r="L39" s="18"/>
      <c r="M39" s="18"/>
      <c r="N39" s="18"/>
      <c r="O39" s="18"/>
      <c r="P39" s="18"/>
    </row>
    <row r="40" spans="2:11" ht="12.75">
      <c r="B40" s="63"/>
      <c r="G40" s="100" t="s">
        <v>15</v>
      </c>
      <c r="H40" s="114">
        <f>IF(ISBLANK(Generator_Info!B17),"",Generator_Info!B17)</f>
      </c>
      <c r="I40" s="119"/>
      <c r="J40" s="119"/>
      <c r="K40" s="115"/>
    </row>
    <row r="41" ht="13.5" thickBot="1"/>
    <row r="42" spans="2:17" ht="12.75">
      <c r="B42" s="13"/>
      <c r="C42" s="14"/>
      <c r="D42" s="14"/>
      <c r="E42" s="14"/>
      <c r="F42" s="14"/>
      <c r="G42" s="14"/>
      <c r="H42" s="14"/>
      <c r="I42" s="14"/>
      <c r="J42" s="14"/>
      <c r="K42" s="14"/>
      <c r="L42" s="14"/>
      <c r="M42" s="14"/>
      <c r="N42" s="14"/>
      <c r="O42" s="14"/>
      <c r="P42" s="14"/>
      <c r="Q42" s="15"/>
    </row>
    <row r="43" spans="2:17" ht="12.75">
      <c r="B43" s="16"/>
      <c r="C43" s="17" t="s">
        <v>71</v>
      </c>
      <c r="D43" s="18"/>
      <c r="E43" s="18"/>
      <c r="F43" s="18"/>
      <c r="G43" s="18"/>
      <c r="H43" s="18"/>
      <c r="I43" s="18"/>
      <c r="J43" s="18"/>
      <c r="K43" s="18"/>
      <c r="L43" s="18"/>
      <c r="M43" s="18"/>
      <c r="N43" s="18"/>
      <c r="O43" s="18"/>
      <c r="P43" s="18"/>
      <c r="Q43" s="19"/>
    </row>
    <row r="44" spans="2:22" ht="89.25">
      <c r="B44" s="20"/>
      <c r="C44" s="4"/>
      <c r="D44" s="4" t="s">
        <v>16</v>
      </c>
      <c r="E44" s="4" t="s">
        <v>25</v>
      </c>
      <c r="F44" s="4" t="s">
        <v>17</v>
      </c>
      <c r="G44" s="4" t="s">
        <v>26</v>
      </c>
      <c r="H44" s="4" t="s">
        <v>18</v>
      </c>
      <c r="I44" s="4" t="s">
        <v>34</v>
      </c>
      <c r="J44" s="4" t="s">
        <v>35</v>
      </c>
      <c r="K44" s="4" t="s">
        <v>78</v>
      </c>
      <c r="L44" s="4" t="s">
        <v>19</v>
      </c>
      <c r="M44" s="4" t="s">
        <v>20</v>
      </c>
      <c r="N44" s="4" t="s">
        <v>21</v>
      </c>
      <c r="O44" s="4" t="s">
        <v>22</v>
      </c>
      <c r="P44" s="4" t="s">
        <v>23</v>
      </c>
      <c r="Q44" s="21"/>
      <c r="S44" s="22" t="s">
        <v>79</v>
      </c>
      <c r="T44" s="23"/>
      <c r="U44" s="23" t="s">
        <v>80</v>
      </c>
      <c r="V44" s="23" t="s">
        <v>145</v>
      </c>
    </row>
    <row r="45" spans="2:22" ht="12.75">
      <c r="B45" s="16"/>
      <c r="C45" s="24">
        <v>1</v>
      </c>
      <c r="D45" s="3"/>
      <c r="E45" s="3"/>
      <c r="F45" s="3"/>
      <c r="G45" s="3"/>
      <c r="H45" s="3"/>
      <c r="I45" s="4">
        <f aca="true" t="shared" si="5" ref="I45:I56">E45*G45</f>
        <v>0</v>
      </c>
      <c r="J45" s="54">
        <f>IF($I$67=0,0,I45/$I$67)</f>
        <v>0</v>
      </c>
      <c r="K45" s="2" t="s">
        <v>8</v>
      </c>
      <c r="L45" s="3" t="s">
        <v>8</v>
      </c>
      <c r="M45" s="3" t="s">
        <v>8</v>
      </c>
      <c r="N45" s="1" t="s">
        <v>8</v>
      </c>
      <c r="O45" s="3" t="s">
        <v>8</v>
      </c>
      <c r="P45" s="55"/>
      <c r="Q45" s="19"/>
      <c r="S45" s="22">
        <f>IF(K45="yes",1,0)</f>
        <v>0</v>
      </c>
      <c r="U45" s="22">
        <f>IF(P45&lt;=0.02,0,1)</f>
        <v>0</v>
      </c>
      <c r="V45" s="22">
        <f>IF(U45=0,J45,J45*(1-P45))</f>
        <v>0</v>
      </c>
    </row>
    <row r="46" spans="2:22" ht="12.75">
      <c r="B46" s="16"/>
      <c r="C46" s="24">
        <v>2</v>
      </c>
      <c r="D46" s="3"/>
      <c r="E46" s="3"/>
      <c r="F46" s="3"/>
      <c r="G46" s="3"/>
      <c r="H46" s="3"/>
      <c r="I46" s="4">
        <f t="shared" si="5"/>
        <v>0</v>
      </c>
      <c r="J46" s="54">
        <f aca="true" t="shared" si="6" ref="J46:J56">IF($I$67=0,0,I46/$I$67)</f>
        <v>0</v>
      </c>
      <c r="K46" s="2" t="s">
        <v>8</v>
      </c>
      <c r="L46" s="3" t="s">
        <v>8</v>
      </c>
      <c r="M46" s="3" t="s">
        <v>8</v>
      </c>
      <c r="N46" s="1" t="s">
        <v>8</v>
      </c>
      <c r="O46" s="3" t="s">
        <v>8</v>
      </c>
      <c r="P46" s="55"/>
      <c r="Q46" s="19"/>
      <c r="S46" s="22">
        <f aca="true" t="shared" si="7" ref="S46:S56">IF(K46="yes",1,0)</f>
        <v>0</v>
      </c>
      <c r="U46" s="22">
        <f aca="true" t="shared" si="8" ref="U46:U56">IF(P46&lt;=0.02,0,1)</f>
        <v>0</v>
      </c>
      <c r="V46" s="22">
        <f aca="true" t="shared" si="9" ref="V46:V56">IF(U46=0,J46,J46*(1-P46))</f>
        <v>0</v>
      </c>
    </row>
    <row r="47" spans="2:22" ht="12.75">
      <c r="B47" s="16"/>
      <c r="C47" s="24">
        <v>3</v>
      </c>
      <c r="D47" s="3"/>
      <c r="E47" s="3"/>
      <c r="F47" s="3"/>
      <c r="G47" s="3"/>
      <c r="H47" s="3"/>
      <c r="I47" s="4">
        <f t="shared" si="5"/>
        <v>0</v>
      </c>
      <c r="J47" s="54">
        <f t="shared" si="6"/>
        <v>0</v>
      </c>
      <c r="K47" s="2" t="s">
        <v>8</v>
      </c>
      <c r="L47" s="3" t="s">
        <v>8</v>
      </c>
      <c r="M47" s="3" t="s">
        <v>8</v>
      </c>
      <c r="N47" s="1" t="s">
        <v>8</v>
      </c>
      <c r="O47" s="3" t="s">
        <v>8</v>
      </c>
      <c r="P47" s="55"/>
      <c r="Q47" s="19"/>
      <c r="S47" s="22">
        <f t="shared" si="7"/>
        <v>0</v>
      </c>
      <c r="U47" s="22">
        <f t="shared" si="8"/>
        <v>0</v>
      </c>
      <c r="V47" s="22">
        <f t="shared" si="9"/>
        <v>0</v>
      </c>
    </row>
    <row r="48" spans="2:22" ht="12.75">
      <c r="B48" s="16"/>
      <c r="C48" s="24">
        <v>4</v>
      </c>
      <c r="D48" s="3"/>
      <c r="E48" s="3"/>
      <c r="F48" s="3"/>
      <c r="G48" s="3"/>
      <c r="H48" s="3"/>
      <c r="I48" s="4">
        <f t="shared" si="5"/>
        <v>0</v>
      </c>
      <c r="J48" s="54">
        <f t="shared" si="6"/>
        <v>0</v>
      </c>
      <c r="K48" s="2" t="s">
        <v>8</v>
      </c>
      <c r="L48" s="3" t="s">
        <v>8</v>
      </c>
      <c r="M48" s="3" t="s">
        <v>8</v>
      </c>
      <c r="N48" s="1" t="s">
        <v>8</v>
      </c>
      <c r="O48" s="3" t="s">
        <v>8</v>
      </c>
      <c r="P48" s="55"/>
      <c r="Q48" s="19"/>
      <c r="S48" s="22">
        <f t="shared" si="7"/>
        <v>0</v>
      </c>
      <c r="U48" s="22">
        <f t="shared" si="8"/>
        <v>0</v>
      </c>
      <c r="V48" s="22">
        <f t="shared" si="9"/>
        <v>0</v>
      </c>
    </row>
    <row r="49" spans="2:22" ht="12.75">
      <c r="B49" s="16"/>
      <c r="C49" s="24">
        <v>5</v>
      </c>
      <c r="D49" s="3"/>
      <c r="E49" s="3"/>
      <c r="F49" s="3"/>
      <c r="G49" s="3"/>
      <c r="H49" s="3"/>
      <c r="I49" s="4">
        <f t="shared" si="5"/>
        <v>0</v>
      </c>
      <c r="J49" s="54">
        <f t="shared" si="6"/>
        <v>0</v>
      </c>
      <c r="K49" s="2" t="s">
        <v>8</v>
      </c>
      <c r="L49" s="3" t="s">
        <v>8</v>
      </c>
      <c r="M49" s="3" t="s">
        <v>8</v>
      </c>
      <c r="N49" s="1" t="s">
        <v>8</v>
      </c>
      <c r="O49" s="3" t="s">
        <v>8</v>
      </c>
      <c r="P49" s="55"/>
      <c r="Q49" s="19"/>
      <c r="S49" s="22">
        <f t="shared" si="7"/>
        <v>0</v>
      </c>
      <c r="U49" s="22">
        <f t="shared" si="8"/>
        <v>0</v>
      </c>
      <c r="V49" s="22">
        <f t="shared" si="9"/>
        <v>0</v>
      </c>
    </row>
    <row r="50" spans="2:22" ht="12.75">
      <c r="B50" s="16"/>
      <c r="C50" s="24">
        <v>6</v>
      </c>
      <c r="D50" s="3"/>
      <c r="E50" s="3"/>
      <c r="F50" s="3"/>
      <c r="G50" s="3"/>
      <c r="H50" s="3"/>
      <c r="I50" s="4">
        <f t="shared" si="5"/>
        <v>0</v>
      </c>
      <c r="J50" s="54">
        <f t="shared" si="6"/>
        <v>0</v>
      </c>
      <c r="K50" s="2" t="s">
        <v>8</v>
      </c>
      <c r="L50" s="3" t="s">
        <v>8</v>
      </c>
      <c r="M50" s="3" t="s">
        <v>8</v>
      </c>
      <c r="N50" s="1" t="s">
        <v>8</v>
      </c>
      <c r="O50" s="3" t="s">
        <v>8</v>
      </c>
      <c r="P50" s="55"/>
      <c r="Q50" s="19"/>
      <c r="S50" s="22">
        <f t="shared" si="7"/>
        <v>0</v>
      </c>
      <c r="U50" s="22">
        <f t="shared" si="8"/>
        <v>0</v>
      </c>
      <c r="V50" s="22">
        <f t="shared" si="9"/>
        <v>0</v>
      </c>
    </row>
    <row r="51" spans="2:22" ht="12.75">
      <c r="B51" s="16"/>
      <c r="C51" s="24">
        <v>7</v>
      </c>
      <c r="D51" s="3"/>
      <c r="E51" s="3"/>
      <c r="F51" s="3"/>
      <c r="G51" s="3"/>
      <c r="H51" s="3"/>
      <c r="I51" s="4">
        <f t="shared" si="5"/>
        <v>0</v>
      </c>
      <c r="J51" s="54">
        <f t="shared" si="6"/>
        <v>0</v>
      </c>
      <c r="K51" s="2" t="s">
        <v>8</v>
      </c>
      <c r="L51" s="3" t="s">
        <v>8</v>
      </c>
      <c r="M51" s="3" t="s">
        <v>8</v>
      </c>
      <c r="N51" s="1" t="s">
        <v>8</v>
      </c>
      <c r="O51" s="3" t="s">
        <v>8</v>
      </c>
      <c r="P51" s="55"/>
      <c r="Q51" s="19"/>
      <c r="S51" s="22">
        <f t="shared" si="7"/>
        <v>0</v>
      </c>
      <c r="U51" s="22">
        <f t="shared" si="8"/>
        <v>0</v>
      </c>
      <c r="V51" s="22">
        <f t="shared" si="9"/>
        <v>0</v>
      </c>
    </row>
    <row r="52" spans="2:22" ht="12.75">
      <c r="B52" s="16"/>
      <c r="C52" s="24">
        <v>8</v>
      </c>
      <c r="D52" s="3"/>
      <c r="E52" s="3"/>
      <c r="F52" s="3"/>
      <c r="G52" s="3"/>
      <c r="H52" s="3"/>
      <c r="I52" s="4">
        <f t="shared" si="5"/>
        <v>0</v>
      </c>
      <c r="J52" s="54">
        <f t="shared" si="6"/>
        <v>0</v>
      </c>
      <c r="K52" s="2" t="s">
        <v>8</v>
      </c>
      <c r="L52" s="3" t="s">
        <v>8</v>
      </c>
      <c r="M52" s="3" t="s">
        <v>8</v>
      </c>
      <c r="N52" s="1" t="s">
        <v>8</v>
      </c>
      <c r="O52" s="3" t="s">
        <v>8</v>
      </c>
      <c r="P52" s="55"/>
      <c r="Q52" s="19"/>
      <c r="S52" s="22">
        <f t="shared" si="7"/>
        <v>0</v>
      </c>
      <c r="U52" s="22">
        <f t="shared" si="8"/>
        <v>0</v>
      </c>
      <c r="V52" s="22">
        <f t="shared" si="9"/>
        <v>0</v>
      </c>
    </row>
    <row r="53" spans="2:22" ht="12.75">
      <c r="B53" s="16"/>
      <c r="C53" s="24">
        <v>9</v>
      </c>
      <c r="D53" s="3"/>
      <c r="E53" s="3"/>
      <c r="F53" s="3"/>
      <c r="G53" s="3"/>
      <c r="H53" s="3"/>
      <c r="I53" s="4">
        <f t="shared" si="5"/>
        <v>0</v>
      </c>
      <c r="J53" s="54">
        <f t="shared" si="6"/>
        <v>0</v>
      </c>
      <c r="K53" s="2" t="s">
        <v>8</v>
      </c>
      <c r="L53" s="3" t="s">
        <v>8</v>
      </c>
      <c r="M53" s="3" t="s">
        <v>8</v>
      </c>
      <c r="N53" s="1" t="s">
        <v>8</v>
      </c>
      <c r="O53" s="3" t="s">
        <v>8</v>
      </c>
      <c r="P53" s="55"/>
      <c r="Q53" s="19"/>
      <c r="S53" s="22">
        <f t="shared" si="7"/>
        <v>0</v>
      </c>
      <c r="U53" s="22">
        <f t="shared" si="8"/>
        <v>0</v>
      </c>
      <c r="V53" s="22">
        <f t="shared" si="9"/>
        <v>0</v>
      </c>
    </row>
    <row r="54" spans="2:22" ht="12.75">
      <c r="B54" s="16"/>
      <c r="C54" s="25">
        <v>10</v>
      </c>
      <c r="D54" s="3"/>
      <c r="E54" s="3"/>
      <c r="F54" s="3"/>
      <c r="G54" s="3"/>
      <c r="H54" s="3"/>
      <c r="I54" s="4">
        <f t="shared" si="5"/>
        <v>0</v>
      </c>
      <c r="J54" s="54">
        <f t="shared" si="6"/>
        <v>0</v>
      </c>
      <c r="K54" s="2" t="s">
        <v>8</v>
      </c>
      <c r="L54" s="3" t="s">
        <v>8</v>
      </c>
      <c r="M54" s="3" t="s">
        <v>8</v>
      </c>
      <c r="N54" s="1" t="s">
        <v>8</v>
      </c>
      <c r="O54" s="3" t="s">
        <v>8</v>
      </c>
      <c r="P54" s="55"/>
      <c r="Q54" s="19"/>
      <c r="S54" s="22">
        <f t="shared" si="7"/>
        <v>0</v>
      </c>
      <c r="U54" s="22">
        <f t="shared" si="8"/>
        <v>0</v>
      </c>
      <c r="V54" s="22">
        <f t="shared" si="9"/>
        <v>0</v>
      </c>
    </row>
    <row r="55" spans="2:22" ht="12.75">
      <c r="B55" s="16"/>
      <c r="C55" s="25">
        <v>11</v>
      </c>
      <c r="D55" s="6"/>
      <c r="E55" s="7"/>
      <c r="F55" s="6"/>
      <c r="G55" s="7"/>
      <c r="H55" s="6"/>
      <c r="I55" s="4">
        <f t="shared" si="5"/>
        <v>0</v>
      </c>
      <c r="J55" s="54">
        <f t="shared" si="6"/>
        <v>0</v>
      </c>
      <c r="K55" s="2" t="s">
        <v>8</v>
      </c>
      <c r="L55" s="3" t="s">
        <v>8</v>
      </c>
      <c r="M55" s="3" t="s">
        <v>8</v>
      </c>
      <c r="N55" s="1" t="s">
        <v>8</v>
      </c>
      <c r="O55" s="3" t="s">
        <v>8</v>
      </c>
      <c r="P55" s="55"/>
      <c r="Q55" s="19"/>
      <c r="S55" s="22">
        <f t="shared" si="7"/>
        <v>0</v>
      </c>
      <c r="U55" s="22">
        <f t="shared" si="8"/>
        <v>0</v>
      </c>
      <c r="V55" s="22">
        <f t="shared" si="9"/>
        <v>0</v>
      </c>
    </row>
    <row r="56" spans="2:22" ht="12.75">
      <c r="B56" s="16"/>
      <c r="C56" s="25">
        <v>12</v>
      </c>
      <c r="D56" s="6"/>
      <c r="E56" s="7"/>
      <c r="F56" s="6"/>
      <c r="G56" s="7"/>
      <c r="H56" s="6"/>
      <c r="I56" s="26">
        <f t="shared" si="5"/>
        <v>0</v>
      </c>
      <c r="J56" s="54">
        <f t="shared" si="6"/>
        <v>0</v>
      </c>
      <c r="K56" s="2" t="s">
        <v>8</v>
      </c>
      <c r="L56" s="3" t="s">
        <v>8</v>
      </c>
      <c r="M56" s="3" t="s">
        <v>8</v>
      </c>
      <c r="N56" s="1" t="s">
        <v>8</v>
      </c>
      <c r="O56" s="3" t="s">
        <v>8</v>
      </c>
      <c r="P56" s="55"/>
      <c r="Q56" s="19"/>
      <c r="S56" s="22">
        <f t="shared" si="7"/>
        <v>0</v>
      </c>
      <c r="U56" s="22">
        <f t="shared" si="8"/>
        <v>0</v>
      </c>
      <c r="V56" s="22">
        <f t="shared" si="9"/>
        <v>0</v>
      </c>
    </row>
    <row r="57" spans="2:22" ht="12.75">
      <c r="B57" s="16"/>
      <c r="C57" s="27"/>
      <c r="D57" s="28"/>
      <c r="E57" s="28"/>
      <c r="F57" s="28"/>
      <c r="G57" s="28"/>
      <c r="H57" s="28"/>
      <c r="I57" s="29" t="s">
        <v>83</v>
      </c>
      <c r="J57" s="102">
        <f>ROUND(SUMPRODUCT(J45:J56,S45:S56,(1-P45:P56)),4)</f>
        <v>0</v>
      </c>
      <c r="K57" s="18"/>
      <c r="L57" s="18"/>
      <c r="M57" s="18"/>
      <c r="N57" s="18"/>
      <c r="O57" s="18"/>
      <c r="P57" s="18"/>
      <c r="Q57" s="19"/>
      <c r="U57" s="22">
        <f>SUM(U45:U56)</f>
        <v>0</v>
      </c>
      <c r="V57" s="22">
        <f>ROUND(SUM(V45:V56),4)</f>
        <v>0</v>
      </c>
    </row>
    <row r="58" spans="2:17" ht="12.75">
      <c r="B58" s="16"/>
      <c r="C58" s="30"/>
      <c r="D58" s="31"/>
      <c r="E58" s="31"/>
      <c r="F58" s="31"/>
      <c r="G58" s="31"/>
      <c r="H58" s="31"/>
      <c r="I58" s="32" t="s">
        <v>3</v>
      </c>
      <c r="J58" s="102">
        <f>ROUND(SUMPRODUCT(J45:J56,(1-P45:P56)),4)</f>
        <v>0</v>
      </c>
      <c r="K58" s="18"/>
      <c r="L58" s="18"/>
      <c r="M58" s="18"/>
      <c r="N58" s="18"/>
      <c r="O58" s="18"/>
      <c r="P58" s="18"/>
      <c r="Q58" s="19"/>
    </row>
    <row r="59" spans="2:17" ht="12.75">
      <c r="B59" s="16"/>
      <c r="C59" s="18"/>
      <c r="D59" s="18"/>
      <c r="E59" s="18"/>
      <c r="F59" s="18"/>
      <c r="G59" s="18"/>
      <c r="H59" s="18"/>
      <c r="I59" s="33"/>
      <c r="K59" s="18"/>
      <c r="L59" s="18"/>
      <c r="M59" s="18"/>
      <c r="N59" s="18"/>
      <c r="O59" s="18"/>
      <c r="P59" s="18"/>
      <c r="Q59" s="19"/>
    </row>
    <row r="60" spans="2:17" ht="12.75" customHeight="1">
      <c r="B60" s="16"/>
      <c r="C60" s="18"/>
      <c r="D60" s="18"/>
      <c r="E60" s="18"/>
      <c r="F60" s="18"/>
      <c r="G60" s="18"/>
      <c r="H60" s="18"/>
      <c r="I60" s="18"/>
      <c r="J60" s="18"/>
      <c r="K60" s="18"/>
      <c r="N60" s="18"/>
      <c r="O60" s="18"/>
      <c r="P60" s="18"/>
      <c r="Q60" s="19"/>
    </row>
    <row r="61" spans="2:17" ht="12.75" customHeight="1">
      <c r="B61" s="16"/>
      <c r="C61" s="17" t="s">
        <v>72</v>
      </c>
      <c r="D61" s="18"/>
      <c r="E61" s="18"/>
      <c r="F61" s="18"/>
      <c r="G61" s="18"/>
      <c r="H61" s="18"/>
      <c r="I61" s="18"/>
      <c r="J61" s="18"/>
      <c r="K61" s="18"/>
      <c r="L61" s="17" t="s">
        <v>24</v>
      </c>
      <c r="Q61" s="19"/>
    </row>
    <row r="62" spans="2:17" ht="51">
      <c r="B62" s="16"/>
      <c r="C62" s="24"/>
      <c r="D62" s="24" t="s">
        <v>87</v>
      </c>
      <c r="E62" s="4" t="s">
        <v>25</v>
      </c>
      <c r="F62" s="4" t="s">
        <v>17</v>
      </c>
      <c r="G62" s="4" t="s">
        <v>26</v>
      </c>
      <c r="H62" s="4" t="s">
        <v>18</v>
      </c>
      <c r="I62" s="4" t="s">
        <v>34</v>
      </c>
      <c r="J62" s="4" t="s">
        <v>35</v>
      </c>
      <c r="K62" s="18"/>
      <c r="L62" s="120"/>
      <c r="M62" s="121"/>
      <c r="N62" s="121"/>
      <c r="O62" s="121"/>
      <c r="P62" s="122"/>
      <c r="Q62" s="19"/>
    </row>
    <row r="63" spans="2:17" ht="12.75" customHeight="1">
      <c r="B63" s="16"/>
      <c r="C63" s="24">
        <v>1</v>
      </c>
      <c r="D63" s="3"/>
      <c r="E63" s="3"/>
      <c r="F63" s="3"/>
      <c r="G63" s="3"/>
      <c r="H63" s="3"/>
      <c r="I63" s="4">
        <f>E63*G63</f>
        <v>0</v>
      </c>
      <c r="J63" s="54">
        <f>IF($I$67=0,0,I63/$I$67)</f>
        <v>0</v>
      </c>
      <c r="K63" s="18"/>
      <c r="L63" s="123"/>
      <c r="M63" s="124"/>
      <c r="N63" s="124"/>
      <c r="O63" s="124"/>
      <c r="P63" s="125"/>
      <c r="Q63" s="19"/>
    </row>
    <row r="64" spans="2:17" ht="12.75" customHeight="1">
      <c r="B64" s="16"/>
      <c r="C64" s="24">
        <v>2</v>
      </c>
      <c r="D64" s="3"/>
      <c r="E64" s="3"/>
      <c r="F64" s="3"/>
      <c r="G64" s="3"/>
      <c r="H64" s="3"/>
      <c r="I64" s="4">
        <f>E64*G64</f>
        <v>0</v>
      </c>
      <c r="J64" s="54">
        <f>IF($I$67=0,0,I64/$I$67)</f>
        <v>0</v>
      </c>
      <c r="K64" s="18"/>
      <c r="L64" s="123"/>
      <c r="M64" s="124"/>
      <c r="N64" s="124"/>
      <c r="O64" s="124"/>
      <c r="P64" s="125"/>
      <c r="Q64" s="19"/>
    </row>
    <row r="65" spans="2:17" ht="12.75" customHeight="1">
      <c r="B65" s="16"/>
      <c r="C65" s="24">
        <v>3</v>
      </c>
      <c r="D65" s="3"/>
      <c r="E65" s="3"/>
      <c r="F65" s="3"/>
      <c r="G65" s="3"/>
      <c r="H65" s="3"/>
      <c r="I65" s="4">
        <f>E65*G65</f>
        <v>0</v>
      </c>
      <c r="J65" s="54">
        <f>IF($I$67=0,0,I65/$I$67)</f>
        <v>0</v>
      </c>
      <c r="K65" s="18"/>
      <c r="L65" s="123"/>
      <c r="M65" s="124"/>
      <c r="N65" s="124"/>
      <c r="O65" s="124"/>
      <c r="P65" s="125"/>
      <c r="Q65" s="19"/>
    </row>
    <row r="66" spans="2:17" ht="13.5" customHeight="1">
      <c r="B66" s="16"/>
      <c r="C66" s="25">
        <v>4</v>
      </c>
      <c r="D66" s="3"/>
      <c r="E66" s="3"/>
      <c r="F66" s="3"/>
      <c r="G66" s="3"/>
      <c r="H66" s="3"/>
      <c r="I66" s="4">
        <f>E66*G66</f>
        <v>0</v>
      </c>
      <c r="J66" s="54">
        <f>IF($I$67=0,0,I66/$I$67)</f>
        <v>0</v>
      </c>
      <c r="K66" s="18"/>
      <c r="L66" s="123"/>
      <c r="M66" s="124"/>
      <c r="N66" s="124"/>
      <c r="O66" s="124"/>
      <c r="P66" s="125"/>
      <c r="Q66" s="19"/>
    </row>
    <row r="67" spans="2:17" ht="12.75">
      <c r="B67" s="16"/>
      <c r="C67" s="34"/>
      <c r="D67" s="35"/>
      <c r="E67" s="36"/>
      <c r="F67" s="36"/>
      <c r="G67" s="36"/>
      <c r="H67" s="37" t="s">
        <v>73</v>
      </c>
      <c r="I67" s="8">
        <f>SUM(I63:I66,I45:I56)</f>
        <v>0</v>
      </c>
      <c r="J67" s="9">
        <f>SUM(J63:J66)</f>
        <v>0</v>
      </c>
      <c r="K67" s="18"/>
      <c r="L67" s="123"/>
      <c r="M67" s="124"/>
      <c r="N67" s="124"/>
      <c r="O67" s="124"/>
      <c r="P67" s="125"/>
      <c r="Q67" s="19"/>
    </row>
    <row r="68" spans="2:17" ht="12.75">
      <c r="B68" s="16"/>
      <c r="C68" s="18"/>
      <c r="D68" s="18"/>
      <c r="E68" s="18"/>
      <c r="F68" s="18"/>
      <c r="G68" s="18"/>
      <c r="H68" s="18"/>
      <c r="I68" s="18"/>
      <c r="J68" s="18"/>
      <c r="K68" s="18"/>
      <c r="L68" s="123"/>
      <c r="M68" s="124"/>
      <c r="N68" s="124"/>
      <c r="O68" s="124"/>
      <c r="P68" s="125"/>
      <c r="Q68" s="19"/>
    </row>
    <row r="69" spans="2:17" ht="12.75">
      <c r="B69" s="16"/>
      <c r="C69" s="18"/>
      <c r="D69" s="18"/>
      <c r="E69" s="18"/>
      <c r="F69" s="18"/>
      <c r="G69" s="18"/>
      <c r="H69" s="18"/>
      <c r="I69" s="18"/>
      <c r="J69" s="18"/>
      <c r="K69" s="18"/>
      <c r="L69" s="123"/>
      <c r="M69" s="124"/>
      <c r="N69" s="124"/>
      <c r="O69" s="124"/>
      <c r="P69" s="125"/>
      <c r="Q69" s="19"/>
    </row>
    <row r="70" spans="2:17" ht="12.75">
      <c r="B70" s="16"/>
      <c r="C70" s="17" t="s">
        <v>89</v>
      </c>
      <c r="D70" s="18"/>
      <c r="E70" s="18"/>
      <c r="F70" s="18"/>
      <c r="G70" s="18"/>
      <c r="H70" s="18"/>
      <c r="J70" s="10" t="s">
        <v>8</v>
      </c>
      <c r="K70" s="18"/>
      <c r="L70" s="123"/>
      <c r="M70" s="124"/>
      <c r="N70" s="124"/>
      <c r="O70" s="124"/>
      <c r="P70" s="125"/>
      <c r="Q70" s="19"/>
    </row>
    <row r="71" spans="2:17" ht="12.75">
      <c r="B71" s="16"/>
      <c r="C71" s="17" t="s">
        <v>74</v>
      </c>
      <c r="E71" s="18"/>
      <c r="F71" s="18"/>
      <c r="G71" s="18"/>
      <c r="H71" s="18"/>
      <c r="I71" s="18"/>
      <c r="J71" s="10" t="s">
        <v>8</v>
      </c>
      <c r="K71" s="18"/>
      <c r="L71" s="126"/>
      <c r="M71" s="127"/>
      <c r="N71" s="127"/>
      <c r="O71" s="127"/>
      <c r="P71" s="128"/>
      <c r="Q71" s="19"/>
    </row>
    <row r="72" spans="2:17" ht="12.75">
      <c r="B72" s="16"/>
      <c r="C72" s="18"/>
      <c r="D72" s="18"/>
      <c r="E72" s="18"/>
      <c r="F72" s="18"/>
      <c r="G72" s="18"/>
      <c r="H72" s="18"/>
      <c r="I72" s="18"/>
      <c r="J72" s="18"/>
      <c r="K72" s="18"/>
      <c r="L72" s="18"/>
      <c r="M72" s="18"/>
      <c r="N72" s="18"/>
      <c r="O72" s="18"/>
      <c r="P72" s="18"/>
      <c r="Q72" s="19"/>
    </row>
    <row r="73" spans="2:17" ht="13.5" thickBot="1">
      <c r="B73" s="38"/>
      <c r="C73" s="39"/>
      <c r="D73" s="39"/>
      <c r="E73" s="39"/>
      <c r="F73" s="39"/>
      <c r="G73" s="39"/>
      <c r="H73" s="39"/>
      <c r="I73" s="39"/>
      <c r="J73" s="39"/>
      <c r="K73" s="39"/>
      <c r="L73" s="39"/>
      <c r="M73" s="39"/>
      <c r="N73" s="39"/>
      <c r="O73" s="39"/>
      <c r="P73" s="39"/>
      <c r="Q73" s="40"/>
    </row>
    <row r="74" ht="12.75"/>
    <row r="75" ht="12.75"/>
    <row r="76" spans="2:11" ht="12.75">
      <c r="B76" s="63"/>
      <c r="G76" s="100" t="s">
        <v>15</v>
      </c>
      <c r="H76" s="114">
        <f>IF(ISBLANK(Generator_Info!B18),"",Generator_Info!B18)</f>
      </c>
      <c r="I76" s="119"/>
      <c r="J76" s="119"/>
      <c r="K76" s="115"/>
    </row>
    <row r="77" ht="13.5" thickBot="1"/>
    <row r="78" spans="2:17" ht="12.75">
      <c r="B78" s="13"/>
      <c r="C78" s="14"/>
      <c r="D78" s="14"/>
      <c r="E78" s="14"/>
      <c r="F78" s="14"/>
      <c r="G78" s="14"/>
      <c r="H78" s="14"/>
      <c r="I78" s="14"/>
      <c r="J78" s="14"/>
      <c r="K78" s="14"/>
      <c r="L78" s="14"/>
      <c r="M78" s="14"/>
      <c r="N78" s="14"/>
      <c r="O78" s="14"/>
      <c r="P78" s="14"/>
      <c r="Q78" s="15"/>
    </row>
    <row r="79" spans="2:17" ht="12.75">
      <c r="B79" s="16"/>
      <c r="C79" s="17" t="s">
        <v>71</v>
      </c>
      <c r="D79" s="18"/>
      <c r="E79" s="18"/>
      <c r="F79" s="18"/>
      <c r="G79" s="18"/>
      <c r="H79" s="18"/>
      <c r="I79" s="18"/>
      <c r="J79" s="18"/>
      <c r="K79" s="18"/>
      <c r="L79" s="18"/>
      <c r="M79" s="18"/>
      <c r="N79" s="18"/>
      <c r="O79" s="18"/>
      <c r="P79" s="18"/>
      <c r="Q79" s="19"/>
    </row>
    <row r="80" spans="2:22" ht="89.25">
      <c r="B80" s="20"/>
      <c r="C80" s="4"/>
      <c r="D80" s="4" t="s">
        <v>16</v>
      </c>
      <c r="E80" s="4" t="s">
        <v>25</v>
      </c>
      <c r="F80" s="4" t="s">
        <v>17</v>
      </c>
      <c r="G80" s="4" t="s">
        <v>26</v>
      </c>
      <c r="H80" s="4" t="s">
        <v>18</v>
      </c>
      <c r="I80" s="4" t="s">
        <v>34</v>
      </c>
      <c r="J80" s="4" t="s">
        <v>35</v>
      </c>
      <c r="K80" s="4" t="s">
        <v>78</v>
      </c>
      <c r="L80" s="4" t="s">
        <v>19</v>
      </c>
      <c r="M80" s="4" t="s">
        <v>20</v>
      </c>
      <c r="N80" s="4" t="s">
        <v>21</v>
      </c>
      <c r="O80" s="4" t="s">
        <v>22</v>
      </c>
      <c r="P80" s="4" t="s">
        <v>23</v>
      </c>
      <c r="Q80" s="21"/>
      <c r="S80" s="22" t="s">
        <v>79</v>
      </c>
      <c r="T80" s="23"/>
      <c r="U80" s="23" t="s">
        <v>80</v>
      </c>
      <c r="V80" s="23" t="s">
        <v>145</v>
      </c>
    </row>
    <row r="81" spans="2:22" ht="12.75">
      <c r="B81" s="16"/>
      <c r="C81" s="24">
        <v>1</v>
      </c>
      <c r="D81" s="3"/>
      <c r="E81" s="3"/>
      <c r="F81" s="3"/>
      <c r="G81" s="3"/>
      <c r="H81" s="3"/>
      <c r="I81" s="4">
        <f aca="true" t="shared" si="10" ref="I81:I92">E81*G81</f>
        <v>0</v>
      </c>
      <c r="J81" s="54">
        <f>IF($I$103=0,0,I81/$I$103)</f>
        <v>0</v>
      </c>
      <c r="K81" s="2" t="s">
        <v>8</v>
      </c>
      <c r="L81" s="3" t="s">
        <v>8</v>
      </c>
      <c r="M81" s="3" t="s">
        <v>8</v>
      </c>
      <c r="N81" s="1" t="s">
        <v>8</v>
      </c>
      <c r="O81" s="3" t="s">
        <v>8</v>
      </c>
      <c r="P81" s="55"/>
      <c r="Q81" s="19"/>
      <c r="S81" s="22">
        <f>IF(K81="yes",1,0)</f>
        <v>0</v>
      </c>
      <c r="U81" s="22">
        <f>IF(P81&lt;=0.02,0,1)</f>
        <v>0</v>
      </c>
      <c r="V81" s="22">
        <f>IF(U81=0,J81,J81*(1-P81))</f>
        <v>0</v>
      </c>
    </row>
    <row r="82" spans="2:22" ht="12.75">
      <c r="B82" s="16"/>
      <c r="C82" s="24">
        <v>2</v>
      </c>
      <c r="D82" s="3"/>
      <c r="E82" s="3"/>
      <c r="F82" s="3"/>
      <c r="G82" s="3"/>
      <c r="H82" s="3"/>
      <c r="I82" s="4">
        <f t="shared" si="10"/>
        <v>0</v>
      </c>
      <c r="J82" s="54">
        <f aca="true" t="shared" si="11" ref="J82:J92">IF($I$103=0,0,I82/$I$103)</f>
        <v>0</v>
      </c>
      <c r="K82" s="2" t="s">
        <v>8</v>
      </c>
      <c r="L82" s="3" t="s">
        <v>8</v>
      </c>
      <c r="M82" s="3" t="s">
        <v>8</v>
      </c>
      <c r="N82" s="1" t="s">
        <v>8</v>
      </c>
      <c r="O82" s="3" t="s">
        <v>8</v>
      </c>
      <c r="P82" s="55"/>
      <c r="Q82" s="19"/>
      <c r="S82" s="22">
        <f aca="true" t="shared" si="12" ref="S82:S92">IF(K82="yes",1,0)</f>
        <v>0</v>
      </c>
      <c r="U82" s="22">
        <f aca="true" t="shared" si="13" ref="U82:U92">IF(P82&lt;=0.02,0,1)</f>
        <v>0</v>
      </c>
      <c r="V82" s="22">
        <f aca="true" t="shared" si="14" ref="V82:V92">IF(U82=0,J82,J82*(1-P82))</f>
        <v>0</v>
      </c>
    </row>
    <row r="83" spans="2:22" ht="12.75">
      <c r="B83" s="16"/>
      <c r="C83" s="24">
        <v>3</v>
      </c>
      <c r="D83" s="3"/>
      <c r="E83" s="3"/>
      <c r="F83" s="3"/>
      <c r="G83" s="3"/>
      <c r="H83" s="3"/>
      <c r="I83" s="4">
        <f t="shared" si="10"/>
        <v>0</v>
      </c>
      <c r="J83" s="54">
        <f t="shared" si="11"/>
        <v>0</v>
      </c>
      <c r="K83" s="2" t="s">
        <v>8</v>
      </c>
      <c r="L83" s="3" t="s">
        <v>8</v>
      </c>
      <c r="M83" s="3" t="s">
        <v>8</v>
      </c>
      <c r="N83" s="1" t="s">
        <v>8</v>
      </c>
      <c r="O83" s="3" t="s">
        <v>8</v>
      </c>
      <c r="P83" s="55"/>
      <c r="Q83" s="19"/>
      <c r="S83" s="22">
        <f t="shared" si="12"/>
        <v>0</v>
      </c>
      <c r="U83" s="22">
        <f t="shared" si="13"/>
        <v>0</v>
      </c>
      <c r="V83" s="22">
        <f t="shared" si="14"/>
        <v>0</v>
      </c>
    </row>
    <row r="84" spans="2:22" ht="12.75">
      <c r="B84" s="16"/>
      <c r="C84" s="24">
        <v>4</v>
      </c>
      <c r="D84" s="3"/>
      <c r="E84" s="3"/>
      <c r="F84" s="3"/>
      <c r="G84" s="3"/>
      <c r="H84" s="3"/>
      <c r="I84" s="4">
        <f t="shared" si="10"/>
        <v>0</v>
      </c>
      <c r="J84" s="54">
        <f t="shared" si="11"/>
        <v>0</v>
      </c>
      <c r="K84" s="2" t="s">
        <v>8</v>
      </c>
      <c r="L84" s="3" t="s">
        <v>8</v>
      </c>
      <c r="M84" s="3" t="s">
        <v>8</v>
      </c>
      <c r="N84" s="1" t="s">
        <v>8</v>
      </c>
      <c r="O84" s="3" t="s">
        <v>8</v>
      </c>
      <c r="P84" s="55"/>
      <c r="Q84" s="19"/>
      <c r="S84" s="22">
        <f t="shared" si="12"/>
        <v>0</v>
      </c>
      <c r="U84" s="22">
        <f t="shared" si="13"/>
        <v>0</v>
      </c>
      <c r="V84" s="22">
        <f t="shared" si="14"/>
        <v>0</v>
      </c>
    </row>
    <row r="85" spans="2:22" ht="12.75">
      <c r="B85" s="16"/>
      <c r="C85" s="24">
        <v>5</v>
      </c>
      <c r="D85" s="3"/>
      <c r="E85" s="3"/>
      <c r="F85" s="3"/>
      <c r="G85" s="3"/>
      <c r="H85" s="3"/>
      <c r="I85" s="4">
        <f t="shared" si="10"/>
        <v>0</v>
      </c>
      <c r="J85" s="54">
        <f t="shared" si="11"/>
        <v>0</v>
      </c>
      <c r="K85" s="2" t="s">
        <v>8</v>
      </c>
      <c r="L85" s="3" t="s">
        <v>8</v>
      </c>
      <c r="M85" s="3" t="s">
        <v>8</v>
      </c>
      <c r="N85" s="1" t="s">
        <v>8</v>
      </c>
      <c r="O85" s="3" t="s">
        <v>8</v>
      </c>
      <c r="P85" s="55"/>
      <c r="Q85" s="19"/>
      <c r="S85" s="22">
        <f t="shared" si="12"/>
        <v>0</v>
      </c>
      <c r="U85" s="22">
        <f t="shared" si="13"/>
        <v>0</v>
      </c>
      <c r="V85" s="22">
        <f t="shared" si="14"/>
        <v>0</v>
      </c>
    </row>
    <row r="86" spans="2:22" ht="12.75">
      <c r="B86" s="16"/>
      <c r="C86" s="24">
        <v>6</v>
      </c>
      <c r="D86" s="3"/>
      <c r="E86" s="3"/>
      <c r="F86" s="3"/>
      <c r="G86" s="3"/>
      <c r="H86" s="3"/>
      <c r="I86" s="4">
        <f t="shared" si="10"/>
        <v>0</v>
      </c>
      <c r="J86" s="54">
        <f t="shared" si="11"/>
        <v>0</v>
      </c>
      <c r="K86" s="2" t="s">
        <v>8</v>
      </c>
      <c r="L86" s="3" t="s">
        <v>8</v>
      </c>
      <c r="M86" s="3" t="s">
        <v>8</v>
      </c>
      <c r="N86" s="1" t="s">
        <v>8</v>
      </c>
      <c r="O86" s="3" t="s">
        <v>8</v>
      </c>
      <c r="P86" s="55"/>
      <c r="Q86" s="19"/>
      <c r="S86" s="22">
        <f t="shared" si="12"/>
        <v>0</v>
      </c>
      <c r="U86" s="22">
        <f t="shared" si="13"/>
        <v>0</v>
      </c>
      <c r="V86" s="22">
        <f t="shared" si="14"/>
        <v>0</v>
      </c>
    </row>
    <row r="87" spans="2:22" ht="12.75">
      <c r="B87" s="16"/>
      <c r="C87" s="24">
        <v>7</v>
      </c>
      <c r="D87" s="3"/>
      <c r="E87" s="3"/>
      <c r="F87" s="3"/>
      <c r="G87" s="3"/>
      <c r="H87" s="3"/>
      <c r="I87" s="4">
        <f t="shared" si="10"/>
        <v>0</v>
      </c>
      <c r="J87" s="54">
        <f t="shared" si="11"/>
        <v>0</v>
      </c>
      <c r="K87" s="2" t="s">
        <v>8</v>
      </c>
      <c r="L87" s="3" t="s">
        <v>8</v>
      </c>
      <c r="M87" s="3" t="s">
        <v>8</v>
      </c>
      <c r="N87" s="1" t="s">
        <v>8</v>
      </c>
      <c r="O87" s="3" t="s">
        <v>8</v>
      </c>
      <c r="P87" s="55"/>
      <c r="Q87" s="19"/>
      <c r="S87" s="22">
        <f t="shared" si="12"/>
        <v>0</v>
      </c>
      <c r="U87" s="22">
        <f t="shared" si="13"/>
        <v>0</v>
      </c>
      <c r="V87" s="22">
        <f t="shared" si="14"/>
        <v>0</v>
      </c>
    </row>
    <row r="88" spans="2:22" ht="12.75">
      <c r="B88" s="16"/>
      <c r="C88" s="24">
        <v>8</v>
      </c>
      <c r="D88" s="3"/>
      <c r="E88" s="3"/>
      <c r="F88" s="3"/>
      <c r="G88" s="3"/>
      <c r="H88" s="3"/>
      <c r="I88" s="4">
        <f t="shared" si="10"/>
        <v>0</v>
      </c>
      <c r="J88" s="54">
        <f t="shared" si="11"/>
        <v>0</v>
      </c>
      <c r="K88" s="2" t="s">
        <v>8</v>
      </c>
      <c r="L88" s="3" t="s">
        <v>8</v>
      </c>
      <c r="M88" s="3" t="s">
        <v>8</v>
      </c>
      <c r="N88" s="1" t="s">
        <v>8</v>
      </c>
      <c r="O88" s="3" t="s">
        <v>8</v>
      </c>
      <c r="P88" s="55"/>
      <c r="Q88" s="19"/>
      <c r="S88" s="22">
        <f t="shared" si="12"/>
        <v>0</v>
      </c>
      <c r="U88" s="22">
        <f t="shared" si="13"/>
        <v>0</v>
      </c>
      <c r="V88" s="22">
        <f t="shared" si="14"/>
        <v>0</v>
      </c>
    </row>
    <row r="89" spans="2:22" ht="12.75">
      <c r="B89" s="16"/>
      <c r="C89" s="24">
        <v>9</v>
      </c>
      <c r="D89" s="3"/>
      <c r="E89" s="3"/>
      <c r="F89" s="3"/>
      <c r="G89" s="3"/>
      <c r="H89" s="3"/>
      <c r="I89" s="4">
        <f t="shared" si="10"/>
        <v>0</v>
      </c>
      <c r="J89" s="54">
        <f t="shared" si="11"/>
        <v>0</v>
      </c>
      <c r="K89" s="2" t="s">
        <v>8</v>
      </c>
      <c r="L89" s="3" t="s">
        <v>8</v>
      </c>
      <c r="M89" s="3" t="s">
        <v>8</v>
      </c>
      <c r="N89" s="1" t="s">
        <v>8</v>
      </c>
      <c r="O89" s="3" t="s">
        <v>8</v>
      </c>
      <c r="P89" s="55"/>
      <c r="Q89" s="19"/>
      <c r="S89" s="22">
        <f t="shared" si="12"/>
        <v>0</v>
      </c>
      <c r="U89" s="22">
        <f t="shared" si="13"/>
        <v>0</v>
      </c>
      <c r="V89" s="22">
        <f t="shared" si="14"/>
        <v>0</v>
      </c>
    </row>
    <row r="90" spans="2:22" ht="12.75">
      <c r="B90" s="16"/>
      <c r="C90" s="25">
        <v>10</v>
      </c>
      <c r="D90" s="3"/>
      <c r="E90" s="3"/>
      <c r="F90" s="3"/>
      <c r="G90" s="3"/>
      <c r="H90" s="3"/>
      <c r="I90" s="4">
        <f t="shared" si="10"/>
        <v>0</v>
      </c>
      <c r="J90" s="54">
        <f t="shared" si="11"/>
        <v>0</v>
      </c>
      <c r="K90" s="2" t="s">
        <v>8</v>
      </c>
      <c r="L90" s="3" t="s">
        <v>8</v>
      </c>
      <c r="M90" s="3" t="s">
        <v>8</v>
      </c>
      <c r="N90" s="1" t="s">
        <v>8</v>
      </c>
      <c r="O90" s="3" t="s">
        <v>8</v>
      </c>
      <c r="P90" s="55"/>
      <c r="Q90" s="19"/>
      <c r="S90" s="22">
        <f t="shared" si="12"/>
        <v>0</v>
      </c>
      <c r="U90" s="22">
        <f t="shared" si="13"/>
        <v>0</v>
      </c>
      <c r="V90" s="22">
        <f t="shared" si="14"/>
        <v>0</v>
      </c>
    </row>
    <row r="91" spans="2:22" ht="12.75">
      <c r="B91" s="16"/>
      <c r="C91" s="25">
        <v>11</v>
      </c>
      <c r="D91" s="6"/>
      <c r="E91" s="7"/>
      <c r="F91" s="6"/>
      <c r="G91" s="7"/>
      <c r="H91" s="6"/>
      <c r="I91" s="4">
        <f t="shared" si="10"/>
        <v>0</v>
      </c>
      <c r="J91" s="54">
        <f t="shared" si="11"/>
        <v>0</v>
      </c>
      <c r="K91" s="2" t="s">
        <v>8</v>
      </c>
      <c r="L91" s="3" t="s">
        <v>8</v>
      </c>
      <c r="M91" s="3" t="s">
        <v>8</v>
      </c>
      <c r="N91" s="1" t="s">
        <v>8</v>
      </c>
      <c r="O91" s="3" t="s">
        <v>8</v>
      </c>
      <c r="P91" s="55"/>
      <c r="Q91" s="19"/>
      <c r="S91" s="22">
        <f t="shared" si="12"/>
        <v>0</v>
      </c>
      <c r="U91" s="22">
        <f t="shared" si="13"/>
        <v>0</v>
      </c>
      <c r="V91" s="22">
        <f t="shared" si="14"/>
        <v>0</v>
      </c>
    </row>
    <row r="92" spans="2:22" ht="12.75">
      <c r="B92" s="16"/>
      <c r="C92" s="25">
        <v>12</v>
      </c>
      <c r="D92" s="6"/>
      <c r="E92" s="7"/>
      <c r="F92" s="6"/>
      <c r="G92" s="7"/>
      <c r="H92" s="6"/>
      <c r="I92" s="26">
        <f t="shared" si="10"/>
        <v>0</v>
      </c>
      <c r="J92" s="54">
        <f t="shared" si="11"/>
        <v>0</v>
      </c>
      <c r="K92" s="2" t="s">
        <v>8</v>
      </c>
      <c r="L92" s="3" t="s">
        <v>8</v>
      </c>
      <c r="M92" s="3" t="s">
        <v>8</v>
      </c>
      <c r="N92" s="1" t="s">
        <v>8</v>
      </c>
      <c r="O92" s="3" t="s">
        <v>8</v>
      </c>
      <c r="P92" s="55"/>
      <c r="Q92" s="19"/>
      <c r="S92" s="22">
        <f t="shared" si="12"/>
        <v>0</v>
      </c>
      <c r="U92" s="22">
        <f t="shared" si="13"/>
        <v>0</v>
      </c>
      <c r="V92" s="22">
        <f t="shared" si="14"/>
        <v>0</v>
      </c>
    </row>
    <row r="93" spans="2:22" ht="12.75">
      <c r="B93" s="16"/>
      <c r="C93" s="27"/>
      <c r="D93" s="28"/>
      <c r="E93" s="28"/>
      <c r="F93" s="28"/>
      <c r="G93" s="28"/>
      <c r="H93" s="28"/>
      <c r="I93" s="29" t="s">
        <v>83</v>
      </c>
      <c r="J93" s="102">
        <f>ROUND(SUMPRODUCT(J81:J92,S81:S92,(1-P81:P92)),4)</f>
        <v>0</v>
      </c>
      <c r="K93" s="18"/>
      <c r="L93" s="18"/>
      <c r="M93" s="18"/>
      <c r="N93" s="18"/>
      <c r="O93" s="18"/>
      <c r="P93" s="18"/>
      <c r="Q93" s="19"/>
      <c r="U93" s="22">
        <f>SUM(U81:U92)</f>
        <v>0</v>
      </c>
      <c r="V93" s="22">
        <f>ROUND(SUM(V81:V92),4)</f>
        <v>0</v>
      </c>
    </row>
    <row r="94" spans="2:17" ht="12.75">
      <c r="B94" s="16"/>
      <c r="C94" s="30"/>
      <c r="D94" s="31"/>
      <c r="E94" s="31"/>
      <c r="F94" s="31"/>
      <c r="G94" s="31"/>
      <c r="H94" s="31"/>
      <c r="I94" s="32" t="s">
        <v>3</v>
      </c>
      <c r="J94" s="102">
        <f>ROUND(SUMPRODUCT(J81:J92,(1-P81:P92)),4)</f>
        <v>0</v>
      </c>
      <c r="K94" s="18"/>
      <c r="L94" s="18"/>
      <c r="M94" s="18"/>
      <c r="N94" s="18"/>
      <c r="O94" s="18"/>
      <c r="P94" s="18"/>
      <c r="Q94" s="19"/>
    </row>
    <row r="95" spans="2:17" ht="12.75">
      <c r="B95" s="16"/>
      <c r="C95" s="18"/>
      <c r="D95" s="18"/>
      <c r="E95" s="18"/>
      <c r="F95" s="18"/>
      <c r="G95" s="18"/>
      <c r="H95" s="18"/>
      <c r="I95" s="33"/>
      <c r="K95" s="18"/>
      <c r="L95" s="18"/>
      <c r="M95" s="18"/>
      <c r="N95" s="18"/>
      <c r="O95" s="18"/>
      <c r="P95" s="18"/>
      <c r="Q95" s="19"/>
    </row>
    <row r="96" spans="2:17" ht="12.75" customHeight="1">
      <c r="B96" s="16"/>
      <c r="C96" s="18"/>
      <c r="D96" s="18"/>
      <c r="E96" s="18"/>
      <c r="F96" s="18"/>
      <c r="G96" s="18"/>
      <c r="H96" s="18"/>
      <c r="I96" s="18"/>
      <c r="J96" s="18"/>
      <c r="K96" s="18"/>
      <c r="N96" s="18"/>
      <c r="O96" s="18"/>
      <c r="P96" s="18"/>
      <c r="Q96" s="19"/>
    </row>
    <row r="97" spans="2:17" ht="12.75" customHeight="1">
      <c r="B97" s="16"/>
      <c r="C97" s="17" t="s">
        <v>72</v>
      </c>
      <c r="D97" s="18"/>
      <c r="E97" s="18"/>
      <c r="F97" s="18"/>
      <c r="G97" s="18"/>
      <c r="H97" s="18"/>
      <c r="I97" s="18"/>
      <c r="J97" s="18"/>
      <c r="K97" s="18"/>
      <c r="L97" s="17" t="s">
        <v>24</v>
      </c>
      <c r="Q97" s="19"/>
    </row>
    <row r="98" spans="2:17" ht="51">
      <c r="B98" s="16"/>
      <c r="C98" s="24"/>
      <c r="D98" s="24" t="s">
        <v>87</v>
      </c>
      <c r="E98" s="4" t="s">
        <v>25</v>
      </c>
      <c r="F98" s="4" t="s">
        <v>17</v>
      </c>
      <c r="G98" s="4" t="s">
        <v>26</v>
      </c>
      <c r="H98" s="4" t="s">
        <v>18</v>
      </c>
      <c r="I98" s="4" t="s">
        <v>34</v>
      </c>
      <c r="J98" s="4" t="s">
        <v>35</v>
      </c>
      <c r="K98" s="18"/>
      <c r="L98" s="120"/>
      <c r="M98" s="121"/>
      <c r="N98" s="121"/>
      <c r="O98" s="121"/>
      <c r="P98" s="122"/>
      <c r="Q98" s="19"/>
    </row>
    <row r="99" spans="2:17" ht="12.75" customHeight="1">
      <c r="B99" s="16"/>
      <c r="C99" s="24">
        <v>1</v>
      </c>
      <c r="D99" s="3"/>
      <c r="E99" s="3"/>
      <c r="F99" s="3"/>
      <c r="G99" s="3"/>
      <c r="H99" s="3"/>
      <c r="I99" s="4">
        <f>E99*G99</f>
        <v>0</v>
      </c>
      <c r="J99" s="54">
        <f>IF($I$103=0,0,I99/$I$103)</f>
        <v>0</v>
      </c>
      <c r="K99" s="18"/>
      <c r="L99" s="123"/>
      <c r="M99" s="124"/>
      <c r="N99" s="124"/>
      <c r="O99" s="124"/>
      <c r="P99" s="125"/>
      <c r="Q99" s="19"/>
    </row>
    <row r="100" spans="2:17" ht="12.75" customHeight="1">
      <c r="B100" s="16"/>
      <c r="C100" s="24">
        <v>2</v>
      </c>
      <c r="D100" s="3"/>
      <c r="E100" s="3"/>
      <c r="F100" s="3"/>
      <c r="G100" s="3"/>
      <c r="H100" s="3"/>
      <c r="I100" s="4">
        <f>E100*G100</f>
        <v>0</v>
      </c>
      <c r="J100" s="54">
        <f>IF($I$103=0,0,I100/$I$103)</f>
        <v>0</v>
      </c>
      <c r="K100" s="18"/>
      <c r="L100" s="123"/>
      <c r="M100" s="124"/>
      <c r="N100" s="124"/>
      <c r="O100" s="124"/>
      <c r="P100" s="125"/>
      <c r="Q100" s="19"/>
    </row>
    <row r="101" spans="2:17" ht="12.75" customHeight="1">
      <c r="B101" s="16"/>
      <c r="C101" s="24">
        <v>3</v>
      </c>
      <c r="D101" s="3"/>
      <c r="E101" s="3"/>
      <c r="F101" s="3"/>
      <c r="G101" s="3"/>
      <c r="H101" s="3"/>
      <c r="I101" s="4">
        <f>E101*G101</f>
        <v>0</v>
      </c>
      <c r="J101" s="54">
        <f>IF($I$103=0,0,I101/$I$103)</f>
        <v>0</v>
      </c>
      <c r="K101" s="18"/>
      <c r="L101" s="123"/>
      <c r="M101" s="124"/>
      <c r="N101" s="124"/>
      <c r="O101" s="124"/>
      <c r="P101" s="125"/>
      <c r="Q101" s="19"/>
    </row>
    <row r="102" spans="2:17" ht="13.5" customHeight="1">
      <c r="B102" s="16"/>
      <c r="C102" s="25">
        <v>4</v>
      </c>
      <c r="D102" s="3"/>
      <c r="E102" s="3"/>
      <c r="F102" s="3"/>
      <c r="G102" s="3"/>
      <c r="H102" s="3"/>
      <c r="I102" s="4">
        <f>E102*G102</f>
        <v>0</v>
      </c>
      <c r="J102" s="54">
        <f>IF($I$103=0,0,I102/$I$103)</f>
        <v>0</v>
      </c>
      <c r="K102" s="18"/>
      <c r="L102" s="123"/>
      <c r="M102" s="124"/>
      <c r="N102" s="124"/>
      <c r="O102" s="124"/>
      <c r="P102" s="125"/>
      <c r="Q102" s="19"/>
    </row>
    <row r="103" spans="2:17" ht="12.75">
      <c r="B103" s="16"/>
      <c r="C103" s="34"/>
      <c r="D103" s="35"/>
      <c r="E103" s="36"/>
      <c r="F103" s="36"/>
      <c r="G103" s="36"/>
      <c r="H103" s="37" t="s">
        <v>73</v>
      </c>
      <c r="I103" s="8">
        <f>SUM(I99:I102,I81:I92)</f>
        <v>0</v>
      </c>
      <c r="J103" s="9">
        <f>SUM(J99:J102)</f>
        <v>0</v>
      </c>
      <c r="K103" s="18"/>
      <c r="L103" s="123"/>
      <c r="M103" s="124"/>
      <c r="N103" s="124"/>
      <c r="O103" s="124"/>
      <c r="P103" s="125"/>
      <c r="Q103" s="19"/>
    </row>
    <row r="104" spans="2:17" ht="12.75">
      <c r="B104" s="16"/>
      <c r="C104" s="18"/>
      <c r="D104" s="18"/>
      <c r="E104" s="18"/>
      <c r="F104" s="18"/>
      <c r="G104" s="18"/>
      <c r="H104" s="18"/>
      <c r="I104" s="18"/>
      <c r="J104" s="18"/>
      <c r="K104" s="18"/>
      <c r="L104" s="123"/>
      <c r="M104" s="124"/>
      <c r="N104" s="124"/>
      <c r="O104" s="124"/>
      <c r="P104" s="125"/>
      <c r="Q104" s="19"/>
    </row>
    <row r="105" spans="2:17" ht="12.75">
      <c r="B105" s="16"/>
      <c r="C105" s="18"/>
      <c r="D105" s="18"/>
      <c r="E105" s="18"/>
      <c r="F105" s="18"/>
      <c r="G105" s="18"/>
      <c r="H105" s="18"/>
      <c r="I105" s="18"/>
      <c r="J105" s="18"/>
      <c r="K105" s="18"/>
      <c r="L105" s="123"/>
      <c r="M105" s="124"/>
      <c r="N105" s="124"/>
      <c r="O105" s="124"/>
      <c r="P105" s="125"/>
      <c r="Q105" s="19"/>
    </row>
    <row r="106" spans="2:17" ht="12.75">
      <c r="B106" s="16"/>
      <c r="C106" s="17" t="s">
        <v>89</v>
      </c>
      <c r="D106" s="18"/>
      <c r="E106" s="18"/>
      <c r="F106" s="18"/>
      <c r="G106" s="18"/>
      <c r="H106" s="18"/>
      <c r="J106" s="10" t="s">
        <v>8</v>
      </c>
      <c r="K106" s="18"/>
      <c r="L106" s="123"/>
      <c r="M106" s="124"/>
      <c r="N106" s="124"/>
      <c r="O106" s="124"/>
      <c r="P106" s="125"/>
      <c r="Q106" s="19"/>
    </row>
    <row r="107" spans="2:17" ht="12.75">
      <c r="B107" s="16"/>
      <c r="C107" s="17" t="s">
        <v>74</v>
      </c>
      <c r="E107" s="18"/>
      <c r="F107" s="18"/>
      <c r="G107" s="18"/>
      <c r="H107" s="18"/>
      <c r="I107" s="18"/>
      <c r="J107" s="10" t="s">
        <v>8</v>
      </c>
      <c r="K107" s="18"/>
      <c r="L107" s="126"/>
      <c r="M107" s="127"/>
      <c r="N107" s="127"/>
      <c r="O107" s="127"/>
      <c r="P107" s="128"/>
      <c r="Q107" s="19"/>
    </row>
    <row r="108" spans="2:17" ht="12.75">
      <c r="B108" s="16"/>
      <c r="C108" s="18"/>
      <c r="D108" s="18"/>
      <c r="E108" s="18"/>
      <c r="F108" s="18"/>
      <c r="G108" s="18"/>
      <c r="H108" s="18"/>
      <c r="I108" s="18"/>
      <c r="J108" s="18"/>
      <c r="K108" s="18"/>
      <c r="L108" s="18"/>
      <c r="M108" s="18"/>
      <c r="N108" s="18"/>
      <c r="O108" s="18"/>
      <c r="P108" s="18"/>
      <c r="Q108" s="19"/>
    </row>
    <row r="109" spans="2:17" ht="13.5" thickBot="1">
      <c r="B109" s="38"/>
      <c r="C109" s="39"/>
      <c r="D109" s="39"/>
      <c r="E109" s="39"/>
      <c r="F109" s="39"/>
      <c r="G109" s="39"/>
      <c r="H109" s="39"/>
      <c r="I109" s="39"/>
      <c r="J109" s="39"/>
      <c r="K109" s="39"/>
      <c r="L109" s="39"/>
      <c r="M109" s="39"/>
      <c r="N109" s="39"/>
      <c r="O109" s="39"/>
      <c r="P109" s="39"/>
      <c r="Q109" s="40"/>
    </row>
    <row r="110" ht="12.75"/>
    <row r="111" spans="2:11" ht="12.75">
      <c r="B111" s="63"/>
      <c r="G111" s="100" t="s">
        <v>15</v>
      </c>
      <c r="H111" s="114">
        <f>IF(ISBLANK(Generator_Info!B19),"",Generator_Info!B19)</f>
      </c>
      <c r="I111" s="119"/>
      <c r="J111" s="119"/>
      <c r="K111" s="115"/>
    </row>
    <row r="112" ht="13.5" thickBot="1"/>
    <row r="113" spans="2:17" ht="12.75">
      <c r="B113" s="13"/>
      <c r="C113" s="14"/>
      <c r="D113" s="14"/>
      <c r="E113" s="14"/>
      <c r="F113" s="14"/>
      <c r="G113" s="14"/>
      <c r="H113" s="14"/>
      <c r="I113" s="14"/>
      <c r="J113" s="14"/>
      <c r="K113" s="14"/>
      <c r="L113" s="14"/>
      <c r="M113" s="14"/>
      <c r="N113" s="14"/>
      <c r="O113" s="14"/>
      <c r="P113" s="14"/>
      <c r="Q113" s="15"/>
    </row>
    <row r="114" spans="2:17" ht="12.75">
      <c r="B114" s="16"/>
      <c r="C114" s="17" t="s">
        <v>71</v>
      </c>
      <c r="D114" s="18"/>
      <c r="E114" s="18"/>
      <c r="F114" s="18"/>
      <c r="G114" s="18"/>
      <c r="H114" s="18"/>
      <c r="I114" s="18"/>
      <c r="J114" s="18"/>
      <c r="K114" s="18"/>
      <c r="L114" s="18"/>
      <c r="M114" s="18"/>
      <c r="N114" s="18"/>
      <c r="O114" s="18"/>
      <c r="P114" s="18"/>
      <c r="Q114" s="19"/>
    </row>
    <row r="115" spans="2:22" ht="89.25">
      <c r="B115" s="20"/>
      <c r="C115" s="4"/>
      <c r="D115" s="4" t="s">
        <v>16</v>
      </c>
      <c r="E115" s="4" t="s">
        <v>25</v>
      </c>
      <c r="F115" s="4" t="s">
        <v>17</v>
      </c>
      <c r="G115" s="4" t="s">
        <v>26</v>
      </c>
      <c r="H115" s="4" t="s">
        <v>18</v>
      </c>
      <c r="I115" s="4" t="s">
        <v>34</v>
      </c>
      <c r="J115" s="4" t="s">
        <v>35</v>
      </c>
      <c r="K115" s="4" t="s">
        <v>78</v>
      </c>
      <c r="L115" s="4" t="s">
        <v>19</v>
      </c>
      <c r="M115" s="4" t="s">
        <v>20</v>
      </c>
      <c r="N115" s="4" t="s">
        <v>21</v>
      </c>
      <c r="O115" s="4" t="s">
        <v>22</v>
      </c>
      <c r="P115" s="4" t="s">
        <v>23</v>
      </c>
      <c r="Q115" s="21"/>
      <c r="S115" s="22" t="s">
        <v>79</v>
      </c>
      <c r="T115" s="23"/>
      <c r="U115" s="23" t="s">
        <v>80</v>
      </c>
      <c r="V115" s="23" t="s">
        <v>145</v>
      </c>
    </row>
    <row r="116" spans="2:22" ht="12.75">
      <c r="B116" s="16"/>
      <c r="C116" s="24">
        <v>1</v>
      </c>
      <c r="D116" s="3"/>
      <c r="E116" s="3"/>
      <c r="F116" s="3"/>
      <c r="G116" s="3"/>
      <c r="H116" s="3"/>
      <c r="I116" s="4">
        <f aca="true" t="shared" si="15" ref="I116:I127">E116*G116</f>
        <v>0</v>
      </c>
      <c r="J116" s="5">
        <f>IF($I$138=0,0,I116/$I$138)</f>
        <v>0</v>
      </c>
      <c r="K116" s="2" t="s">
        <v>8</v>
      </c>
      <c r="L116" s="3" t="s">
        <v>8</v>
      </c>
      <c r="M116" s="3" t="s">
        <v>8</v>
      </c>
      <c r="N116" s="1" t="s">
        <v>8</v>
      </c>
      <c r="O116" s="3" t="s">
        <v>8</v>
      </c>
      <c r="P116" s="2"/>
      <c r="Q116" s="19"/>
      <c r="S116" s="22">
        <f>IF(K116="yes",1,0)</f>
        <v>0</v>
      </c>
      <c r="U116" s="22">
        <f>IF(P116&lt;=0.02,0,1)</f>
        <v>0</v>
      </c>
      <c r="V116" s="22">
        <f>IF(U116=0,J116,J116*(1-P116))</f>
        <v>0</v>
      </c>
    </row>
    <row r="117" spans="2:22" ht="12.75">
      <c r="B117" s="16"/>
      <c r="C117" s="24">
        <v>2</v>
      </c>
      <c r="D117" s="3"/>
      <c r="E117" s="3"/>
      <c r="F117" s="3"/>
      <c r="G117" s="3"/>
      <c r="H117" s="3"/>
      <c r="I117" s="4">
        <f t="shared" si="15"/>
        <v>0</v>
      </c>
      <c r="J117" s="5">
        <f aca="true" t="shared" si="16" ref="J117:J127">IF($I$138=0,0,I117/$I$138)</f>
        <v>0</v>
      </c>
      <c r="K117" s="2" t="s">
        <v>8</v>
      </c>
      <c r="L117" s="3" t="s">
        <v>8</v>
      </c>
      <c r="M117" s="3" t="s">
        <v>8</v>
      </c>
      <c r="N117" s="1" t="s">
        <v>8</v>
      </c>
      <c r="O117" s="3" t="s">
        <v>8</v>
      </c>
      <c r="P117" s="2"/>
      <c r="Q117" s="19"/>
      <c r="S117" s="22">
        <f aca="true" t="shared" si="17" ref="S117:S127">IF(K117="yes",1,0)</f>
        <v>0</v>
      </c>
      <c r="U117" s="22">
        <f aca="true" t="shared" si="18" ref="U117:U127">IF(P117&lt;=0.02,0,1)</f>
        <v>0</v>
      </c>
      <c r="V117" s="22">
        <f aca="true" t="shared" si="19" ref="V117:V127">IF(U117=0,J117,J117*(1-P117))</f>
        <v>0</v>
      </c>
    </row>
    <row r="118" spans="2:22" ht="12.75">
      <c r="B118" s="16"/>
      <c r="C118" s="24">
        <v>3</v>
      </c>
      <c r="D118" s="3"/>
      <c r="E118" s="3"/>
      <c r="F118" s="3"/>
      <c r="G118" s="3"/>
      <c r="H118" s="3"/>
      <c r="I118" s="4">
        <f t="shared" si="15"/>
        <v>0</v>
      </c>
      <c r="J118" s="5">
        <f t="shared" si="16"/>
        <v>0</v>
      </c>
      <c r="K118" s="2" t="s">
        <v>8</v>
      </c>
      <c r="L118" s="3" t="s">
        <v>8</v>
      </c>
      <c r="M118" s="3" t="s">
        <v>8</v>
      </c>
      <c r="N118" s="1" t="s">
        <v>8</v>
      </c>
      <c r="O118" s="3" t="s">
        <v>8</v>
      </c>
      <c r="P118" s="2"/>
      <c r="Q118" s="19"/>
      <c r="S118" s="22">
        <f t="shared" si="17"/>
        <v>0</v>
      </c>
      <c r="U118" s="22">
        <f t="shared" si="18"/>
        <v>0</v>
      </c>
      <c r="V118" s="22">
        <f t="shared" si="19"/>
        <v>0</v>
      </c>
    </row>
    <row r="119" spans="2:22" ht="12.75">
      <c r="B119" s="16"/>
      <c r="C119" s="24">
        <v>4</v>
      </c>
      <c r="D119" s="3"/>
      <c r="E119" s="3"/>
      <c r="F119" s="3"/>
      <c r="G119" s="3"/>
      <c r="H119" s="3"/>
      <c r="I119" s="4">
        <f t="shared" si="15"/>
        <v>0</v>
      </c>
      <c r="J119" s="5">
        <f t="shared" si="16"/>
        <v>0</v>
      </c>
      <c r="K119" s="2" t="s">
        <v>8</v>
      </c>
      <c r="L119" s="3" t="s">
        <v>8</v>
      </c>
      <c r="M119" s="3" t="s">
        <v>8</v>
      </c>
      <c r="N119" s="1" t="s">
        <v>8</v>
      </c>
      <c r="O119" s="3" t="s">
        <v>8</v>
      </c>
      <c r="P119" s="2"/>
      <c r="Q119" s="19"/>
      <c r="S119" s="22">
        <f t="shared" si="17"/>
        <v>0</v>
      </c>
      <c r="U119" s="22">
        <f t="shared" si="18"/>
        <v>0</v>
      </c>
      <c r="V119" s="22">
        <f t="shared" si="19"/>
        <v>0</v>
      </c>
    </row>
    <row r="120" spans="2:22" ht="12.75">
      <c r="B120" s="16"/>
      <c r="C120" s="24">
        <v>5</v>
      </c>
      <c r="D120" s="3"/>
      <c r="E120" s="3"/>
      <c r="F120" s="3"/>
      <c r="G120" s="3"/>
      <c r="H120" s="3"/>
      <c r="I120" s="4">
        <f t="shared" si="15"/>
        <v>0</v>
      </c>
      <c r="J120" s="5">
        <f t="shared" si="16"/>
        <v>0</v>
      </c>
      <c r="K120" s="2" t="s">
        <v>8</v>
      </c>
      <c r="L120" s="3" t="s">
        <v>8</v>
      </c>
      <c r="M120" s="3" t="s">
        <v>8</v>
      </c>
      <c r="N120" s="1" t="s">
        <v>8</v>
      </c>
      <c r="O120" s="3" t="s">
        <v>8</v>
      </c>
      <c r="P120" s="2"/>
      <c r="Q120" s="19"/>
      <c r="S120" s="22">
        <f t="shared" si="17"/>
        <v>0</v>
      </c>
      <c r="U120" s="22">
        <f t="shared" si="18"/>
        <v>0</v>
      </c>
      <c r="V120" s="22">
        <f t="shared" si="19"/>
        <v>0</v>
      </c>
    </row>
    <row r="121" spans="2:22" ht="12.75">
      <c r="B121" s="16"/>
      <c r="C121" s="24">
        <v>6</v>
      </c>
      <c r="D121" s="3"/>
      <c r="E121" s="3"/>
      <c r="F121" s="3"/>
      <c r="G121" s="3"/>
      <c r="H121" s="3"/>
      <c r="I121" s="4">
        <f t="shared" si="15"/>
        <v>0</v>
      </c>
      <c r="J121" s="5">
        <f t="shared" si="16"/>
        <v>0</v>
      </c>
      <c r="K121" s="2" t="s">
        <v>8</v>
      </c>
      <c r="L121" s="3" t="s">
        <v>8</v>
      </c>
      <c r="M121" s="3" t="s">
        <v>8</v>
      </c>
      <c r="N121" s="1" t="s">
        <v>8</v>
      </c>
      <c r="O121" s="3" t="s">
        <v>8</v>
      </c>
      <c r="P121" s="2"/>
      <c r="Q121" s="19"/>
      <c r="S121" s="22">
        <f t="shared" si="17"/>
        <v>0</v>
      </c>
      <c r="U121" s="22">
        <f t="shared" si="18"/>
        <v>0</v>
      </c>
      <c r="V121" s="22">
        <f t="shared" si="19"/>
        <v>0</v>
      </c>
    </row>
    <row r="122" spans="2:22" ht="12.75">
      <c r="B122" s="16"/>
      <c r="C122" s="24">
        <v>7</v>
      </c>
      <c r="D122" s="3"/>
      <c r="E122" s="3"/>
      <c r="F122" s="3"/>
      <c r="G122" s="3"/>
      <c r="H122" s="3"/>
      <c r="I122" s="4">
        <f t="shared" si="15"/>
        <v>0</v>
      </c>
      <c r="J122" s="5">
        <f t="shared" si="16"/>
        <v>0</v>
      </c>
      <c r="K122" s="2" t="s">
        <v>8</v>
      </c>
      <c r="L122" s="3" t="s">
        <v>8</v>
      </c>
      <c r="M122" s="3" t="s">
        <v>8</v>
      </c>
      <c r="N122" s="1" t="s">
        <v>8</v>
      </c>
      <c r="O122" s="3" t="s">
        <v>8</v>
      </c>
      <c r="P122" s="2"/>
      <c r="Q122" s="19"/>
      <c r="S122" s="22">
        <f t="shared" si="17"/>
        <v>0</v>
      </c>
      <c r="U122" s="22">
        <f t="shared" si="18"/>
        <v>0</v>
      </c>
      <c r="V122" s="22">
        <f t="shared" si="19"/>
        <v>0</v>
      </c>
    </row>
    <row r="123" spans="2:22" ht="12.75">
      <c r="B123" s="16"/>
      <c r="C123" s="24">
        <v>8</v>
      </c>
      <c r="D123" s="3"/>
      <c r="E123" s="3"/>
      <c r="F123" s="3"/>
      <c r="G123" s="3"/>
      <c r="H123" s="3"/>
      <c r="I123" s="4">
        <f t="shared" si="15"/>
        <v>0</v>
      </c>
      <c r="J123" s="5">
        <f t="shared" si="16"/>
        <v>0</v>
      </c>
      <c r="K123" s="2" t="s">
        <v>8</v>
      </c>
      <c r="L123" s="3" t="s">
        <v>8</v>
      </c>
      <c r="M123" s="3" t="s">
        <v>8</v>
      </c>
      <c r="N123" s="1" t="s">
        <v>8</v>
      </c>
      <c r="O123" s="3" t="s">
        <v>8</v>
      </c>
      <c r="P123" s="2"/>
      <c r="Q123" s="19"/>
      <c r="S123" s="22">
        <f t="shared" si="17"/>
        <v>0</v>
      </c>
      <c r="U123" s="22">
        <f t="shared" si="18"/>
        <v>0</v>
      </c>
      <c r="V123" s="22">
        <f t="shared" si="19"/>
        <v>0</v>
      </c>
    </row>
    <row r="124" spans="2:22" ht="12.75">
      <c r="B124" s="16"/>
      <c r="C124" s="24">
        <v>9</v>
      </c>
      <c r="D124" s="3"/>
      <c r="E124" s="3"/>
      <c r="F124" s="3"/>
      <c r="G124" s="3"/>
      <c r="H124" s="3"/>
      <c r="I124" s="4">
        <f t="shared" si="15"/>
        <v>0</v>
      </c>
      <c r="J124" s="5">
        <f t="shared" si="16"/>
        <v>0</v>
      </c>
      <c r="K124" s="2" t="s">
        <v>8</v>
      </c>
      <c r="L124" s="3" t="s">
        <v>8</v>
      </c>
      <c r="M124" s="3" t="s">
        <v>8</v>
      </c>
      <c r="N124" s="1" t="s">
        <v>8</v>
      </c>
      <c r="O124" s="3" t="s">
        <v>8</v>
      </c>
      <c r="P124" s="2"/>
      <c r="Q124" s="19"/>
      <c r="S124" s="22">
        <f t="shared" si="17"/>
        <v>0</v>
      </c>
      <c r="U124" s="22">
        <f t="shared" si="18"/>
        <v>0</v>
      </c>
      <c r="V124" s="22">
        <f t="shared" si="19"/>
        <v>0</v>
      </c>
    </row>
    <row r="125" spans="2:22" ht="12.75">
      <c r="B125" s="16"/>
      <c r="C125" s="25">
        <v>10</v>
      </c>
      <c r="D125" s="3"/>
      <c r="E125" s="3"/>
      <c r="F125" s="3"/>
      <c r="G125" s="3"/>
      <c r="H125" s="3"/>
      <c r="I125" s="4">
        <f t="shared" si="15"/>
        <v>0</v>
      </c>
      <c r="J125" s="5">
        <f t="shared" si="16"/>
        <v>0</v>
      </c>
      <c r="K125" s="2" t="s">
        <v>8</v>
      </c>
      <c r="L125" s="3" t="s">
        <v>8</v>
      </c>
      <c r="M125" s="3" t="s">
        <v>8</v>
      </c>
      <c r="N125" s="1" t="s">
        <v>8</v>
      </c>
      <c r="O125" s="3" t="s">
        <v>8</v>
      </c>
      <c r="P125" s="2"/>
      <c r="Q125" s="19"/>
      <c r="S125" s="22">
        <f t="shared" si="17"/>
        <v>0</v>
      </c>
      <c r="U125" s="22">
        <f t="shared" si="18"/>
        <v>0</v>
      </c>
      <c r="V125" s="22">
        <f t="shared" si="19"/>
        <v>0</v>
      </c>
    </row>
    <row r="126" spans="2:22" ht="12.75">
      <c r="B126" s="16"/>
      <c r="C126" s="25">
        <v>11</v>
      </c>
      <c r="D126" s="6"/>
      <c r="E126" s="7"/>
      <c r="F126" s="6"/>
      <c r="G126" s="7"/>
      <c r="H126" s="6"/>
      <c r="I126" s="4">
        <f t="shared" si="15"/>
        <v>0</v>
      </c>
      <c r="J126" s="5">
        <f t="shared" si="16"/>
        <v>0</v>
      </c>
      <c r="K126" s="2" t="s">
        <v>8</v>
      </c>
      <c r="L126" s="3" t="s">
        <v>8</v>
      </c>
      <c r="M126" s="3" t="s">
        <v>8</v>
      </c>
      <c r="N126" s="1" t="s">
        <v>8</v>
      </c>
      <c r="O126" s="3" t="s">
        <v>8</v>
      </c>
      <c r="P126" s="2"/>
      <c r="Q126" s="19"/>
      <c r="S126" s="22">
        <f t="shared" si="17"/>
        <v>0</v>
      </c>
      <c r="U126" s="22">
        <f t="shared" si="18"/>
        <v>0</v>
      </c>
      <c r="V126" s="22">
        <f t="shared" si="19"/>
        <v>0</v>
      </c>
    </row>
    <row r="127" spans="2:22" ht="12.75">
      <c r="B127" s="16"/>
      <c r="C127" s="25">
        <v>12</v>
      </c>
      <c r="D127" s="6"/>
      <c r="E127" s="7"/>
      <c r="F127" s="6"/>
      <c r="G127" s="7"/>
      <c r="H127" s="6"/>
      <c r="I127" s="26">
        <f t="shared" si="15"/>
        <v>0</v>
      </c>
      <c r="J127" s="5">
        <f t="shared" si="16"/>
        <v>0</v>
      </c>
      <c r="K127" s="2" t="s">
        <v>8</v>
      </c>
      <c r="L127" s="3" t="s">
        <v>8</v>
      </c>
      <c r="M127" s="3" t="s">
        <v>8</v>
      </c>
      <c r="N127" s="1" t="s">
        <v>8</v>
      </c>
      <c r="O127" s="3" t="s">
        <v>8</v>
      </c>
      <c r="P127" s="2"/>
      <c r="Q127" s="19"/>
      <c r="S127" s="22">
        <f t="shared" si="17"/>
        <v>0</v>
      </c>
      <c r="U127" s="22">
        <f t="shared" si="18"/>
        <v>0</v>
      </c>
      <c r="V127" s="22">
        <f t="shared" si="19"/>
        <v>0</v>
      </c>
    </row>
    <row r="128" spans="2:22" ht="12.75">
      <c r="B128" s="16"/>
      <c r="C128" s="27"/>
      <c r="D128" s="28"/>
      <c r="E128" s="28"/>
      <c r="F128" s="28"/>
      <c r="G128" s="28"/>
      <c r="H128" s="28"/>
      <c r="I128" s="29" t="s">
        <v>83</v>
      </c>
      <c r="J128" s="102">
        <f>ROUND(SUMPRODUCT(J116:J127,S116:S127,(1-P116:P127)),4)</f>
        <v>0</v>
      </c>
      <c r="K128" s="18"/>
      <c r="L128" s="18"/>
      <c r="M128" s="18"/>
      <c r="N128" s="18"/>
      <c r="O128" s="18"/>
      <c r="P128" s="18"/>
      <c r="Q128" s="19"/>
      <c r="U128" s="22">
        <f>SUM(U116:U127)</f>
        <v>0</v>
      </c>
      <c r="V128" s="22">
        <f>ROUND(SUM(V116:V127),4)</f>
        <v>0</v>
      </c>
    </row>
    <row r="129" spans="2:17" ht="12.75">
      <c r="B129" s="16"/>
      <c r="C129" s="30"/>
      <c r="D129" s="31"/>
      <c r="E129" s="31"/>
      <c r="F129" s="31"/>
      <c r="G129" s="31"/>
      <c r="H129" s="31"/>
      <c r="I129" s="32" t="s">
        <v>3</v>
      </c>
      <c r="J129" s="102">
        <f>ROUND(SUMPRODUCT(J116:J127,(1-P116:P127)),4)</f>
        <v>0</v>
      </c>
      <c r="K129" s="18"/>
      <c r="L129" s="18"/>
      <c r="M129" s="18"/>
      <c r="N129" s="18"/>
      <c r="O129" s="18"/>
      <c r="P129" s="18"/>
      <c r="Q129" s="19"/>
    </row>
    <row r="130" spans="2:17" ht="12.75">
      <c r="B130" s="16"/>
      <c r="C130" s="18"/>
      <c r="D130" s="18"/>
      <c r="E130" s="18"/>
      <c r="F130" s="18"/>
      <c r="G130" s="18"/>
      <c r="H130" s="18"/>
      <c r="I130" s="33"/>
      <c r="K130" s="18"/>
      <c r="L130" s="18"/>
      <c r="M130" s="18"/>
      <c r="N130" s="18"/>
      <c r="O130" s="18"/>
      <c r="P130" s="18"/>
      <c r="Q130" s="19"/>
    </row>
    <row r="131" spans="2:17" ht="12.75" customHeight="1">
      <c r="B131" s="16"/>
      <c r="C131" s="18"/>
      <c r="D131" s="18"/>
      <c r="E131" s="18"/>
      <c r="F131" s="18"/>
      <c r="G131" s="18"/>
      <c r="H131" s="18"/>
      <c r="I131" s="18"/>
      <c r="J131" s="18"/>
      <c r="K131" s="18"/>
      <c r="N131" s="18"/>
      <c r="O131" s="18"/>
      <c r="P131" s="18"/>
      <c r="Q131" s="19"/>
    </row>
    <row r="132" spans="2:17" ht="12.75" customHeight="1">
      <c r="B132" s="16"/>
      <c r="C132" s="17" t="s">
        <v>72</v>
      </c>
      <c r="D132" s="18"/>
      <c r="E132" s="18"/>
      <c r="F132" s="18"/>
      <c r="G132" s="18"/>
      <c r="H132" s="18"/>
      <c r="I132" s="18"/>
      <c r="J132" s="18"/>
      <c r="K132" s="18"/>
      <c r="L132" s="17" t="s">
        <v>24</v>
      </c>
      <c r="Q132" s="19"/>
    </row>
    <row r="133" spans="2:17" ht="51">
      <c r="B133" s="16"/>
      <c r="C133" s="24"/>
      <c r="D133" s="24" t="s">
        <v>87</v>
      </c>
      <c r="E133" s="4" t="s">
        <v>25</v>
      </c>
      <c r="F133" s="4" t="s">
        <v>17</v>
      </c>
      <c r="G133" s="4" t="s">
        <v>26</v>
      </c>
      <c r="H133" s="4" t="s">
        <v>18</v>
      </c>
      <c r="I133" s="4" t="s">
        <v>34</v>
      </c>
      <c r="J133" s="4" t="s">
        <v>35</v>
      </c>
      <c r="K133" s="18"/>
      <c r="L133" s="120"/>
      <c r="M133" s="121"/>
      <c r="N133" s="121"/>
      <c r="O133" s="121"/>
      <c r="P133" s="122"/>
      <c r="Q133" s="19"/>
    </row>
    <row r="134" spans="2:17" ht="12.75" customHeight="1">
      <c r="B134" s="16"/>
      <c r="C134" s="24">
        <v>1</v>
      </c>
      <c r="D134" s="3"/>
      <c r="E134" s="3"/>
      <c r="F134" s="3"/>
      <c r="G134" s="3"/>
      <c r="H134" s="3"/>
      <c r="I134" s="4">
        <f>E134*G134</f>
        <v>0</v>
      </c>
      <c r="J134" s="5">
        <f>IF($I$138=0,0,I134/$I$138)</f>
        <v>0</v>
      </c>
      <c r="K134" s="18"/>
      <c r="L134" s="123"/>
      <c r="M134" s="124"/>
      <c r="N134" s="124"/>
      <c r="O134" s="124"/>
      <c r="P134" s="125"/>
      <c r="Q134" s="19"/>
    </row>
    <row r="135" spans="2:17" ht="12.75" customHeight="1">
      <c r="B135" s="16"/>
      <c r="C135" s="24">
        <v>2</v>
      </c>
      <c r="D135" s="3"/>
      <c r="E135" s="3"/>
      <c r="F135" s="3"/>
      <c r="G135" s="3"/>
      <c r="H135" s="3"/>
      <c r="I135" s="4">
        <f>E135*G135</f>
        <v>0</v>
      </c>
      <c r="J135" s="5">
        <f>IF($I$138=0,0,I135/$I$138)</f>
        <v>0</v>
      </c>
      <c r="K135" s="18"/>
      <c r="L135" s="123"/>
      <c r="M135" s="124"/>
      <c r="N135" s="124"/>
      <c r="O135" s="124"/>
      <c r="P135" s="125"/>
      <c r="Q135" s="19"/>
    </row>
    <row r="136" spans="2:17" ht="12.75" customHeight="1">
      <c r="B136" s="16"/>
      <c r="C136" s="24">
        <v>3</v>
      </c>
      <c r="D136" s="3"/>
      <c r="E136" s="3"/>
      <c r="F136" s="3"/>
      <c r="G136" s="3"/>
      <c r="H136" s="3"/>
      <c r="I136" s="4">
        <f>E136*G136</f>
        <v>0</v>
      </c>
      <c r="J136" s="5">
        <f>IF($I$138=0,0,I136/$I$138)</f>
        <v>0</v>
      </c>
      <c r="K136" s="18"/>
      <c r="L136" s="123"/>
      <c r="M136" s="124"/>
      <c r="N136" s="124"/>
      <c r="O136" s="124"/>
      <c r="P136" s="125"/>
      <c r="Q136" s="19"/>
    </row>
    <row r="137" spans="2:17" ht="13.5" customHeight="1">
      <c r="B137" s="16"/>
      <c r="C137" s="25">
        <v>4</v>
      </c>
      <c r="D137" s="3"/>
      <c r="E137" s="3"/>
      <c r="F137" s="3"/>
      <c r="G137" s="3"/>
      <c r="H137" s="3"/>
      <c r="I137" s="4">
        <f>E137*G137</f>
        <v>0</v>
      </c>
      <c r="J137" s="5">
        <f>IF($I$138=0,0,I137/$I$138)</f>
        <v>0</v>
      </c>
      <c r="K137" s="18"/>
      <c r="L137" s="123"/>
      <c r="M137" s="124"/>
      <c r="N137" s="124"/>
      <c r="O137" s="124"/>
      <c r="P137" s="125"/>
      <c r="Q137" s="19"/>
    </row>
    <row r="138" spans="2:17" ht="12.75">
      <c r="B138" s="16"/>
      <c r="C138" s="34"/>
      <c r="D138" s="35"/>
      <c r="E138" s="36"/>
      <c r="F138" s="36"/>
      <c r="G138" s="36"/>
      <c r="H138" s="37" t="s">
        <v>73</v>
      </c>
      <c r="I138" s="8">
        <f>SUM(I134:I137,I116:I127)</f>
        <v>0</v>
      </c>
      <c r="J138" s="9">
        <f>SUM(J134:J137)</f>
        <v>0</v>
      </c>
      <c r="K138" s="18"/>
      <c r="L138" s="123"/>
      <c r="M138" s="124"/>
      <c r="N138" s="124"/>
      <c r="O138" s="124"/>
      <c r="P138" s="125"/>
      <c r="Q138" s="19"/>
    </row>
    <row r="139" spans="2:17" ht="12.75">
      <c r="B139" s="16"/>
      <c r="C139" s="18"/>
      <c r="D139" s="18"/>
      <c r="E139" s="18"/>
      <c r="F139" s="18"/>
      <c r="G139" s="18"/>
      <c r="H139" s="18"/>
      <c r="I139" s="18"/>
      <c r="J139" s="18"/>
      <c r="K139" s="18"/>
      <c r="L139" s="123"/>
      <c r="M139" s="124"/>
      <c r="N139" s="124"/>
      <c r="O139" s="124"/>
      <c r="P139" s="125"/>
      <c r="Q139" s="19"/>
    </row>
    <row r="140" spans="2:17" ht="12.75">
      <c r="B140" s="16"/>
      <c r="C140" s="18"/>
      <c r="D140" s="18"/>
      <c r="E140" s="18"/>
      <c r="F140" s="18"/>
      <c r="G140" s="18"/>
      <c r="H140" s="18"/>
      <c r="I140" s="18"/>
      <c r="J140" s="18"/>
      <c r="K140" s="18"/>
      <c r="L140" s="123"/>
      <c r="M140" s="124"/>
      <c r="N140" s="124"/>
      <c r="O140" s="124"/>
      <c r="P140" s="125"/>
      <c r="Q140" s="19"/>
    </row>
    <row r="141" spans="2:17" ht="12.75">
      <c r="B141" s="16"/>
      <c r="C141" s="17" t="s">
        <v>89</v>
      </c>
      <c r="D141" s="18"/>
      <c r="E141" s="18"/>
      <c r="F141" s="18"/>
      <c r="G141" s="18"/>
      <c r="H141" s="18"/>
      <c r="J141" s="10" t="s">
        <v>8</v>
      </c>
      <c r="K141" s="18"/>
      <c r="L141" s="123"/>
      <c r="M141" s="124"/>
      <c r="N141" s="124"/>
      <c r="O141" s="124"/>
      <c r="P141" s="125"/>
      <c r="Q141" s="19"/>
    </row>
    <row r="142" spans="2:17" ht="12.75">
      <c r="B142" s="16"/>
      <c r="C142" s="17" t="s">
        <v>74</v>
      </c>
      <c r="E142" s="18"/>
      <c r="F142" s="18"/>
      <c r="G142" s="18"/>
      <c r="H142" s="18"/>
      <c r="I142" s="18"/>
      <c r="J142" s="10" t="s">
        <v>8</v>
      </c>
      <c r="K142" s="18"/>
      <c r="L142" s="126"/>
      <c r="M142" s="127"/>
      <c r="N142" s="127"/>
      <c r="O142" s="127"/>
      <c r="P142" s="128"/>
      <c r="Q142" s="19"/>
    </row>
    <row r="143" spans="2:17" ht="12.75">
      <c r="B143" s="16"/>
      <c r="C143" s="18"/>
      <c r="D143" s="18"/>
      <c r="E143" s="18"/>
      <c r="F143" s="18"/>
      <c r="G143" s="18"/>
      <c r="H143" s="18"/>
      <c r="I143" s="18"/>
      <c r="J143" s="18"/>
      <c r="K143" s="18"/>
      <c r="L143" s="18"/>
      <c r="M143" s="18"/>
      <c r="N143" s="18"/>
      <c r="O143" s="18"/>
      <c r="P143" s="18"/>
      <c r="Q143" s="19"/>
    </row>
    <row r="144" spans="2:17" ht="13.5" thickBot="1">
      <c r="B144" s="38"/>
      <c r="C144" s="39"/>
      <c r="D144" s="39"/>
      <c r="E144" s="39"/>
      <c r="F144" s="39"/>
      <c r="G144" s="39"/>
      <c r="H144" s="39"/>
      <c r="I144" s="39"/>
      <c r="J144" s="39"/>
      <c r="K144" s="39"/>
      <c r="L144" s="39"/>
      <c r="M144" s="39"/>
      <c r="N144" s="39"/>
      <c r="O144" s="39"/>
      <c r="P144" s="39"/>
      <c r="Q144" s="40"/>
    </row>
    <row r="145" ht="12.75"/>
    <row r="146" spans="2:11" ht="12.75">
      <c r="B146" s="63"/>
      <c r="G146" s="100" t="s">
        <v>15</v>
      </c>
      <c r="H146" s="114">
        <f>IF(ISBLANK(Generator_Info!B20),"",Generator_Info!B20)</f>
      </c>
      <c r="I146" s="119"/>
      <c r="J146" s="119"/>
      <c r="K146" s="115"/>
    </row>
    <row r="147" ht="13.5" thickBot="1"/>
    <row r="148" spans="2:17" ht="12.75">
      <c r="B148" s="13"/>
      <c r="C148" s="14"/>
      <c r="D148" s="14"/>
      <c r="E148" s="14"/>
      <c r="F148" s="14"/>
      <c r="G148" s="14"/>
      <c r="H148" s="14"/>
      <c r="I148" s="14"/>
      <c r="J148" s="14"/>
      <c r="K148" s="14"/>
      <c r="L148" s="14"/>
      <c r="M148" s="14"/>
      <c r="N148" s="14"/>
      <c r="O148" s="14"/>
      <c r="P148" s="14"/>
      <c r="Q148" s="15"/>
    </row>
    <row r="149" spans="2:17" ht="12.75">
      <c r="B149" s="16"/>
      <c r="C149" s="17" t="s">
        <v>71</v>
      </c>
      <c r="D149" s="18"/>
      <c r="E149" s="18"/>
      <c r="F149" s="18"/>
      <c r="G149" s="18"/>
      <c r="H149" s="18"/>
      <c r="I149" s="18"/>
      <c r="J149" s="18"/>
      <c r="K149" s="18"/>
      <c r="L149" s="18"/>
      <c r="M149" s="18"/>
      <c r="N149" s="18"/>
      <c r="O149" s="18"/>
      <c r="P149" s="18"/>
      <c r="Q149" s="19"/>
    </row>
    <row r="150" spans="2:22" ht="89.25">
      <c r="B150" s="20"/>
      <c r="C150" s="4"/>
      <c r="D150" s="4" t="s">
        <v>16</v>
      </c>
      <c r="E150" s="4" t="s">
        <v>25</v>
      </c>
      <c r="F150" s="4" t="s">
        <v>17</v>
      </c>
      <c r="G150" s="4" t="s">
        <v>26</v>
      </c>
      <c r="H150" s="4" t="s">
        <v>18</v>
      </c>
      <c r="I150" s="4" t="s">
        <v>34</v>
      </c>
      <c r="J150" s="4" t="s">
        <v>35</v>
      </c>
      <c r="K150" s="4" t="s">
        <v>78</v>
      </c>
      <c r="L150" s="4" t="s">
        <v>19</v>
      </c>
      <c r="M150" s="4" t="s">
        <v>20</v>
      </c>
      <c r="N150" s="4" t="s">
        <v>21</v>
      </c>
      <c r="O150" s="4" t="s">
        <v>22</v>
      </c>
      <c r="P150" s="4" t="s">
        <v>23</v>
      </c>
      <c r="Q150" s="21"/>
      <c r="S150" s="22" t="s">
        <v>79</v>
      </c>
      <c r="T150" s="23"/>
      <c r="U150" s="23" t="s">
        <v>80</v>
      </c>
      <c r="V150" s="23" t="s">
        <v>145</v>
      </c>
    </row>
    <row r="151" spans="2:22" ht="12.75">
      <c r="B151" s="16"/>
      <c r="C151" s="24">
        <v>1</v>
      </c>
      <c r="D151" s="3"/>
      <c r="E151" s="3"/>
      <c r="F151" s="3"/>
      <c r="G151" s="3"/>
      <c r="H151" s="3"/>
      <c r="I151" s="4">
        <f aca="true" t="shared" si="20" ref="I151:I162">E151*G151</f>
        <v>0</v>
      </c>
      <c r="J151" s="5">
        <f>IF($I$173=0,0,I151/$I$173)</f>
        <v>0</v>
      </c>
      <c r="K151" s="2" t="s">
        <v>8</v>
      </c>
      <c r="L151" s="3" t="s">
        <v>8</v>
      </c>
      <c r="M151" s="3" t="s">
        <v>8</v>
      </c>
      <c r="N151" s="1" t="s">
        <v>8</v>
      </c>
      <c r="O151" s="3" t="s">
        <v>8</v>
      </c>
      <c r="P151" s="2"/>
      <c r="Q151" s="19"/>
      <c r="S151" s="22">
        <f>IF(K151="yes",1,0)</f>
        <v>0</v>
      </c>
      <c r="U151" s="22">
        <f>IF(P151&lt;=0.02,0,1)</f>
        <v>0</v>
      </c>
      <c r="V151" s="22">
        <f>IF(U151=0,J151,J151*(1-P151))</f>
        <v>0</v>
      </c>
    </row>
    <row r="152" spans="2:22" ht="12.75">
      <c r="B152" s="16"/>
      <c r="C152" s="24">
        <v>2</v>
      </c>
      <c r="D152" s="3"/>
      <c r="E152" s="3"/>
      <c r="F152" s="3"/>
      <c r="G152" s="3"/>
      <c r="H152" s="3"/>
      <c r="I152" s="4">
        <f t="shared" si="20"/>
        <v>0</v>
      </c>
      <c r="J152" s="5">
        <f aca="true" t="shared" si="21" ref="J152:J162">IF($I$173=0,0,I152/$I$173)</f>
        <v>0</v>
      </c>
      <c r="K152" s="2" t="s">
        <v>8</v>
      </c>
      <c r="L152" s="3" t="s">
        <v>8</v>
      </c>
      <c r="M152" s="3" t="s">
        <v>8</v>
      </c>
      <c r="N152" s="1" t="s">
        <v>8</v>
      </c>
      <c r="O152" s="3" t="s">
        <v>8</v>
      </c>
      <c r="P152" s="2"/>
      <c r="Q152" s="19"/>
      <c r="S152" s="22">
        <f aca="true" t="shared" si="22" ref="S152:S162">IF(K152="yes",1,0)</f>
        <v>0</v>
      </c>
      <c r="U152" s="22">
        <f aca="true" t="shared" si="23" ref="U152:U162">IF(P152&lt;=0.02,0,1)</f>
        <v>0</v>
      </c>
      <c r="V152" s="22">
        <f aca="true" t="shared" si="24" ref="V152:V162">IF(U152=0,J152,J152*(1-P152))</f>
        <v>0</v>
      </c>
    </row>
    <row r="153" spans="2:22" ht="12.75">
      <c r="B153" s="16"/>
      <c r="C153" s="24">
        <v>3</v>
      </c>
      <c r="D153" s="3"/>
      <c r="E153" s="3"/>
      <c r="F153" s="3"/>
      <c r="G153" s="3"/>
      <c r="H153" s="3"/>
      <c r="I153" s="4">
        <f t="shared" si="20"/>
        <v>0</v>
      </c>
      <c r="J153" s="5">
        <f t="shared" si="21"/>
        <v>0</v>
      </c>
      <c r="K153" s="2" t="s">
        <v>8</v>
      </c>
      <c r="L153" s="3" t="s">
        <v>8</v>
      </c>
      <c r="M153" s="3" t="s">
        <v>8</v>
      </c>
      <c r="N153" s="1" t="s">
        <v>8</v>
      </c>
      <c r="O153" s="3" t="s">
        <v>8</v>
      </c>
      <c r="P153" s="2"/>
      <c r="Q153" s="19"/>
      <c r="S153" s="22">
        <f t="shared" si="22"/>
        <v>0</v>
      </c>
      <c r="U153" s="22">
        <f t="shared" si="23"/>
        <v>0</v>
      </c>
      <c r="V153" s="22">
        <f t="shared" si="24"/>
        <v>0</v>
      </c>
    </row>
    <row r="154" spans="2:22" ht="12.75">
      <c r="B154" s="16"/>
      <c r="C154" s="24">
        <v>4</v>
      </c>
      <c r="D154" s="3"/>
      <c r="E154" s="3"/>
      <c r="F154" s="3"/>
      <c r="G154" s="3"/>
      <c r="H154" s="3"/>
      <c r="I154" s="4">
        <f t="shared" si="20"/>
        <v>0</v>
      </c>
      <c r="J154" s="5">
        <f t="shared" si="21"/>
        <v>0</v>
      </c>
      <c r="K154" s="2" t="s">
        <v>8</v>
      </c>
      <c r="L154" s="3" t="s">
        <v>8</v>
      </c>
      <c r="M154" s="3" t="s">
        <v>8</v>
      </c>
      <c r="N154" s="1" t="s">
        <v>8</v>
      </c>
      <c r="O154" s="3" t="s">
        <v>8</v>
      </c>
      <c r="P154" s="2"/>
      <c r="Q154" s="19"/>
      <c r="S154" s="22">
        <f t="shared" si="22"/>
        <v>0</v>
      </c>
      <c r="U154" s="22">
        <f t="shared" si="23"/>
        <v>0</v>
      </c>
      <c r="V154" s="22">
        <f t="shared" si="24"/>
        <v>0</v>
      </c>
    </row>
    <row r="155" spans="2:22" ht="12.75">
      <c r="B155" s="16"/>
      <c r="C155" s="24">
        <v>5</v>
      </c>
      <c r="D155" s="3"/>
      <c r="E155" s="3"/>
      <c r="F155" s="3"/>
      <c r="G155" s="3"/>
      <c r="H155" s="3"/>
      <c r="I155" s="4">
        <f t="shared" si="20"/>
        <v>0</v>
      </c>
      <c r="J155" s="5">
        <f t="shared" si="21"/>
        <v>0</v>
      </c>
      <c r="K155" s="2" t="s">
        <v>8</v>
      </c>
      <c r="L155" s="3" t="s">
        <v>8</v>
      </c>
      <c r="M155" s="3" t="s">
        <v>8</v>
      </c>
      <c r="N155" s="1" t="s">
        <v>8</v>
      </c>
      <c r="O155" s="3" t="s">
        <v>8</v>
      </c>
      <c r="P155" s="2"/>
      <c r="Q155" s="19"/>
      <c r="S155" s="22">
        <f t="shared" si="22"/>
        <v>0</v>
      </c>
      <c r="U155" s="22">
        <f t="shared" si="23"/>
        <v>0</v>
      </c>
      <c r="V155" s="22">
        <f t="shared" si="24"/>
        <v>0</v>
      </c>
    </row>
    <row r="156" spans="2:22" ht="12.75">
      <c r="B156" s="16"/>
      <c r="C156" s="24">
        <v>6</v>
      </c>
      <c r="D156" s="3"/>
      <c r="E156" s="3"/>
      <c r="F156" s="3"/>
      <c r="G156" s="3"/>
      <c r="H156" s="3"/>
      <c r="I156" s="4">
        <f t="shared" si="20"/>
        <v>0</v>
      </c>
      <c r="J156" s="5">
        <f t="shared" si="21"/>
        <v>0</v>
      </c>
      <c r="K156" s="2" t="s">
        <v>8</v>
      </c>
      <c r="L156" s="3" t="s">
        <v>8</v>
      </c>
      <c r="M156" s="3" t="s">
        <v>8</v>
      </c>
      <c r="N156" s="1" t="s">
        <v>8</v>
      </c>
      <c r="O156" s="3" t="s">
        <v>8</v>
      </c>
      <c r="P156" s="2"/>
      <c r="Q156" s="19"/>
      <c r="S156" s="22">
        <f t="shared" si="22"/>
        <v>0</v>
      </c>
      <c r="U156" s="22">
        <f t="shared" si="23"/>
        <v>0</v>
      </c>
      <c r="V156" s="22">
        <f t="shared" si="24"/>
        <v>0</v>
      </c>
    </row>
    <row r="157" spans="2:22" ht="12.75">
      <c r="B157" s="16"/>
      <c r="C157" s="24">
        <v>7</v>
      </c>
      <c r="D157" s="3"/>
      <c r="E157" s="3"/>
      <c r="F157" s="3"/>
      <c r="G157" s="3"/>
      <c r="H157" s="3"/>
      <c r="I157" s="4">
        <f t="shared" si="20"/>
        <v>0</v>
      </c>
      <c r="J157" s="5">
        <f t="shared" si="21"/>
        <v>0</v>
      </c>
      <c r="K157" s="2" t="s">
        <v>8</v>
      </c>
      <c r="L157" s="3" t="s">
        <v>8</v>
      </c>
      <c r="M157" s="3" t="s">
        <v>8</v>
      </c>
      <c r="N157" s="1" t="s">
        <v>8</v>
      </c>
      <c r="O157" s="3" t="s">
        <v>8</v>
      </c>
      <c r="P157" s="2"/>
      <c r="Q157" s="19"/>
      <c r="S157" s="22">
        <f t="shared" si="22"/>
        <v>0</v>
      </c>
      <c r="U157" s="22">
        <f t="shared" si="23"/>
        <v>0</v>
      </c>
      <c r="V157" s="22">
        <f t="shared" si="24"/>
        <v>0</v>
      </c>
    </row>
    <row r="158" spans="2:22" ht="12.75">
      <c r="B158" s="16"/>
      <c r="C158" s="24">
        <v>8</v>
      </c>
      <c r="D158" s="3"/>
      <c r="E158" s="3"/>
      <c r="F158" s="3"/>
      <c r="G158" s="3"/>
      <c r="H158" s="3"/>
      <c r="I158" s="4">
        <f t="shared" si="20"/>
        <v>0</v>
      </c>
      <c r="J158" s="5">
        <f t="shared" si="21"/>
        <v>0</v>
      </c>
      <c r="K158" s="2" t="s">
        <v>8</v>
      </c>
      <c r="L158" s="3" t="s">
        <v>8</v>
      </c>
      <c r="M158" s="3" t="s">
        <v>8</v>
      </c>
      <c r="N158" s="1" t="s">
        <v>8</v>
      </c>
      <c r="O158" s="3" t="s">
        <v>8</v>
      </c>
      <c r="P158" s="2"/>
      <c r="Q158" s="19"/>
      <c r="S158" s="22">
        <f t="shared" si="22"/>
        <v>0</v>
      </c>
      <c r="U158" s="22">
        <f t="shared" si="23"/>
        <v>0</v>
      </c>
      <c r="V158" s="22">
        <f t="shared" si="24"/>
        <v>0</v>
      </c>
    </row>
    <row r="159" spans="2:22" ht="12.75">
      <c r="B159" s="16"/>
      <c r="C159" s="24">
        <v>9</v>
      </c>
      <c r="D159" s="3"/>
      <c r="E159" s="3"/>
      <c r="F159" s="3"/>
      <c r="G159" s="3"/>
      <c r="H159" s="3"/>
      <c r="I159" s="4">
        <f t="shared" si="20"/>
        <v>0</v>
      </c>
      <c r="J159" s="5">
        <f t="shared" si="21"/>
        <v>0</v>
      </c>
      <c r="K159" s="2" t="s">
        <v>8</v>
      </c>
      <c r="L159" s="3" t="s">
        <v>8</v>
      </c>
      <c r="M159" s="3" t="s">
        <v>8</v>
      </c>
      <c r="N159" s="1" t="s">
        <v>8</v>
      </c>
      <c r="O159" s="3" t="s">
        <v>8</v>
      </c>
      <c r="P159" s="2"/>
      <c r="Q159" s="19"/>
      <c r="S159" s="22">
        <f t="shared" si="22"/>
        <v>0</v>
      </c>
      <c r="U159" s="22">
        <f t="shared" si="23"/>
        <v>0</v>
      </c>
      <c r="V159" s="22">
        <f t="shared" si="24"/>
        <v>0</v>
      </c>
    </row>
    <row r="160" spans="2:22" ht="12.75">
      <c r="B160" s="16"/>
      <c r="C160" s="25">
        <v>10</v>
      </c>
      <c r="D160" s="3"/>
      <c r="E160" s="3"/>
      <c r="F160" s="3"/>
      <c r="G160" s="3"/>
      <c r="H160" s="3"/>
      <c r="I160" s="4">
        <f t="shared" si="20"/>
        <v>0</v>
      </c>
      <c r="J160" s="5">
        <f t="shared" si="21"/>
        <v>0</v>
      </c>
      <c r="K160" s="2" t="s">
        <v>8</v>
      </c>
      <c r="L160" s="3" t="s">
        <v>8</v>
      </c>
      <c r="M160" s="3" t="s">
        <v>8</v>
      </c>
      <c r="N160" s="1" t="s">
        <v>8</v>
      </c>
      <c r="O160" s="3" t="s">
        <v>8</v>
      </c>
      <c r="P160" s="2"/>
      <c r="Q160" s="19"/>
      <c r="S160" s="22">
        <f t="shared" si="22"/>
        <v>0</v>
      </c>
      <c r="U160" s="22">
        <f t="shared" si="23"/>
        <v>0</v>
      </c>
      <c r="V160" s="22">
        <f t="shared" si="24"/>
        <v>0</v>
      </c>
    </row>
    <row r="161" spans="2:22" ht="12.75">
      <c r="B161" s="16"/>
      <c r="C161" s="25">
        <v>11</v>
      </c>
      <c r="D161" s="6"/>
      <c r="E161" s="7"/>
      <c r="F161" s="6"/>
      <c r="G161" s="7"/>
      <c r="H161" s="6"/>
      <c r="I161" s="4">
        <f t="shared" si="20"/>
        <v>0</v>
      </c>
      <c r="J161" s="5">
        <f t="shared" si="21"/>
        <v>0</v>
      </c>
      <c r="K161" s="2" t="s">
        <v>8</v>
      </c>
      <c r="L161" s="3" t="s">
        <v>8</v>
      </c>
      <c r="M161" s="3" t="s">
        <v>8</v>
      </c>
      <c r="N161" s="1" t="s">
        <v>8</v>
      </c>
      <c r="O161" s="3" t="s">
        <v>8</v>
      </c>
      <c r="P161" s="2"/>
      <c r="Q161" s="19"/>
      <c r="S161" s="22">
        <f t="shared" si="22"/>
        <v>0</v>
      </c>
      <c r="U161" s="22">
        <f t="shared" si="23"/>
        <v>0</v>
      </c>
      <c r="V161" s="22">
        <f t="shared" si="24"/>
        <v>0</v>
      </c>
    </row>
    <row r="162" spans="2:22" ht="12.75">
      <c r="B162" s="16"/>
      <c r="C162" s="25">
        <v>12</v>
      </c>
      <c r="D162" s="6"/>
      <c r="E162" s="7"/>
      <c r="F162" s="6"/>
      <c r="G162" s="7"/>
      <c r="H162" s="6"/>
      <c r="I162" s="26">
        <f t="shared" si="20"/>
        <v>0</v>
      </c>
      <c r="J162" s="5">
        <f t="shared" si="21"/>
        <v>0</v>
      </c>
      <c r="K162" s="2" t="s">
        <v>8</v>
      </c>
      <c r="L162" s="3" t="s">
        <v>8</v>
      </c>
      <c r="M162" s="3" t="s">
        <v>8</v>
      </c>
      <c r="N162" s="1" t="s">
        <v>8</v>
      </c>
      <c r="O162" s="3" t="s">
        <v>8</v>
      </c>
      <c r="P162" s="2"/>
      <c r="Q162" s="19"/>
      <c r="S162" s="22">
        <f t="shared" si="22"/>
        <v>0</v>
      </c>
      <c r="U162" s="22">
        <f t="shared" si="23"/>
        <v>0</v>
      </c>
      <c r="V162" s="22">
        <f t="shared" si="24"/>
        <v>0</v>
      </c>
    </row>
    <row r="163" spans="2:22" ht="12.75">
      <c r="B163" s="16"/>
      <c r="C163" s="27"/>
      <c r="D163" s="28"/>
      <c r="E163" s="28"/>
      <c r="F163" s="28"/>
      <c r="G163" s="28"/>
      <c r="H163" s="28"/>
      <c r="I163" s="29" t="s">
        <v>83</v>
      </c>
      <c r="J163" s="102">
        <f>ROUND(SUMPRODUCT(J151:J162,S151:S162,(1-P151:P162)),4)</f>
        <v>0</v>
      </c>
      <c r="K163" s="18"/>
      <c r="L163" s="18"/>
      <c r="M163" s="18"/>
      <c r="N163" s="18"/>
      <c r="O163" s="18"/>
      <c r="P163" s="18"/>
      <c r="Q163" s="19"/>
      <c r="U163" s="22">
        <f>SUM(U151:U162)</f>
        <v>0</v>
      </c>
      <c r="V163" s="22">
        <f>ROUND(SUM(V151:V162),4)</f>
        <v>0</v>
      </c>
    </row>
    <row r="164" spans="2:17" ht="12.75">
      <c r="B164" s="16"/>
      <c r="C164" s="30"/>
      <c r="D164" s="31"/>
      <c r="E164" s="31"/>
      <c r="F164" s="31"/>
      <c r="G164" s="31"/>
      <c r="H164" s="31"/>
      <c r="I164" s="32" t="s">
        <v>3</v>
      </c>
      <c r="J164" s="102">
        <f>ROUND(SUMPRODUCT(J151:J162,(1-P151:P162)),4)</f>
        <v>0</v>
      </c>
      <c r="K164" s="18"/>
      <c r="L164" s="18"/>
      <c r="M164" s="18"/>
      <c r="N164" s="18"/>
      <c r="O164" s="18"/>
      <c r="P164" s="18"/>
      <c r="Q164" s="19"/>
    </row>
    <row r="165" spans="2:17" ht="12.75">
      <c r="B165" s="16"/>
      <c r="C165" s="18"/>
      <c r="D165" s="18"/>
      <c r="E165" s="18"/>
      <c r="F165" s="18"/>
      <c r="G165" s="18"/>
      <c r="H165" s="18"/>
      <c r="I165" s="33"/>
      <c r="K165" s="18"/>
      <c r="L165" s="18"/>
      <c r="M165" s="18"/>
      <c r="N165" s="18"/>
      <c r="O165" s="18"/>
      <c r="P165" s="18"/>
      <c r="Q165" s="19"/>
    </row>
    <row r="166" spans="2:17" ht="12.75" customHeight="1">
      <c r="B166" s="16"/>
      <c r="C166" s="18"/>
      <c r="D166" s="18"/>
      <c r="E166" s="18"/>
      <c r="F166" s="18"/>
      <c r="G166" s="18"/>
      <c r="H166" s="18"/>
      <c r="I166" s="18"/>
      <c r="J166" s="18"/>
      <c r="K166" s="18"/>
      <c r="N166" s="18"/>
      <c r="O166" s="18"/>
      <c r="P166" s="18"/>
      <c r="Q166" s="19"/>
    </row>
    <row r="167" spans="2:17" ht="12.75" customHeight="1">
      <c r="B167" s="16"/>
      <c r="C167" s="17" t="s">
        <v>72</v>
      </c>
      <c r="D167" s="18"/>
      <c r="E167" s="18"/>
      <c r="F167" s="18"/>
      <c r="G167" s="18"/>
      <c r="H167" s="18"/>
      <c r="I167" s="18"/>
      <c r="J167" s="18"/>
      <c r="K167" s="18"/>
      <c r="L167" s="17" t="s">
        <v>24</v>
      </c>
      <c r="Q167" s="19"/>
    </row>
    <row r="168" spans="2:17" ht="51">
      <c r="B168" s="16"/>
      <c r="C168" s="24"/>
      <c r="D168" s="24" t="s">
        <v>87</v>
      </c>
      <c r="E168" s="4" t="s">
        <v>25</v>
      </c>
      <c r="F168" s="4" t="s">
        <v>17</v>
      </c>
      <c r="G168" s="4" t="s">
        <v>26</v>
      </c>
      <c r="H168" s="4" t="s">
        <v>18</v>
      </c>
      <c r="I168" s="4" t="s">
        <v>34</v>
      </c>
      <c r="J168" s="4" t="s">
        <v>35</v>
      </c>
      <c r="K168" s="18"/>
      <c r="L168" s="120"/>
      <c r="M168" s="121"/>
      <c r="N168" s="121"/>
      <c r="O168" s="121"/>
      <c r="P168" s="122"/>
      <c r="Q168" s="19"/>
    </row>
    <row r="169" spans="2:17" ht="12.75" customHeight="1">
      <c r="B169" s="16"/>
      <c r="C169" s="24">
        <v>1</v>
      </c>
      <c r="D169" s="3"/>
      <c r="E169" s="3"/>
      <c r="F169" s="3"/>
      <c r="G169" s="3"/>
      <c r="H169" s="3"/>
      <c r="I169" s="4">
        <f>E169*G169</f>
        <v>0</v>
      </c>
      <c r="J169" s="5">
        <f>IF($I$173=0,0,I169/$I$173)</f>
        <v>0</v>
      </c>
      <c r="K169" s="18"/>
      <c r="L169" s="123"/>
      <c r="M169" s="124"/>
      <c r="N169" s="124"/>
      <c r="O169" s="124"/>
      <c r="P169" s="125"/>
      <c r="Q169" s="19"/>
    </row>
    <row r="170" spans="2:17" ht="12.75" customHeight="1">
      <c r="B170" s="16"/>
      <c r="C170" s="24">
        <v>2</v>
      </c>
      <c r="D170" s="3"/>
      <c r="E170" s="3"/>
      <c r="F170" s="3"/>
      <c r="G170" s="3"/>
      <c r="H170" s="3"/>
      <c r="I170" s="4">
        <f>E170*G170</f>
        <v>0</v>
      </c>
      <c r="J170" s="5">
        <f>IF($I$173=0,0,I170/$I$173)</f>
        <v>0</v>
      </c>
      <c r="K170" s="18"/>
      <c r="L170" s="123"/>
      <c r="M170" s="124"/>
      <c r="N170" s="124"/>
      <c r="O170" s="124"/>
      <c r="P170" s="125"/>
      <c r="Q170" s="19"/>
    </row>
    <row r="171" spans="2:17" ht="12.75" customHeight="1">
      <c r="B171" s="16"/>
      <c r="C171" s="24">
        <v>3</v>
      </c>
      <c r="D171" s="3"/>
      <c r="E171" s="3"/>
      <c r="F171" s="3"/>
      <c r="G171" s="3"/>
      <c r="H171" s="3"/>
      <c r="I171" s="4">
        <f>E171*G171</f>
        <v>0</v>
      </c>
      <c r="J171" s="5">
        <f>IF($I$173=0,0,I171/$I$173)</f>
        <v>0</v>
      </c>
      <c r="K171" s="18"/>
      <c r="L171" s="123"/>
      <c r="M171" s="124"/>
      <c r="N171" s="124"/>
      <c r="O171" s="124"/>
      <c r="P171" s="125"/>
      <c r="Q171" s="19"/>
    </row>
    <row r="172" spans="2:17" ht="13.5" customHeight="1">
      <c r="B172" s="16"/>
      <c r="C172" s="25">
        <v>4</v>
      </c>
      <c r="D172" s="3"/>
      <c r="E172" s="3"/>
      <c r="F172" s="3"/>
      <c r="G172" s="3"/>
      <c r="H172" s="3"/>
      <c r="I172" s="4">
        <f>E172*G172</f>
        <v>0</v>
      </c>
      <c r="J172" s="5">
        <f>IF($I$173=0,0,I172/$I$173)</f>
        <v>0</v>
      </c>
      <c r="K172" s="18"/>
      <c r="L172" s="123"/>
      <c r="M172" s="124"/>
      <c r="N172" s="124"/>
      <c r="O172" s="124"/>
      <c r="P172" s="125"/>
      <c r="Q172" s="19"/>
    </row>
    <row r="173" spans="2:17" ht="12.75">
      <c r="B173" s="16"/>
      <c r="C173" s="34"/>
      <c r="D173" s="35"/>
      <c r="E173" s="36"/>
      <c r="F173" s="36"/>
      <c r="G173" s="36"/>
      <c r="H173" s="37" t="s">
        <v>73</v>
      </c>
      <c r="I173" s="8">
        <f>SUM(I169:I172,I151:I162)</f>
        <v>0</v>
      </c>
      <c r="J173" s="9">
        <f>SUM(J169:J172)</f>
        <v>0</v>
      </c>
      <c r="K173" s="18"/>
      <c r="L173" s="123"/>
      <c r="M173" s="124"/>
      <c r="N173" s="124"/>
      <c r="O173" s="124"/>
      <c r="P173" s="125"/>
      <c r="Q173" s="19"/>
    </row>
    <row r="174" spans="2:17" ht="12.75">
      <c r="B174" s="16"/>
      <c r="C174" s="18"/>
      <c r="D174" s="18"/>
      <c r="E174" s="18"/>
      <c r="F174" s="18"/>
      <c r="G174" s="18"/>
      <c r="H174" s="18"/>
      <c r="I174" s="18"/>
      <c r="J174" s="18"/>
      <c r="K174" s="18"/>
      <c r="L174" s="123"/>
      <c r="M174" s="124"/>
      <c r="N174" s="124"/>
      <c r="O174" s="124"/>
      <c r="P174" s="125"/>
      <c r="Q174" s="19"/>
    </row>
    <row r="175" spans="2:17" ht="12.75">
      <c r="B175" s="16"/>
      <c r="C175" s="18"/>
      <c r="D175" s="18"/>
      <c r="E175" s="18"/>
      <c r="F175" s="18"/>
      <c r="G175" s="18"/>
      <c r="H175" s="18"/>
      <c r="I175" s="18"/>
      <c r="J175" s="18"/>
      <c r="K175" s="18"/>
      <c r="L175" s="123"/>
      <c r="M175" s="124"/>
      <c r="N175" s="124"/>
      <c r="O175" s="124"/>
      <c r="P175" s="125"/>
      <c r="Q175" s="19"/>
    </row>
    <row r="176" spans="2:17" ht="12.75">
      <c r="B176" s="16"/>
      <c r="C176" s="17" t="s">
        <v>89</v>
      </c>
      <c r="D176" s="18"/>
      <c r="E176" s="18"/>
      <c r="F176" s="18"/>
      <c r="G176" s="18"/>
      <c r="H176" s="18"/>
      <c r="J176" s="10" t="s">
        <v>8</v>
      </c>
      <c r="K176" s="18"/>
      <c r="L176" s="123"/>
      <c r="M176" s="124"/>
      <c r="N176" s="124"/>
      <c r="O176" s="124"/>
      <c r="P176" s="125"/>
      <c r="Q176" s="19"/>
    </row>
    <row r="177" spans="2:17" ht="12.75">
      <c r="B177" s="16"/>
      <c r="C177" s="17" t="s">
        <v>74</v>
      </c>
      <c r="E177" s="18"/>
      <c r="F177" s="18"/>
      <c r="G177" s="18"/>
      <c r="H177" s="18"/>
      <c r="I177" s="18"/>
      <c r="J177" s="10" t="s">
        <v>8</v>
      </c>
      <c r="K177" s="18"/>
      <c r="L177" s="126"/>
      <c r="M177" s="127"/>
      <c r="N177" s="127"/>
      <c r="O177" s="127"/>
      <c r="P177" s="128"/>
      <c r="Q177" s="19"/>
    </row>
    <row r="178" spans="2:17" ht="12.75">
      <c r="B178" s="16"/>
      <c r="C178" s="18"/>
      <c r="D178" s="18"/>
      <c r="E178" s="18"/>
      <c r="F178" s="18"/>
      <c r="G178" s="18"/>
      <c r="H178" s="18"/>
      <c r="I178" s="18"/>
      <c r="J178" s="18"/>
      <c r="K178" s="18"/>
      <c r="L178" s="18"/>
      <c r="M178" s="18"/>
      <c r="N178" s="18"/>
      <c r="O178" s="18"/>
      <c r="P178" s="18"/>
      <c r="Q178" s="19"/>
    </row>
    <row r="179" spans="2:17" ht="13.5" thickBot="1">
      <c r="B179" s="38"/>
      <c r="C179" s="39"/>
      <c r="D179" s="39"/>
      <c r="E179" s="39"/>
      <c r="F179" s="39"/>
      <c r="G179" s="39"/>
      <c r="H179" s="39"/>
      <c r="I179" s="39"/>
      <c r="J179" s="39"/>
      <c r="K179" s="39"/>
      <c r="L179" s="39"/>
      <c r="M179" s="39"/>
      <c r="N179" s="39"/>
      <c r="O179" s="39"/>
      <c r="P179" s="39"/>
      <c r="Q179" s="40"/>
    </row>
    <row r="180" ht="12.75"/>
    <row r="181" spans="2:11" ht="12.75">
      <c r="B181" s="63"/>
      <c r="G181" s="100" t="s">
        <v>15</v>
      </c>
      <c r="H181" s="114">
        <f>IF(ISBLANK(Generator_Info!B21),"",Generator_Info!B21)</f>
      </c>
      <c r="I181" s="119"/>
      <c r="J181" s="119"/>
      <c r="K181" s="115"/>
    </row>
    <row r="182" ht="13.5" thickBot="1"/>
    <row r="183" spans="2:17" ht="12.75">
      <c r="B183" s="13"/>
      <c r="C183" s="14"/>
      <c r="D183" s="14"/>
      <c r="E183" s="14"/>
      <c r="F183" s="14"/>
      <c r="G183" s="14"/>
      <c r="H183" s="14"/>
      <c r="I183" s="14"/>
      <c r="J183" s="14"/>
      <c r="K183" s="14"/>
      <c r="L183" s="14"/>
      <c r="M183" s="14"/>
      <c r="N183" s="14"/>
      <c r="O183" s="14"/>
      <c r="P183" s="14"/>
      <c r="Q183" s="15"/>
    </row>
    <row r="184" spans="2:17" ht="12.75">
      <c r="B184" s="16"/>
      <c r="C184" s="17" t="s">
        <v>71</v>
      </c>
      <c r="D184" s="18"/>
      <c r="E184" s="18"/>
      <c r="F184" s="18"/>
      <c r="G184" s="18"/>
      <c r="H184" s="18"/>
      <c r="I184" s="18"/>
      <c r="J184" s="18"/>
      <c r="K184" s="18"/>
      <c r="L184" s="18"/>
      <c r="M184" s="18"/>
      <c r="N184" s="18"/>
      <c r="O184" s="18"/>
      <c r="P184" s="18"/>
      <c r="Q184" s="19"/>
    </row>
    <row r="185" spans="2:22" ht="89.25">
      <c r="B185" s="20"/>
      <c r="C185" s="4"/>
      <c r="D185" s="4" t="s">
        <v>16</v>
      </c>
      <c r="E185" s="4" t="s">
        <v>25</v>
      </c>
      <c r="F185" s="4" t="s">
        <v>17</v>
      </c>
      <c r="G185" s="4" t="s">
        <v>26</v>
      </c>
      <c r="H185" s="4" t="s">
        <v>18</v>
      </c>
      <c r="I185" s="4" t="s">
        <v>34</v>
      </c>
      <c r="J185" s="4" t="s">
        <v>35</v>
      </c>
      <c r="K185" s="4" t="s">
        <v>78</v>
      </c>
      <c r="L185" s="4" t="s">
        <v>19</v>
      </c>
      <c r="M185" s="4" t="s">
        <v>20</v>
      </c>
      <c r="N185" s="4" t="s">
        <v>21</v>
      </c>
      <c r="O185" s="4" t="s">
        <v>22</v>
      </c>
      <c r="P185" s="4" t="s">
        <v>23</v>
      </c>
      <c r="Q185" s="21"/>
      <c r="S185" s="22" t="s">
        <v>79</v>
      </c>
      <c r="T185" s="23"/>
      <c r="U185" s="23" t="s">
        <v>80</v>
      </c>
      <c r="V185" s="23" t="s">
        <v>145</v>
      </c>
    </row>
    <row r="186" spans="2:22" ht="12.75">
      <c r="B186" s="16"/>
      <c r="C186" s="24">
        <v>1</v>
      </c>
      <c r="D186" s="3"/>
      <c r="E186" s="3"/>
      <c r="F186" s="3"/>
      <c r="G186" s="3"/>
      <c r="H186" s="3"/>
      <c r="I186" s="4">
        <f aca="true" t="shared" si="25" ref="I186:I197">E186*G186</f>
        <v>0</v>
      </c>
      <c r="J186" s="54">
        <f>IF($I$208=0,0,I186/$I$208)</f>
        <v>0</v>
      </c>
      <c r="K186" s="2" t="s">
        <v>8</v>
      </c>
      <c r="L186" s="3" t="s">
        <v>8</v>
      </c>
      <c r="M186" s="3" t="s">
        <v>8</v>
      </c>
      <c r="N186" s="1" t="s">
        <v>8</v>
      </c>
      <c r="O186" s="3" t="s">
        <v>8</v>
      </c>
      <c r="P186" s="55"/>
      <c r="Q186" s="19"/>
      <c r="S186" s="22">
        <f>IF(K186="yes",1,0)</f>
        <v>0</v>
      </c>
      <c r="U186" s="22">
        <f>IF(P186&lt;=0.02,0,1)</f>
        <v>0</v>
      </c>
      <c r="V186" s="22">
        <f>IF(U186=0,J186,J186*(1-P186))</f>
        <v>0</v>
      </c>
    </row>
    <row r="187" spans="2:22" ht="12.75">
      <c r="B187" s="16"/>
      <c r="C187" s="24">
        <v>2</v>
      </c>
      <c r="D187" s="3"/>
      <c r="E187" s="3"/>
      <c r="F187" s="3"/>
      <c r="G187" s="3"/>
      <c r="H187" s="3"/>
      <c r="I187" s="4">
        <f t="shared" si="25"/>
        <v>0</v>
      </c>
      <c r="J187" s="54">
        <f aca="true" t="shared" si="26" ref="J187:J197">IF($I$208=0,0,I187/$I$208)</f>
        <v>0</v>
      </c>
      <c r="K187" s="2" t="s">
        <v>8</v>
      </c>
      <c r="L187" s="3" t="s">
        <v>8</v>
      </c>
      <c r="M187" s="3" t="s">
        <v>8</v>
      </c>
      <c r="N187" s="1" t="s">
        <v>8</v>
      </c>
      <c r="O187" s="3" t="s">
        <v>8</v>
      </c>
      <c r="P187" s="55"/>
      <c r="Q187" s="19"/>
      <c r="S187" s="22">
        <f aca="true" t="shared" si="27" ref="S187:S197">IF(K187="yes",1,0)</f>
        <v>0</v>
      </c>
      <c r="U187" s="22">
        <f aca="true" t="shared" si="28" ref="U187:U197">IF(P187&lt;=0.02,0,1)</f>
        <v>0</v>
      </c>
      <c r="V187" s="22">
        <f aca="true" t="shared" si="29" ref="V187:V197">IF(U187=0,J187,J187*(1-P187))</f>
        <v>0</v>
      </c>
    </row>
    <row r="188" spans="2:22" ht="12.75">
      <c r="B188" s="16"/>
      <c r="C188" s="24">
        <v>3</v>
      </c>
      <c r="D188" s="3"/>
      <c r="E188" s="3"/>
      <c r="F188" s="3"/>
      <c r="G188" s="3"/>
      <c r="H188" s="3"/>
      <c r="I188" s="4">
        <f t="shared" si="25"/>
        <v>0</v>
      </c>
      <c r="J188" s="54">
        <f t="shared" si="26"/>
        <v>0</v>
      </c>
      <c r="K188" s="2" t="s">
        <v>8</v>
      </c>
      <c r="L188" s="3" t="s">
        <v>8</v>
      </c>
      <c r="M188" s="3" t="s">
        <v>8</v>
      </c>
      <c r="N188" s="1" t="s">
        <v>8</v>
      </c>
      <c r="O188" s="3" t="s">
        <v>8</v>
      </c>
      <c r="P188" s="55"/>
      <c r="Q188" s="19"/>
      <c r="S188" s="22">
        <f t="shared" si="27"/>
        <v>0</v>
      </c>
      <c r="U188" s="22">
        <f t="shared" si="28"/>
        <v>0</v>
      </c>
      <c r="V188" s="22">
        <f t="shared" si="29"/>
        <v>0</v>
      </c>
    </row>
    <row r="189" spans="2:22" ht="12.75">
      <c r="B189" s="16"/>
      <c r="C189" s="24">
        <v>4</v>
      </c>
      <c r="D189" s="3"/>
      <c r="E189" s="3"/>
      <c r="F189" s="3"/>
      <c r="G189" s="3"/>
      <c r="H189" s="3"/>
      <c r="I189" s="4">
        <f t="shared" si="25"/>
        <v>0</v>
      </c>
      <c r="J189" s="54">
        <f t="shared" si="26"/>
        <v>0</v>
      </c>
      <c r="K189" s="2" t="s">
        <v>8</v>
      </c>
      <c r="L189" s="3" t="s">
        <v>8</v>
      </c>
      <c r="M189" s="3" t="s">
        <v>8</v>
      </c>
      <c r="N189" s="1" t="s">
        <v>8</v>
      </c>
      <c r="O189" s="3" t="s">
        <v>8</v>
      </c>
      <c r="P189" s="55"/>
      <c r="Q189" s="19"/>
      <c r="S189" s="22">
        <f t="shared" si="27"/>
        <v>0</v>
      </c>
      <c r="U189" s="22">
        <f t="shared" si="28"/>
        <v>0</v>
      </c>
      <c r="V189" s="22">
        <f t="shared" si="29"/>
        <v>0</v>
      </c>
    </row>
    <row r="190" spans="2:22" ht="12.75">
      <c r="B190" s="16"/>
      <c r="C190" s="24">
        <v>5</v>
      </c>
      <c r="D190" s="3"/>
      <c r="E190" s="3"/>
      <c r="F190" s="3"/>
      <c r="G190" s="3"/>
      <c r="H190" s="3"/>
      <c r="I190" s="4">
        <f t="shared" si="25"/>
        <v>0</v>
      </c>
      <c r="J190" s="54">
        <f t="shared" si="26"/>
        <v>0</v>
      </c>
      <c r="K190" s="2" t="s">
        <v>8</v>
      </c>
      <c r="L190" s="3" t="s">
        <v>8</v>
      </c>
      <c r="M190" s="3" t="s">
        <v>8</v>
      </c>
      <c r="N190" s="1" t="s">
        <v>8</v>
      </c>
      <c r="O190" s="3" t="s">
        <v>8</v>
      </c>
      <c r="P190" s="55"/>
      <c r="Q190" s="19"/>
      <c r="S190" s="22">
        <f t="shared" si="27"/>
        <v>0</v>
      </c>
      <c r="U190" s="22">
        <f t="shared" si="28"/>
        <v>0</v>
      </c>
      <c r="V190" s="22">
        <f t="shared" si="29"/>
        <v>0</v>
      </c>
    </row>
    <row r="191" spans="2:22" ht="12.75">
      <c r="B191" s="16"/>
      <c r="C191" s="24">
        <v>6</v>
      </c>
      <c r="D191" s="3"/>
      <c r="E191" s="3"/>
      <c r="F191" s="3"/>
      <c r="G191" s="3"/>
      <c r="H191" s="3"/>
      <c r="I191" s="4">
        <f t="shared" si="25"/>
        <v>0</v>
      </c>
      <c r="J191" s="54">
        <f t="shared" si="26"/>
        <v>0</v>
      </c>
      <c r="K191" s="2" t="s">
        <v>8</v>
      </c>
      <c r="L191" s="3" t="s">
        <v>8</v>
      </c>
      <c r="M191" s="3" t="s">
        <v>8</v>
      </c>
      <c r="N191" s="1" t="s">
        <v>8</v>
      </c>
      <c r="O191" s="3" t="s">
        <v>8</v>
      </c>
      <c r="P191" s="55"/>
      <c r="Q191" s="19"/>
      <c r="S191" s="22">
        <f t="shared" si="27"/>
        <v>0</v>
      </c>
      <c r="U191" s="22">
        <f t="shared" si="28"/>
        <v>0</v>
      </c>
      <c r="V191" s="22">
        <f t="shared" si="29"/>
        <v>0</v>
      </c>
    </row>
    <row r="192" spans="2:22" ht="12.75">
      <c r="B192" s="16"/>
      <c r="C192" s="24">
        <v>7</v>
      </c>
      <c r="D192" s="3"/>
      <c r="E192" s="3"/>
      <c r="F192" s="3"/>
      <c r="G192" s="3"/>
      <c r="H192" s="3"/>
      <c r="I192" s="4">
        <f t="shared" si="25"/>
        <v>0</v>
      </c>
      <c r="J192" s="54">
        <f t="shared" si="26"/>
        <v>0</v>
      </c>
      <c r="K192" s="2" t="s">
        <v>8</v>
      </c>
      <c r="L192" s="3" t="s">
        <v>8</v>
      </c>
      <c r="M192" s="3" t="s">
        <v>8</v>
      </c>
      <c r="N192" s="1" t="s">
        <v>8</v>
      </c>
      <c r="O192" s="3" t="s">
        <v>8</v>
      </c>
      <c r="P192" s="55"/>
      <c r="Q192" s="19"/>
      <c r="S192" s="22">
        <f t="shared" si="27"/>
        <v>0</v>
      </c>
      <c r="U192" s="22">
        <f t="shared" si="28"/>
        <v>0</v>
      </c>
      <c r="V192" s="22">
        <f t="shared" si="29"/>
        <v>0</v>
      </c>
    </row>
    <row r="193" spans="2:22" ht="12.75">
      <c r="B193" s="16"/>
      <c r="C193" s="24">
        <v>8</v>
      </c>
      <c r="D193" s="3"/>
      <c r="E193" s="3"/>
      <c r="F193" s="3"/>
      <c r="G193" s="3"/>
      <c r="H193" s="3"/>
      <c r="I193" s="4">
        <f t="shared" si="25"/>
        <v>0</v>
      </c>
      <c r="J193" s="54">
        <f t="shared" si="26"/>
        <v>0</v>
      </c>
      <c r="K193" s="2" t="s">
        <v>8</v>
      </c>
      <c r="L193" s="3" t="s">
        <v>8</v>
      </c>
      <c r="M193" s="3" t="s">
        <v>8</v>
      </c>
      <c r="N193" s="1" t="s">
        <v>8</v>
      </c>
      <c r="O193" s="3" t="s">
        <v>8</v>
      </c>
      <c r="P193" s="55"/>
      <c r="Q193" s="19"/>
      <c r="S193" s="22">
        <f t="shared" si="27"/>
        <v>0</v>
      </c>
      <c r="U193" s="22">
        <f t="shared" si="28"/>
        <v>0</v>
      </c>
      <c r="V193" s="22">
        <f t="shared" si="29"/>
        <v>0</v>
      </c>
    </row>
    <row r="194" spans="2:22" ht="12.75">
      <c r="B194" s="16"/>
      <c r="C194" s="24">
        <v>9</v>
      </c>
      <c r="D194" s="3"/>
      <c r="E194" s="3"/>
      <c r="F194" s="3"/>
      <c r="G194" s="3"/>
      <c r="H194" s="3"/>
      <c r="I194" s="4">
        <f t="shared" si="25"/>
        <v>0</v>
      </c>
      <c r="J194" s="54">
        <f t="shared" si="26"/>
        <v>0</v>
      </c>
      <c r="K194" s="2" t="s">
        <v>8</v>
      </c>
      <c r="L194" s="3" t="s">
        <v>8</v>
      </c>
      <c r="M194" s="3" t="s">
        <v>8</v>
      </c>
      <c r="N194" s="1" t="s">
        <v>8</v>
      </c>
      <c r="O194" s="3" t="s">
        <v>8</v>
      </c>
      <c r="P194" s="55"/>
      <c r="Q194" s="19"/>
      <c r="S194" s="22">
        <f t="shared" si="27"/>
        <v>0</v>
      </c>
      <c r="U194" s="22">
        <f t="shared" si="28"/>
        <v>0</v>
      </c>
      <c r="V194" s="22">
        <f t="shared" si="29"/>
        <v>0</v>
      </c>
    </row>
    <row r="195" spans="2:22" ht="12.75">
      <c r="B195" s="16"/>
      <c r="C195" s="25">
        <v>10</v>
      </c>
      <c r="D195" s="3"/>
      <c r="E195" s="3"/>
      <c r="F195" s="3"/>
      <c r="G195" s="3"/>
      <c r="H195" s="3"/>
      <c r="I195" s="4">
        <f t="shared" si="25"/>
        <v>0</v>
      </c>
      <c r="J195" s="54">
        <f t="shared" si="26"/>
        <v>0</v>
      </c>
      <c r="K195" s="2" t="s">
        <v>8</v>
      </c>
      <c r="L195" s="3" t="s">
        <v>8</v>
      </c>
      <c r="M195" s="3" t="s">
        <v>8</v>
      </c>
      <c r="N195" s="1" t="s">
        <v>8</v>
      </c>
      <c r="O195" s="3" t="s">
        <v>8</v>
      </c>
      <c r="P195" s="55"/>
      <c r="Q195" s="19"/>
      <c r="S195" s="22">
        <f t="shared" si="27"/>
        <v>0</v>
      </c>
      <c r="U195" s="22">
        <f t="shared" si="28"/>
        <v>0</v>
      </c>
      <c r="V195" s="22">
        <f t="shared" si="29"/>
        <v>0</v>
      </c>
    </row>
    <row r="196" spans="2:22" ht="12.75">
      <c r="B196" s="16"/>
      <c r="C196" s="25">
        <v>11</v>
      </c>
      <c r="D196" s="6"/>
      <c r="E196" s="7"/>
      <c r="F196" s="6"/>
      <c r="G196" s="7"/>
      <c r="H196" s="6"/>
      <c r="I196" s="4">
        <f t="shared" si="25"/>
        <v>0</v>
      </c>
      <c r="J196" s="54">
        <f t="shared" si="26"/>
        <v>0</v>
      </c>
      <c r="K196" s="2" t="s">
        <v>8</v>
      </c>
      <c r="L196" s="3" t="s">
        <v>8</v>
      </c>
      <c r="M196" s="3" t="s">
        <v>8</v>
      </c>
      <c r="N196" s="1" t="s">
        <v>8</v>
      </c>
      <c r="O196" s="3" t="s">
        <v>8</v>
      </c>
      <c r="P196" s="55"/>
      <c r="Q196" s="19"/>
      <c r="S196" s="22">
        <f t="shared" si="27"/>
        <v>0</v>
      </c>
      <c r="U196" s="22">
        <f t="shared" si="28"/>
        <v>0</v>
      </c>
      <c r="V196" s="22">
        <f t="shared" si="29"/>
        <v>0</v>
      </c>
    </row>
    <row r="197" spans="2:22" ht="12.75">
      <c r="B197" s="16"/>
      <c r="C197" s="25">
        <v>12</v>
      </c>
      <c r="D197" s="6"/>
      <c r="E197" s="7"/>
      <c r="F197" s="6"/>
      <c r="G197" s="7"/>
      <c r="H197" s="6"/>
      <c r="I197" s="26">
        <f t="shared" si="25"/>
        <v>0</v>
      </c>
      <c r="J197" s="54">
        <f t="shared" si="26"/>
        <v>0</v>
      </c>
      <c r="K197" s="2" t="s">
        <v>8</v>
      </c>
      <c r="L197" s="3" t="s">
        <v>8</v>
      </c>
      <c r="M197" s="3" t="s">
        <v>8</v>
      </c>
      <c r="N197" s="1" t="s">
        <v>8</v>
      </c>
      <c r="O197" s="3" t="s">
        <v>8</v>
      </c>
      <c r="P197" s="55"/>
      <c r="Q197" s="19"/>
      <c r="S197" s="22">
        <f t="shared" si="27"/>
        <v>0</v>
      </c>
      <c r="U197" s="22">
        <f t="shared" si="28"/>
        <v>0</v>
      </c>
      <c r="V197" s="22">
        <f t="shared" si="29"/>
        <v>0</v>
      </c>
    </row>
    <row r="198" spans="2:22" ht="12.75">
      <c r="B198" s="16"/>
      <c r="C198" s="27"/>
      <c r="D198" s="28"/>
      <c r="E198" s="28"/>
      <c r="F198" s="28"/>
      <c r="G198" s="28"/>
      <c r="H198" s="28"/>
      <c r="I198" s="29" t="s">
        <v>83</v>
      </c>
      <c r="J198" s="102">
        <f>ROUND(SUMPRODUCT(J186:J197,S186:S197,(1-P186:P197)),4)</f>
        <v>0</v>
      </c>
      <c r="K198" s="18"/>
      <c r="L198" s="18"/>
      <c r="M198" s="18"/>
      <c r="N198" s="18"/>
      <c r="O198" s="18"/>
      <c r="P198" s="18"/>
      <c r="Q198" s="19"/>
      <c r="U198" s="22">
        <f>SUM(U186:U197)</f>
        <v>0</v>
      </c>
      <c r="V198" s="22">
        <f>ROUND(SUM(V186:V197),4)</f>
        <v>0</v>
      </c>
    </row>
    <row r="199" spans="2:17" ht="12.75">
      <c r="B199" s="16"/>
      <c r="C199" s="30"/>
      <c r="D199" s="31"/>
      <c r="E199" s="31"/>
      <c r="F199" s="31"/>
      <c r="G199" s="31"/>
      <c r="H199" s="31"/>
      <c r="I199" s="32" t="s">
        <v>3</v>
      </c>
      <c r="J199" s="102">
        <f>ROUND(SUMPRODUCT(J186:J197,(1-P186:P197)),4)</f>
        <v>0</v>
      </c>
      <c r="K199" s="18"/>
      <c r="L199" s="18"/>
      <c r="M199" s="18"/>
      <c r="N199" s="18"/>
      <c r="O199" s="18"/>
      <c r="P199" s="18"/>
      <c r="Q199" s="19"/>
    </row>
    <row r="200" spans="2:17" ht="12.75">
      <c r="B200" s="16"/>
      <c r="C200" s="18"/>
      <c r="D200" s="18"/>
      <c r="E200" s="18"/>
      <c r="F200" s="18"/>
      <c r="G200" s="18"/>
      <c r="H200" s="18"/>
      <c r="I200" s="33"/>
      <c r="K200" s="18"/>
      <c r="L200" s="18"/>
      <c r="M200" s="18"/>
      <c r="N200" s="18"/>
      <c r="O200" s="18"/>
      <c r="P200" s="18"/>
      <c r="Q200" s="19"/>
    </row>
    <row r="201" spans="2:17" ht="12.75" customHeight="1">
      <c r="B201" s="16"/>
      <c r="C201" s="18"/>
      <c r="D201" s="18"/>
      <c r="E201" s="18"/>
      <c r="F201" s="18"/>
      <c r="G201" s="18"/>
      <c r="H201" s="18"/>
      <c r="I201" s="18"/>
      <c r="J201" s="18"/>
      <c r="K201" s="18"/>
      <c r="N201" s="18"/>
      <c r="O201" s="18"/>
      <c r="P201" s="18"/>
      <c r="Q201" s="19"/>
    </row>
    <row r="202" spans="2:17" ht="12.75" customHeight="1">
      <c r="B202" s="16"/>
      <c r="C202" s="17" t="s">
        <v>72</v>
      </c>
      <c r="D202" s="18"/>
      <c r="E202" s="18"/>
      <c r="F202" s="18"/>
      <c r="G202" s="18"/>
      <c r="H202" s="18"/>
      <c r="I202" s="18"/>
      <c r="J202" s="18"/>
      <c r="K202" s="18"/>
      <c r="L202" s="17" t="s">
        <v>24</v>
      </c>
      <c r="Q202" s="19"/>
    </row>
    <row r="203" spans="2:17" ht="51">
      <c r="B203" s="16"/>
      <c r="C203" s="24"/>
      <c r="D203" s="24" t="s">
        <v>87</v>
      </c>
      <c r="E203" s="4" t="s">
        <v>25</v>
      </c>
      <c r="F203" s="4" t="s">
        <v>17</v>
      </c>
      <c r="G203" s="4" t="s">
        <v>26</v>
      </c>
      <c r="H203" s="4" t="s">
        <v>18</v>
      </c>
      <c r="I203" s="4" t="s">
        <v>34</v>
      </c>
      <c r="J203" s="4" t="s">
        <v>35</v>
      </c>
      <c r="K203" s="18"/>
      <c r="L203" s="120"/>
      <c r="M203" s="121"/>
      <c r="N203" s="121"/>
      <c r="O203" s="121"/>
      <c r="P203" s="122"/>
      <c r="Q203" s="19"/>
    </row>
    <row r="204" spans="2:17" ht="12.75" customHeight="1">
      <c r="B204" s="16"/>
      <c r="C204" s="24">
        <v>1</v>
      </c>
      <c r="D204" s="3"/>
      <c r="E204" s="3"/>
      <c r="F204" s="3"/>
      <c r="G204" s="3"/>
      <c r="H204" s="3"/>
      <c r="I204" s="4">
        <f>E204*G204</f>
        <v>0</v>
      </c>
      <c r="J204" s="54">
        <f>IF($I$208=0,0,I204/$I$208)</f>
        <v>0</v>
      </c>
      <c r="K204" s="18"/>
      <c r="L204" s="123"/>
      <c r="M204" s="124"/>
      <c r="N204" s="124"/>
      <c r="O204" s="124"/>
      <c r="P204" s="125"/>
      <c r="Q204" s="19"/>
    </row>
    <row r="205" spans="2:17" ht="12.75" customHeight="1">
      <c r="B205" s="16"/>
      <c r="C205" s="24">
        <v>2</v>
      </c>
      <c r="D205" s="3"/>
      <c r="E205" s="3"/>
      <c r="F205" s="3"/>
      <c r="G205" s="3"/>
      <c r="H205" s="3"/>
      <c r="I205" s="4">
        <f>E205*G205</f>
        <v>0</v>
      </c>
      <c r="J205" s="54">
        <f>IF($I$208=0,0,I205/$I$208)</f>
        <v>0</v>
      </c>
      <c r="K205" s="18"/>
      <c r="L205" s="123"/>
      <c r="M205" s="124"/>
      <c r="N205" s="124"/>
      <c r="O205" s="124"/>
      <c r="P205" s="125"/>
      <c r="Q205" s="19"/>
    </row>
    <row r="206" spans="2:17" ht="12.75" customHeight="1">
      <c r="B206" s="16"/>
      <c r="C206" s="24">
        <v>3</v>
      </c>
      <c r="D206" s="3"/>
      <c r="E206" s="3"/>
      <c r="F206" s="3"/>
      <c r="G206" s="3"/>
      <c r="H206" s="3"/>
      <c r="I206" s="4">
        <f>E206*G206</f>
        <v>0</v>
      </c>
      <c r="J206" s="54">
        <f>IF($I$208=0,0,I206/$I$208)</f>
        <v>0</v>
      </c>
      <c r="K206" s="18"/>
      <c r="L206" s="123"/>
      <c r="M206" s="124"/>
      <c r="N206" s="124"/>
      <c r="O206" s="124"/>
      <c r="P206" s="125"/>
      <c r="Q206" s="19"/>
    </row>
    <row r="207" spans="2:17" ht="13.5" customHeight="1">
      <c r="B207" s="16"/>
      <c r="C207" s="25">
        <v>4</v>
      </c>
      <c r="D207" s="3"/>
      <c r="E207" s="3"/>
      <c r="F207" s="3"/>
      <c r="G207" s="3"/>
      <c r="H207" s="3"/>
      <c r="I207" s="4">
        <f>E207*G207</f>
        <v>0</v>
      </c>
      <c r="J207" s="54">
        <f>IF($I$208=0,0,I207/$I$208)</f>
        <v>0</v>
      </c>
      <c r="K207" s="18"/>
      <c r="L207" s="123"/>
      <c r="M207" s="124"/>
      <c r="N207" s="124"/>
      <c r="O207" s="124"/>
      <c r="P207" s="125"/>
      <c r="Q207" s="19"/>
    </row>
    <row r="208" spans="2:17" ht="12.75">
      <c r="B208" s="16"/>
      <c r="C208" s="34"/>
      <c r="D208" s="35"/>
      <c r="E208" s="36"/>
      <c r="F208" s="36"/>
      <c r="G208" s="36"/>
      <c r="H208" s="37" t="s">
        <v>73</v>
      </c>
      <c r="I208" s="8">
        <f>SUM(I204:I207,I186:I197)</f>
        <v>0</v>
      </c>
      <c r="J208" s="9">
        <f>SUM(J204:J207)</f>
        <v>0</v>
      </c>
      <c r="K208" s="18"/>
      <c r="L208" s="123"/>
      <c r="M208" s="124"/>
      <c r="N208" s="124"/>
      <c r="O208" s="124"/>
      <c r="P208" s="125"/>
      <c r="Q208" s="19"/>
    </row>
    <row r="209" spans="2:17" ht="12.75">
      <c r="B209" s="16"/>
      <c r="C209" s="18"/>
      <c r="D209" s="18"/>
      <c r="E209" s="18"/>
      <c r="F209" s="18"/>
      <c r="G209" s="18"/>
      <c r="H209" s="18"/>
      <c r="I209" s="18"/>
      <c r="J209" s="18"/>
      <c r="K209" s="18"/>
      <c r="L209" s="123"/>
      <c r="M209" s="124"/>
      <c r="N209" s="124"/>
      <c r="O209" s="124"/>
      <c r="P209" s="125"/>
      <c r="Q209" s="19"/>
    </row>
    <row r="210" spans="2:17" ht="12.75">
      <c r="B210" s="16"/>
      <c r="C210" s="18"/>
      <c r="D210" s="18"/>
      <c r="E210" s="18"/>
      <c r="F210" s="18"/>
      <c r="G210" s="18"/>
      <c r="H210" s="18"/>
      <c r="I210" s="18"/>
      <c r="J210" s="18"/>
      <c r="K210" s="18"/>
      <c r="L210" s="123"/>
      <c r="M210" s="124"/>
      <c r="N210" s="124"/>
      <c r="O210" s="124"/>
      <c r="P210" s="125"/>
      <c r="Q210" s="19"/>
    </row>
    <row r="211" spans="2:17" ht="12.75">
      <c r="B211" s="16"/>
      <c r="C211" s="17" t="s">
        <v>89</v>
      </c>
      <c r="D211" s="18"/>
      <c r="E211" s="18"/>
      <c r="F211" s="18"/>
      <c r="G211" s="18"/>
      <c r="H211" s="18"/>
      <c r="J211" s="10" t="s">
        <v>8</v>
      </c>
      <c r="K211" s="18"/>
      <c r="L211" s="123"/>
      <c r="M211" s="124"/>
      <c r="N211" s="124"/>
      <c r="O211" s="124"/>
      <c r="P211" s="125"/>
      <c r="Q211" s="19"/>
    </row>
    <row r="212" spans="2:17" ht="12.75">
      <c r="B212" s="16"/>
      <c r="C212" s="17" t="s">
        <v>74</v>
      </c>
      <c r="E212" s="18"/>
      <c r="F212" s="18"/>
      <c r="G212" s="18"/>
      <c r="H212" s="18"/>
      <c r="I212" s="18"/>
      <c r="J212" s="10" t="s">
        <v>8</v>
      </c>
      <c r="K212" s="18"/>
      <c r="L212" s="126"/>
      <c r="M212" s="127"/>
      <c r="N212" s="127"/>
      <c r="O212" s="127"/>
      <c r="P212" s="128"/>
      <c r="Q212" s="19"/>
    </row>
    <row r="213" spans="2:17" ht="12.75">
      <c r="B213" s="16"/>
      <c r="C213" s="18"/>
      <c r="D213" s="18"/>
      <c r="E213" s="18"/>
      <c r="F213" s="18"/>
      <c r="G213" s="18"/>
      <c r="H213" s="18"/>
      <c r="I213" s="18"/>
      <c r="J213" s="18"/>
      <c r="K213" s="18"/>
      <c r="L213" s="18"/>
      <c r="M213" s="18"/>
      <c r="N213" s="18"/>
      <c r="O213" s="18"/>
      <c r="P213" s="18"/>
      <c r="Q213" s="19"/>
    </row>
    <row r="214" spans="2:17" ht="13.5" thickBot="1">
      <c r="B214" s="38"/>
      <c r="C214" s="39"/>
      <c r="D214" s="39"/>
      <c r="E214" s="39"/>
      <c r="F214" s="39"/>
      <c r="G214" s="39"/>
      <c r="H214" s="39"/>
      <c r="I214" s="39"/>
      <c r="J214" s="39"/>
      <c r="K214" s="39"/>
      <c r="L214" s="39"/>
      <c r="M214" s="39"/>
      <c r="N214" s="39"/>
      <c r="O214" s="39"/>
      <c r="P214" s="39"/>
      <c r="Q214" s="40"/>
    </row>
    <row r="215" ht="12.75"/>
    <row r="216" spans="2:11" ht="12.75">
      <c r="B216" s="63"/>
      <c r="G216" s="100" t="s">
        <v>15</v>
      </c>
      <c r="H216" s="114">
        <f>IF(ISBLANK(Generator_Info!B22),"",Generator_Info!B22)</f>
      </c>
      <c r="I216" s="119"/>
      <c r="J216" s="119"/>
      <c r="K216" s="115"/>
    </row>
    <row r="217" ht="13.5" thickBot="1"/>
    <row r="218" spans="2:17" ht="12.75">
      <c r="B218" s="13"/>
      <c r="C218" s="14"/>
      <c r="D218" s="14"/>
      <c r="E218" s="14"/>
      <c r="F218" s="14"/>
      <c r="G218" s="14"/>
      <c r="H218" s="14"/>
      <c r="I218" s="14"/>
      <c r="J218" s="14"/>
      <c r="K218" s="14"/>
      <c r="L218" s="14"/>
      <c r="M218" s="14"/>
      <c r="N218" s="14"/>
      <c r="O218" s="14"/>
      <c r="P218" s="14"/>
      <c r="Q218" s="15"/>
    </row>
    <row r="219" spans="2:17" ht="12.75">
      <c r="B219" s="16"/>
      <c r="C219" s="17" t="s">
        <v>71</v>
      </c>
      <c r="D219" s="18"/>
      <c r="E219" s="18"/>
      <c r="F219" s="18"/>
      <c r="G219" s="18"/>
      <c r="H219" s="18"/>
      <c r="I219" s="18"/>
      <c r="J219" s="18"/>
      <c r="K219" s="18"/>
      <c r="L219" s="18"/>
      <c r="M219" s="18"/>
      <c r="N219" s="18"/>
      <c r="O219" s="18"/>
      <c r="P219" s="18"/>
      <c r="Q219" s="19"/>
    </row>
    <row r="220" spans="2:22" ht="89.25">
      <c r="B220" s="20"/>
      <c r="C220" s="4"/>
      <c r="D220" s="4" t="s">
        <v>16</v>
      </c>
      <c r="E220" s="4" t="s">
        <v>25</v>
      </c>
      <c r="F220" s="4" t="s">
        <v>17</v>
      </c>
      <c r="G220" s="4" t="s">
        <v>26</v>
      </c>
      <c r="H220" s="4" t="s">
        <v>18</v>
      </c>
      <c r="I220" s="4" t="s">
        <v>34</v>
      </c>
      <c r="J220" s="4" t="s">
        <v>35</v>
      </c>
      <c r="K220" s="4" t="s">
        <v>78</v>
      </c>
      <c r="L220" s="4" t="s">
        <v>19</v>
      </c>
      <c r="M220" s="4" t="s">
        <v>20</v>
      </c>
      <c r="N220" s="4" t="s">
        <v>21</v>
      </c>
      <c r="O220" s="4" t="s">
        <v>22</v>
      </c>
      <c r="P220" s="4" t="s">
        <v>23</v>
      </c>
      <c r="Q220" s="21"/>
      <c r="S220" s="22" t="s">
        <v>79</v>
      </c>
      <c r="T220" s="23"/>
      <c r="U220" s="23" t="s">
        <v>80</v>
      </c>
      <c r="V220" s="23" t="s">
        <v>145</v>
      </c>
    </row>
    <row r="221" spans="2:22" ht="12.75">
      <c r="B221" s="16"/>
      <c r="C221" s="24">
        <v>1</v>
      </c>
      <c r="D221" s="3"/>
      <c r="E221" s="3"/>
      <c r="F221" s="3"/>
      <c r="G221" s="3"/>
      <c r="H221" s="3"/>
      <c r="I221" s="4">
        <f aca="true" t="shared" si="30" ref="I221:I232">E221*G221</f>
        <v>0</v>
      </c>
      <c r="J221" s="54">
        <f>IF($I$243=0,0,I221/$I$243)</f>
        <v>0</v>
      </c>
      <c r="K221" s="2" t="s">
        <v>8</v>
      </c>
      <c r="L221" s="3" t="s">
        <v>8</v>
      </c>
      <c r="M221" s="3" t="s">
        <v>8</v>
      </c>
      <c r="N221" s="1" t="s">
        <v>8</v>
      </c>
      <c r="O221" s="3" t="s">
        <v>8</v>
      </c>
      <c r="P221" s="55"/>
      <c r="Q221" s="19"/>
      <c r="S221" s="22">
        <f>IF(K221="yes",1,0)</f>
        <v>0</v>
      </c>
      <c r="U221" s="22">
        <f>IF(P221&lt;=0.02,0,1)</f>
        <v>0</v>
      </c>
      <c r="V221" s="22">
        <f>IF(U221=0,J221,J221*(1-P221))</f>
        <v>0</v>
      </c>
    </row>
    <row r="222" spans="2:22" ht="12.75">
      <c r="B222" s="16"/>
      <c r="C222" s="24">
        <v>2</v>
      </c>
      <c r="D222" s="3"/>
      <c r="E222" s="3"/>
      <c r="F222" s="3"/>
      <c r="G222" s="3"/>
      <c r="H222" s="3"/>
      <c r="I222" s="4">
        <f t="shared" si="30"/>
        <v>0</v>
      </c>
      <c r="J222" s="54">
        <f aca="true" t="shared" si="31" ref="J222:J232">IF($I$243=0,0,I222/$I$243)</f>
        <v>0</v>
      </c>
      <c r="K222" s="2" t="s">
        <v>8</v>
      </c>
      <c r="L222" s="3" t="s">
        <v>8</v>
      </c>
      <c r="M222" s="3" t="s">
        <v>8</v>
      </c>
      <c r="N222" s="1" t="s">
        <v>8</v>
      </c>
      <c r="O222" s="3" t="s">
        <v>8</v>
      </c>
      <c r="P222" s="55"/>
      <c r="Q222" s="19"/>
      <c r="S222" s="22">
        <f aca="true" t="shared" si="32" ref="S222:S232">IF(K222="yes",1,0)</f>
        <v>0</v>
      </c>
      <c r="U222" s="22">
        <f aca="true" t="shared" si="33" ref="U222:U232">IF(P222&lt;=0.02,0,1)</f>
        <v>0</v>
      </c>
      <c r="V222" s="22">
        <f aca="true" t="shared" si="34" ref="V222:V232">IF(U222=0,J222,J222*(1-P222))</f>
        <v>0</v>
      </c>
    </row>
    <row r="223" spans="2:22" ht="12.75">
      <c r="B223" s="16"/>
      <c r="C223" s="24">
        <v>3</v>
      </c>
      <c r="D223" s="3"/>
      <c r="E223" s="3"/>
      <c r="F223" s="3"/>
      <c r="G223" s="3"/>
      <c r="H223" s="3"/>
      <c r="I223" s="4">
        <f t="shared" si="30"/>
        <v>0</v>
      </c>
      <c r="J223" s="54">
        <f t="shared" si="31"/>
        <v>0</v>
      </c>
      <c r="K223" s="2" t="s">
        <v>8</v>
      </c>
      <c r="L223" s="3" t="s">
        <v>8</v>
      </c>
      <c r="M223" s="3" t="s">
        <v>8</v>
      </c>
      <c r="N223" s="1" t="s">
        <v>8</v>
      </c>
      <c r="O223" s="3" t="s">
        <v>8</v>
      </c>
      <c r="P223" s="55"/>
      <c r="Q223" s="19"/>
      <c r="S223" s="22">
        <f t="shared" si="32"/>
        <v>0</v>
      </c>
      <c r="U223" s="22">
        <f t="shared" si="33"/>
        <v>0</v>
      </c>
      <c r="V223" s="22">
        <f t="shared" si="34"/>
        <v>0</v>
      </c>
    </row>
    <row r="224" spans="2:22" ht="12.75">
      <c r="B224" s="16"/>
      <c r="C224" s="24">
        <v>4</v>
      </c>
      <c r="D224" s="3"/>
      <c r="E224" s="3"/>
      <c r="F224" s="3"/>
      <c r="G224" s="3"/>
      <c r="H224" s="3"/>
      <c r="I224" s="4">
        <f t="shared" si="30"/>
        <v>0</v>
      </c>
      <c r="J224" s="54">
        <f t="shared" si="31"/>
        <v>0</v>
      </c>
      <c r="K224" s="2" t="s">
        <v>8</v>
      </c>
      <c r="L224" s="3" t="s">
        <v>8</v>
      </c>
      <c r="M224" s="3" t="s">
        <v>8</v>
      </c>
      <c r="N224" s="1" t="s">
        <v>8</v>
      </c>
      <c r="O224" s="3" t="s">
        <v>8</v>
      </c>
      <c r="P224" s="55"/>
      <c r="Q224" s="19"/>
      <c r="S224" s="22">
        <f t="shared" si="32"/>
        <v>0</v>
      </c>
      <c r="U224" s="22">
        <f t="shared" si="33"/>
        <v>0</v>
      </c>
      <c r="V224" s="22">
        <f t="shared" si="34"/>
        <v>0</v>
      </c>
    </row>
    <row r="225" spans="2:22" ht="12.75">
      <c r="B225" s="16"/>
      <c r="C225" s="24">
        <v>5</v>
      </c>
      <c r="D225" s="3"/>
      <c r="E225" s="3"/>
      <c r="F225" s="3"/>
      <c r="G225" s="3"/>
      <c r="H225" s="3"/>
      <c r="I225" s="4">
        <f t="shared" si="30"/>
        <v>0</v>
      </c>
      <c r="J225" s="54">
        <f t="shared" si="31"/>
        <v>0</v>
      </c>
      <c r="K225" s="2" t="s">
        <v>8</v>
      </c>
      <c r="L225" s="3" t="s">
        <v>8</v>
      </c>
      <c r="M225" s="3" t="s">
        <v>8</v>
      </c>
      <c r="N225" s="1" t="s">
        <v>8</v>
      </c>
      <c r="O225" s="3" t="s">
        <v>8</v>
      </c>
      <c r="P225" s="55"/>
      <c r="Q225" s="19"/>
      <c r="S225" s="22">
        <f t="shared" si="32"/>
        <v>0</v>
      </c>
      <c r="U225" s="22">
        <f t="shared" si="33"/>
        <v>0</v>
      </c>
      <c r="V225" s="22">
        <f t="shared" si="34"/>
        <v>0</v>
      </c>
    </row>
    <row r="226" spans="2:22" ht="12.75">
      <c r="B226" s="16"/>
      <c r="C226" s="24">
        <v>6</v>
      </c>
      <c r="D226" s="3"/>
      <c r="E226" s="3"/>
      <c r="F226" s="3"/>
      <c r="G226" s="3"/>
      <c r="H226" s="3"/>
      <c r="I226" s="4">
        <f t="shared" si="30"/>
        <v>0</v>
      </c>
      <c r="J226" s="54">
        <f t="shared" si="31"/>
        <v>0</v>
      </c>
      <c r="K226" s="2" t="s">
        <v>8</v>
      </c>
      <c r="L226" s="3" t="s">
        <v>8</v>
      </c>
      <c r="M226" s="3" t="s">
        <v>8</v>
      </c>
      <c r="N226" s="1" t="s">
        <v>8</v>
      </c>
      <c r="O226" s="3" t="s">
        <v>8</v>
      </c>
      <c r="P226" s="55"/>
      <c r="Q226" s="19"/>
      <c r="S226" s="22">
        <f t="shared" si="32"/>
        <v>0</v>
      </c>
      <c r="U226" s="22">
        <f t="shared" si="33"/>
        <v>0</v>
      </c>
      <c r="V226" s="22">
        <f t="shared" si="34"/>
        <v>0</v>
      </c>
    </row>
    <row r="227" spans="2:22" ht="12.75">
      <c r="B227" s="16"/>
      <c r="C227" s="24">
        <v>7</v>
      </c>
      <c r="D227" s="3"/>
      <c r="E227" s="3"/>
      <c r="F227" s="3"/>
      <c r="G227" s="3"/>
      <c r="H227" s="3"/>
      <c r="I227" s="4">
        <f t="shared" si="30"/>
        <v>0</v>
      </c>
      <c r="J227" s="54">
        <f t="shared" si="31"/>
        <v>0</v>
      </c>
      <c r="K227" s="2" t="s">
        <v>8</v>
      </c>
      <c r="L227" s="3" t="s">
        <v>8</v>
      </c>
      <c r="M227" s="3" t="s">
        <v>8</v>
      </c>
      <c r="N227" s="1" t="s">
        <v>8</v>
      </c>
      <c r="O227" s="3" t="s">
        <v>8</v>
      </c>
      <c r="P227" s="55"/>
      <c r="Q227" s="19"/>
      <c r="S227" s="22">
        <f t="shared" si="32"/>
        <v>0</v>
      </c>
      <c r="U227" s="22">
        <f t="shared" si="33"/>
        <v>0</v>
      </c>
      <c r="V227" s="22">
        <f t="shared" si="34"/>
        <v>0</v>
      </c>
    </row>
    <row r="228" spans="2:22" ht="12.75">
      <c r="B228" s="16"/>
      <c r="C228" s="24">
        <v>8</v>
      </c>
      <c r="D228" s="3"/>
      <c r="E228" s="3"/>
      <c r="F228" s="3"/>
      <c r="G228" s="3"/>
      <c r="H228" s="3"/>
      <c r="I228" s="4">
        <f t="shared" si="30"/>
        <v>0</v>
      </c>
      <c r="J228" s="54">
        <f t="shared" si="31"/>
        <v>0</v>
      </c>
      <c r="K228" s="2" t="s">
        <v>8</v>
      </c>
      <c r="L228" s="3" t="s">
        <v>8</v>
      </c>
      <c r="M228" s="3" t="s">
        <v>8</v>
      </c>
      <c r="N228" s="1" t="s">
        <v>8</v>
      </c>
      <c r="O228" s="3" t="s">
        <v>8</v>
      </c>
      <c r="P228" s="55"/>
      <c r="Q228" s="19"/>
      <c r="S228" s="22">
        <f t="shared" si="32"/>
        <v>0</v>
      </c>
      <c r="U228" s="22">
        <f t="shared" si="33"/>
        <v>0</v>
      </c>
      <c r="V228" s="22">
        <f t="shared" si="34"/>
        <v>0</v>
      </c>
    </row>
    <row r="229" spans="2:22" ht="12.75">
      <c r="B229" s="16"/>
      <c r="C229" s="24">
        <v>9</v>
      </c>
      <c r="D229" s="3"/>
      <c r="E229" s="3"/>
      <c r="F229" s="3"/>
      <c r="G229" s="3"/>
      <c r="H229" s="3"/>
      <c r="I229" s="4">
        <f t="shared" si="30"/>
        <v>0</v>
      </c>
      <c r="J229" s="54">
        <f t="shared" si="31"/>
        <v>0</v>
      </c>
      <c r="K229" s="2" t="s">
        <v>8</v>
      </c>
      <c r="L229" s="3" t="s">
        <v>8</v>
      </c>
      <c r="M229" s="3" t="s">
        <v>8</v>
      </c>
      <c r="N229" s="1" t="s">
        <v>8</v>
      </c>
      <c r="O229" s="3" t="s">
        <v>8</v>
      </c>
      <c r="P229" s="55"/>
      <c r="Q229" s="19"/>
      <c r="S229" s="22">
        <f t="shared" si="32"/>
        <v>0</v>
      </c>
      <c r="U229" s="22">
        <f t="shared" si="33"/>
        <v>0</v>
      </c>
      <c r="V229" s="22">
        <f t="shared" si="34"/>
        <v>0</v>
      </c>
    </row>
    <row r="230" spans="2:22" ht="12.75">
      <c r="B230" s="16"/>
      <c r="C230" s="25">
        <v>10</v>
      </c>
      <c r="D230" s="3"/>
      <c r="E230" s="3"/>
      <c r="F230" s="3"/>
      <c r="G230" s="3"/>
      <c r="H230" s="3"/>
      <c r="I230" s="4">
        <f t="shared" si="30"/>
        <v>0</v>
      </c>
      <c r="J230" s="54">
        <f t="shared" si="31"/>
        <v>0</v>
      </c>
      <c r="K230" s="2" t="s">
        <v>8</v>
      </c>
      <c r="L230" s="3" t="s">
        <v>8</v>
      </c>
      <c r="M230" s="3" t="s">
        <v>8</v>
      </c>
      <c r="N230" s="1" t="s">
        <v>8</v>
      </c>
      <c r="O230" s="3" t="s">
        <v>8</v>
      </c>
      <c r="P230" s="55"/>
      <c r="Q230" s="19"/>
      <c r="S230" s="22">
        <f t="shared" si="32"/>
        <v>0</v>
      </c>
      <c r="U230" s="22">
        <f t="shared" si="33"/>
        <v>0</v>
      </c>
      <c r="V230" s="22">
        <f t="shared" si="34"/>
        <v>0</v>
      </c>
    </row>
    <row r="231" spans="2:22" ht="12.75">
      <c r="B231" s="16"/>
      <c r="C231" s="25">
        <v>11</v>
      </c>
      <c r="D231" s="6"/>
      <c r="E231" s="7"/>
      <c r="F231" s="6"/>
      <c r="G231" s="7"/>
      <c r="H231" s="6"/>
      <c r="I231" s="4">
        <f t="shared" si="30"/>
        <v>0</v>
      </c>
      <c r="J231" s="54">
        <f t="shared" si="31"/>
        <v>0</v>
      </c>
      <c r="K231" s="2" t="s">
        <v>8</v>
      </c>
      <c r="L231" s="3" t="s">
        <v>8</v>
      </c>
      <c r="M231" s="3" t="s">
        <v>8</v>
      </c>
      <c r="N231" s="1" t="s">
        <v>8</v>
      </c>
      <c r="O231" s="3" t="s">
        <v>8</v>
      </c>
      <c r="P231" s="55"/>
      <c r="Q231" s="19"/>
      <c r="S231" s="22">
        <f t="shared" si="32"/>
        <v>0</v>
      </c>
      <c r="U231" s="22">
        <f t="shared" si="33"/>
        <v>0</v>
      </c>
      <c r="V231" s="22">
        <f t="shared" si="34"/>
        <v>0</v>
      </c>
    </row>
    <row r="232" spans="2:22" ht="12.75">
      <c r="B232" s="16"/>
      <c r="C232" s="25">
        <v>12</v>
      </c>
      <c r="D232" s="6"/>
      <c r="E232" s="7"/>
      <c r="F232" s="6"/>
      <c r="G232" s="7"/>
      <c r="H232" s="6"/>
      <c r="I232" s="26">
        <f t="shared" si="30"/>
        <v>0</v>
      </c>
      <c r="J232" s="54">
        <f t="shared" si="31"/>
        <v>0</v>
      </c>
      <c r="K232" s="2" t="s">
        <v>8</v>
      </c>
      <c r="L232" s="3" t="s">
        <v>8</v>
      </c>
      <c r="M232" s="3" t="s">
        <v>8</v>
      </c>
      <c r="N232" s="1" t="s">
        <v>8</v>
      </c>
      <c r="O232" s="3" t="s">
        <v>8</v>
      </c>
      <c r="P232" s="55"/>
      <c r="Q232" s="19"/>
      <c r="S232" s="22">
        <f t="shared" si="32"/>
        <v>0</v>
      </c>
      <c r="U232" s="22">
        <f t="shared" si="33"/>
        <v>0</v>
      </c>
      <c r="V232" s="22">
        <f t="shared" si="34"/>
        <v>0</v>
      </c>
    </row>
    <row r="233" spans="2:22" ht="12.75">
      <c r="B233" s="16"/>
      <c r="C233" s="27"/>
      <c r="D233" s="28"/>
      <c r="E233" s="28"/>
      <c r="F233" s="28"/>
      <c r="G233" s="28"/>
      <c r="H233" s="28"/>
      <c r="I233" s="29" t="s">
        <v>83</v>
      </c>
      <c r="J233" s="102">
        <f>ROUND(SUMPRODUCT(J221:J232,S221:S232,(1-P221:P232)),4)</f>
        <v>0</v>
      </c>
      <c r="K233" s="18"/>
      <c r="L233" s="18"/>
      <c r="M233" s="18"/>
      <c r="N233" s="18"/>
      <c r="O233" s="18"/>
      <c r="P233" s="18"/>
      <c r="Q233" s="19"/>
      <c r="U233" s="22">
        <f>SUM(U221:U232)</f>
        <v>0</v>
      </c>
      <c r="V233" s="22">
        <f>ROUND(SUM(V221:V232),4)</f>
        <v>0</v>
      </c>
    </row>
    <row r="234" spans="2:17" ht="12.75">
      <c r="B234" s="16"/>
      <c r="C234" s="30"/>
      <c r="D234" s="31"/>
      <c r="E234" s="31"/>
      <c r="F234" s="31"/>
      <c r="G234" s="31"/>
      <c r="H234" s="31"/>
      <c r="I234" s="32" t="s">
        <v>3</v>
      </c>
      <c r="J234" s="102">
        <f>ROUND(SUMPRODUCT(J221:J232,(1-P221:P232)),4)</f>
        <v>0</v>
      </c>
      <c r="K234" s="18"/>
      <c r="L234" s="18"/>
      <c r="M234" s="18"/>
      <c r="N234" s="18"/>
      <c r="O234" s="18"/>
      <c r="P234" s="18"/>
      <c r="Q234" s="19"/>
    </row>
    <row r="235" spans="2:17" ht="12.75">
      <c r="B235" s="16"/>
      <c r="C235" s="18"/>
      <c r="D235" s="18"/>
      <c r="E235" s="18"/>
      <c r="F235" s="18"/>
      <c r="G235" s="18"/>
      <c r="H235" s="18"/>
      <c r="I235" s="33"/>
      <c r="K235" s="18"/>
      <c r="L235" s="18"/>
      <c r="M235" s="18"/>
      <c r="N235" s="18"/>
      <c r="O235" s="18"/>
      <c r="P235" s="18"/>
      <c r="Q235" s="19"/>
    </row>
    <row r="236" spans="2:17" ht="12.75">
      <c r="B236" s="16"/>
      <c r="C236" s="18"/>
      <c r="D236" s="18"/>
      <c r="E236" s="18"/>
      <c r="F236" s="18"/>
      <c r="G236" s="18"/>
      <c r="H236" s="18"/>
      <c r="I236" s="18"/>
      <c r="J236" s="18"/>
      <c r="K236" s="18"/>
      <c r="N236" s="18"/>
      <c r="O236" s="18"/>
      <c r="P236" s="18"/>
      <c r="Q236" s="19"/>
    </row>
    <row r="237" spans="2:17" ht="12.75">
      <c r="B237" s="16"/>
      <c r="C237" s="17" t="s">
        <v>72</v>
      </c>
      <c r="D237" s="18"/>
      <c r="E237" s="18"/>
      <c r="F237" s="18"/>
      <c r="G237" s="18"/>
      <c r="H237" s="18"/>
      <c r="I237" s="18"/>
      <c r="J237" s="18"/>
      <c r="K237" s="18"/>
      <c r="L237" s="17" t="s">
        <v>24</v>
      </c>
      <c r="Q237" s="19"/>
    </row>
    <row r="238" spans="2:17" ht="51">
      <c r="B238" s="16"/>
      <c r="C238" s="24"/>
      <c r="D238" s="24" t="s">
        <v>87</v>
      </c>
      <c r="E238" s="4" t="s">
        <v>25</v>
      </c>
      <c r="F238" s="4" t="s">
        <v>17</v>
      </c>
      <c r="G238" s="4" t="s">
        <v>26</v>
      </c>
      <c r="H238" s="4" t="s">
        <v>18</v>
      </c>
      <c r="I238" s="4" t="s">
        <v>34</v>
      </c>
      <c r="J238" s="4" t="s">
        <v>35</v>
      </c>
      <c r="K238" s="18"/>
      <c r="L238" s="120"/>
      <c r="M238" s="121"/>
      <c r="N238" s="121"/>
      <c r="O238" s="121"/>
      <c r="P238" s="122"/>
      <c r="Q238" s="19"/>
    </row>
    <row r="239" spans="2:17" ht="12.75">
      <c r="B239" s="16"/>
      <c r="C239" s="24">
        <v>1</v>
      </c>
      <c r="D239" s="3"/>
      <c r="E239" s="3"/>
      <c r="F239" s="3"/>
      <c r="G239" s="3"/>
      <c r="H239" s="3"/>
      <c r="I239" s="4">
        <f>E239*G239</f>
        <v>0</v>
      </c>
      <c r="J239" s="54">
        <f>IF($I$243=0,0,I239/$I$243)</f>
        <v>0</v>
      </c>
      <c r="K239" s="18"/>
      <c r="L239" s="123"/>
      <c r="M239" s="124"/>
      <c r="N239" s="124"/>
      <c r="O239" s="124"/>
      <c r="P239" s="125"/>
      <c r="Q239" s="19"/>
    </row>
    <row r="240" spans="2:17" ht="12.75">
      <c r="B240" s="16"/>
      <c r="C240" s="24">
        <v>2</v>
      </c>
      <c r="D240" s="3"/>
      <c r="E240" s="3"/>
      <c r="F240" s="3"/>
      <c r="G240" s="3"/>
      <c r="H240" s="3"/>
      <c r="I240" s="4">
        <f>E240*G240</f>
        <v>0</v>
      </c>
      <c r="J240" s="54">
        <f>IF($I$243=0,0,I240/$I$243)</f>
        <v>0</v>
      </c>
      <c r="K240" s="18"/>
      <c r="L240" s="123"/>
      <c r="M240" s="124"/>
      <c r="N240" s="124"/>
      <c r="O240" s="124"/>
      <c r="P240" s="125"/>
      <c r="Q240" s="19"/>
    </row>
    <row r="241" spans="2:17" ht="12.75">
      <c r="B241" s="16"/>
      <c r="C241" s="24">
        <v>3</v>
      </c>
      <c r="D241" s="3"/>
      <c r="E241" s="3"/>
      <c r="F241" s="3"/>
      <c r="G241" s="3"/>
      <c r="H241" s="3"/>
      <c r="I241" s="4">
        <f>E241*G241</f>
        <v>0</v>
      </c>
      <c r="J241" s="54">
        <f>IF($I$243=0,0,I241/$I$243)</f>
        <v>0</v>
      </c>
      <c r="K241" s="18"/>
      <c r="L241" s="123"/>
      <c r="M241" s="124"/>
      <c r="N241" s="124"/>
      <c r="O241" s="124"/>
      <c r="P241" s="125"/>
      <c r="Q241" s="19"/>
    </row>
    <row r="242" spans="2:17" ht="12.75">
      <c r="B242" s="16"/>
      <c r="C242" s="25">
        <v>4</v>
      </c>
      <c r="D242" s="3"/>
      <c r="E242" s="3"/>
      <c r="F242" s="3"/>
      <c r="G242" s="3"/>
      <c r="H242" s="3"/>
      <c r="I242" s="4">
        <f>E242*G242</f>
        <v>0</v>
      </c>
      <c r="J242" s="54">
        <f>IF($I$243=0,0,I242/$I$243)</f>
        <v>0</v>
      </c>
      <c r="K242" s="18"/>
      <c r="L242" s="123"/>
      <c r="M242" s="124"/>
      <c r="N242" s="124"/>
      <c r="O242" s="124"/>
      <c r="P242" s="125"/>
      <c r="Q242" s="19"/>
    </row>
    <row r="243" spans="2:17" ht="12.75">
      <c r="B243" s="16"/>
      <c r="C243" s="34"/>
      <c r="D243" s="35"/>
      <c r="E243" s="36"/>
      <c r="F243" s="36"/>
      <c r="G243" s="36"/>
      <c r="H243" s="37" t="s">
        <v>73</v>
      </c>
      <c r="I243" s="8">
        <f>SUM(I239:I242,I221:I232)</f>
        <v>0</v>
      </c>
      <c r="J243" s="9">
        <f>SUM(J239:J242)</f>
        <v>0</v>
      </c>
      <c r="K243" s="18"/>
      <c r="L243" s="123"/>
      <c r="M243" s="124"/>
      <c r="N243" s="124"/>
      <c r="O243" s="124"/>
      <c r="P243" s="125"/>
      <c r="Q243" s="19"/>
    </row>
    <row r="244" spans="2:17" ht="12.75">
      <c r="B244" s="16"/>
      <c r="C244" s="18"/>
      <c r="D244" s="18"/>
      <c r="E244" s="18"/>
      <c r="F244" s="18"/>
      <c r="G244" s="18"/>
      <c r="H244" s="18"/>
      <c r="I244" s="18"/>
      <c r="J244" s="18"/>
      <c r="K244" s="18"/>
      <c r="L244" s="123"/>
      <c r="M244" s="124"/>
      <c r="N244" s="124"/>
      <c r="O244" s="124"/>
      <c r="P244" s="125"/>
      <c r="Q244" s="19"/>
    </row>
    <row r="245" spans="2:17" ht="12.75">
      <c r="B245" s="16"/>
      <c r="C245" s="18"/>
      <c r="D245" s="18"/>
      <c r="E245" s="18"/>
      <c r="F245" s="18"/>
      <c r="G245" s="18"/>
      <c r="H245" s="18"/>
      <c r="I245" s="18"/>
      <c r="J245" s="18"/>
      <c r="K245" s="18"/>
      <c r="L245" s="123"/>
      <c r="M245" s="124"/>
      <c r="N245" s="124"/>
      <c r="O245" s="124"/>
      <c r="P245" s="125"/>
      <c r="Q245" s="19"/>
    </row>
    <row r="246" spans="2:17" ht="12.75">
      <c r="B246" s="16"/>
      <c r="C246" s="17" t="s">
        <v>89</v>
      </c>
      <c r="D246" s="18"/>
      <c r="E246" s="18"/>
      <c r="F246" s="18"/>
      <c r="G246" s="18"/>
      <c r="H246" s="18"/>
      <c r="J246" s="10" t="s">
        <v>8</v>
      </c>
      <c r="K246" s="18"/>
      <c r="L246" s="123"/>
      <c r="M246" s="124"/>
      <c r="N246" s="124"/>
      <c r="O246" s="124"/>
      <c r="P246" s="125"/>
      <c r="Q246" s="19"/>
    </row>
    <row r="247" spans="2:17" ht="12.75">
      <c r="B247" s="16"/>
      <c r="C247" s="17" t="s">
        <v>74</v>
      </c>
      <c r="E247" s="18"/>
      <c r="F247" s="18"/>
      <c r="G247" s="18"/>
      <c r="H247" s="18"/>
      <c r="I247" s="18"/>
      <c r="J247" s="10" t="s">
        <v>8</v>
      </c>
      <c r="K247" s="18"/>
      <c r="L247" s="126"/>
      <c r="M247" s="127"/>
      <c r="N247" s="127"/>
      <c r="O247" s="127"/>
      <c r="P247" s="128"/>
      <c r="Q247" s="19"/>
    </row>
    <row r="248" spans="2:17" ht="12.75">
      <c r="B248" s="16"/>
      <c r="C248" s="18"/>
      <c r="D248" s="18"/>
      <c r="E248" s="18"/>
      <c r="F248" s="18"/>
      <c r="G248" s="18"/>
      <c r="H248" s="18"/>
      <c r="I248" s="18"/>
      <c r="J248" s="18"/>
      <c r="K248" s="18"/>
      <c r="L248" s="18"/>
      <c r="M248" s="18"/>
      <c r="N248" s="18"/>
      <c r="O248" s="18"/>
      <c r="P248" s="18"/>
      <c r="Q248" s="19"/>
    </row>
    <row r="249" spans="2:17" ht="13.5" thickBot="1">
      <c r="B249" s="38"/>
      <c r="C249" s="39"/>
      <c r="D249" s="39"/>
      <c r="E249" s="39"/>
      <c r="F249" s="39"/>
      <c r="G249" s="39"/>
      <c r="H249" s="39"/>
      <c r="I249" s="39"/>
      <c r="J249" s="39"/>
      <c r="K249" s="39"/>
      <c r="L249" s="39"/>
      <c r="M249" s="39"/>
      <c r="N249" s="39"/>
      <c r="O249" s="39"/>
      <c r="P249" s="39"/>
      <c r="Q249" s="40"/>
    </row>
    <row r="250" ht="12.75"/>
    <row r="251" spans="2:11" ht="12.75">
      <c r="B251" s="63"/>
      <c r="G251" s="100" t="s">
        <v>15</v>
      </c>
      <c r="H251" s="114">
        <f>IF(ISBLANK(Generator_Info!B23),"",Generator_Info!B23)</f>
      </c>
      <c r="I251" s="119"/>
      <c r="J251" s="119"/>
      <c r="K251" s="115"/>
    </row>
    <row r="252" ht="13.5" thickBot="1"/>
    <row r="253" spans="2:17" ht="12.75">
      <c r="B253" s="13"/>
      <c r="C253" s="14"/>
      <c r="D253" s="14"/>
      <c r="E253" s="14"/>
      <c r="F253" s="14"/>
      <c r="G253" s="14"/>
      <c r="H253" s="14"/>
      <c r="I253" s="14"/>
      <c r="J253" s="14"/>
      <c r="K253" s="14"/>
      <c r="L253" s="14"/>
      <c r="M253" s="14"/>
      <c r="N253" s="14"/>
      <c r="O253" s="14"/>
      <c r="P253" s="14"/>
      <c r="Q253" s="15"/>
    </row>
    <row r="254" spans="2:17" ht="12.75">
      <c r="B254" s="16"/>
      <c r="C254" s="17" t="s">
        <v>71</v>
      </c>
      <c r="D254" s="18"/>
      <c r="E254" s="18"/>
      <c r="F254" s="18"/>
      <c r="G254" s="18"/>
      <c r="H254" s="18"/>
      <c r="I254" s="18"/>
      <c r="J254" s="18"/>
      <c r="K254" s="18"/>
      <c r="L254" s="18"/>
      <c r="M254" s="18"/>
      <c r="N254" s="18"/>
      <c r="O254" s="18"/>
      <c r="P254" s="18"/>
      <c r="Q254" s="19"/>
    </row>
    <row r="255" spans="2:22" ht="89.25">
      <c r="B255" s="20"/>
      <c r="C255" s="4"/>
      <c r="D255" s="4" t="s">
        <v>16</v>
      </c>
      <c r="E255" s="4" t="s">
        <v>25</v>
      </c>
      <c r="F255" s="4" t="s">
        <v>17</v>
      </c>
      <c r="G255" s="4" t="s">
        <v>26</v>
      </c>
      <c r="H255" s="4" t="s">
        <v>18</v>
      </c>
      <c r="I255" s="4" t="s">
        <v>34</v>
      </c>
      <c r="J255" s="4" t="s">
        <v>35</v>
      </c>
      <c r="K255" s="4" t="s">
        <v>78</v>
      </c>
      <c r="L255" s="4" t="s">
        <v>19</v>
      </c>
      <c r="M255" s="4" t="s">
        <v>20</v>
      </c>
      <c r="N255" s="4" t="s">
        <v>21</v>
      </c>
      <c r="O255" s="4" t="s">
        <v>22</v>
      </c>
      <c r="P255" s="4" t="s">
        <v>23</v>
      </c>
      <c r="Q255" s="21"/>
      <c r="S255" s="22" t="s">
        <v>79</v>
      </c>
      <c r="T255" s="23"/>
      <c r="U255" s="23" t="s">
        <v>80</v>
      </c>
      <c r="V255" s="23" t="s">
        <v>145</v>
      </c>
    </row>
    <row r="256" spans="2:22" ht="12.75">
      <c r="B256" s="16"/>
      <c r="C256" s="24">
        <v>1</v>
      </c>
      <c r="D256" s="3"/>
      <c r="E256" s="3"/>
      <c r="F256" s="3"/>
      <c r="G256" s="3"/>
      <c r="H256" s="3"/>
      <c r="I256" s="4">
        <f aca="true" t="shared" si="35" ref="I256:I267">E256*G256</f>
        <v>0</v>
      </c>
      <c r="J256" s="54">
        <f>IF($I$278=0,0,I256/$I$278)</f>
        <v>0</v>
      </c>
      <c r="K256" s="2" t="s">
        <v>8</v>
      </c>
      <c r="L256" s="3" t="s">
        <v>8</v>
      </c>
      <c r="M256" s="3" t="s">
        <v>8</v>
      </c>
      <c r="N256" s="1" t="s">
        <v>8</v>
      </c>
      <c r="O256" s="3" t="s">
        <v>8</v>
      </c>
      <c r="P256" s="55"/>
      <c r="Q256" s="19"/>
      <c r="S256" s="22">
        <f>IF(K256="yes",1,0)</f>
        <v>0</v>
      </c>
      <c r="U256" s="22">
        <f>IF(P256&lt;=0.02,0,1)</f>
        <v>0</v>
      </c>
      <c r="V256" s="22">
        <f>IF(U256=0,J256,J256*(1-P256))</f>
        <v>0</v>
      </c>
    </row>
    <row r="257" spans="2:22" ht="12.75">
      <c r="B257" s="16"/>
      <c r="C257" s="24">
        <v>2</v>
      </c>
      <c r="D257" s="3"/>
      <c r="E257" s="3"/>
      <c r="F257" s="3"/>
      <c r="G257" s="3"/>
      <c r="H257" s="3"/>
      <c r="I257" s="4">
        <f t="shared" si="35"/>
        <v>0</v>
      </c>
      <c r="J257" s="54">
        <f aca="true" t="shared" si="36" ref="J257:J267">IF($I$278=0,0,I257/$I$278)</f>
        <v>0</v>
      </c>
      <c r="K257" s="2" t="s">
        <v>8</v>
      </c>
      <c r="L257" s="3" t="s">
        <v>8</v>
      </c>
      <c r="M257" s="3" t="s">
        <v>8</v>
      </c>
      <c r="N257" s="1" t="s">
        <v>8</v>
      </c>
      <c r="O257" s="3" t="s">
        <v>8</v>
      </c>
      <c r="P257" s="55"/>
      <c r="Q257" s="19"/>
      <c r="S257" s="22">
        <f aca="true" t="shared" si="37" ref="S257:S267">IF(K257="yes",1,0)</f>
        <v>0</v>
      </c>
      <c r="U257" s="22">
        <f aca="true" t="shared" si="38" ref="U257:U267">IF(P257&lt;=0.02,0,1)</f>
        <v>0</v>
      </c>
      <c r="V257" s="22">
        <f aca="true" t="shared" si="39" ref="V257:V267">IF(U257=0,J257,J257*(1-P257))</f>
        <v>0</v>
      </c>
    </row>
    <row r="258" spans="2:22" ht="12.75">
      <c r="B258" s="16"/>
      <c r="C258" s="24">
        <v>3</v>
      </c>
      <c r="D258" s="3"/>
      <c r="E258" s="3"/>
      <c r="F258" s="3"/>
      <c r="G258" s="3"/>
      <c r="H258" s="3"/>
      <c r="I258" s="4">
        <f t="shared" si="35"/>
        <v>0</v>
      </c>
      <c r="J258" s="54">
        <f t="shared" si="36"/>
        <v>0</v>
      </c>
      <c r="K258" s="2" t="s">
        <v>8</v>
      </c>
      <c r="L258" s="3" t="s">
        <v>8</v>
      </c>
      <c r="M258" s="3" t="s">
        <v>8</v>
      </c>
      <c r="N258" s="1" t="s">
        <v>8</v>
      </c>
      <c r="O258" s="3" t="s">
        <v>8</v>
      </c>
      <c r="P258" s="55"/>
      <c r="Q258" s="19"/>
      <c r="S258" s="22">
        <f t="shared" si="37"/>
        <v>0</v>
      </c>
      <c r="U258" s="22">
        <f t="shared" si="38"/>
        <v>0</v>
      </c>
      <c r="V258" s="22">
        <f t="shared" si="39"/>
        <v>0</v>
      </c>
    </row>
    <row r="259" spans="2:22" ht="12.75">
      <c r="B259" s="16"/>
      <c r="C259" s="24">
        <v>4</v>
      </c>
      <c r="D259" s="3"/>
      <c r="E259" s="3"/>
      <c r="F259" s="3"/>
      <c r="G259" s="3"/>
      <c r="H259" s="3"/>
      <c r="I259" s="4">
        <f t="shared" si="35"/>
        <v>0</v>
      </c>
      <c r="J259" s="54">
        <f t="shared" si="36"/>
        <v>0</v>
      </c>
      <c r="K259" s="2" t="s">
        <v>8</v>
      </c>
      <c r="L259" s="3" t="s">
        <v>8</v>
      </c>
      <c r="M259" s="3" t="s">
        <v>8</v>
      </c>
      <c r="N259" s="1" t="s">
        <v>8</v>
      </c>
      <c r="O259" s="3" t="s">
        <v>8</v>
      </c>
      <c r="P259" s="55"/>
      <c r="Q259" s="19"/>
      <c r="S259" s="22">
        <f t="shared" si="37"/>
        <v>0</v>
      </c>
      <c r="U259" s="22">
        <f t="shared" si="38"/>
        <v>0</v>
      </c>
      <c r="V259" s="22">
        <f t="shared" si="39"/>
        <v>0</v>
      </c>
    </row>
    <row r="260" spans="2:22" ht="12.75">
      <c r="B260" s="16"/>
      <c r="C260" s="24">
        <v>5</v>
      </c>
      <c r="D260" s="3"/>
      <c r="E260" s="3"/>
      <c r="F260" s="3"/>
      <c r="G260" s="3"/>
      <c r="H260" s="3"/>
      <c r="I260" s="4">
        <f t="shared" si="35"/>
        <v>0</v>
      </c>
      <c r="J260" s="54">
        <f t="shared" si="36"/>
        <v>0</v>
      </c>
      <c r="K260" s="2" t="s">
        <v>8</v>
      </c>
      <c r="L260" s="3" t="s">
        <v>8</v>
      </c>
      <c r="M260" s="3" t="s">
        <v>8</v>
      </c>
      <c r="N260" s="1" t="s">
        <v>8</v>
      </c>
      <c r="O260" s="3" t="s">
        <v>8</v>
      </c>
      <c r="P260" s="55"/>
      <c r="Q260" s="19"/>
      <c r="S260" s="22">
        <f t="shared" si="37"/>
        <v>0</v>
      </c>
      <c r="U260" s="22">
        <f t="shared" si="38"/>
        <v>0</v>
      </c>
      <c r="V260" s="22">
        <f t="shared" si="39"/>
        <v>0</v>
      </c>
    </row>
    <row r="261" spans="2:22" ht="12.75">
      <c r="B261" s="16"/>
      <c r="C261" s="24">
        <v>6</v>
      </c>
      <c r="D261" s="3"/>
      <c r="E261" s="3"/>
      <c r="F261" s="3"/>
      <c r="G261" s="3"/>
      <c r="H261" s="3"/>
      <c r="I261" s="4">
        <f t="shared" si="35"/>
        <v>0</v>
      </c>
      <c r="J261" s="54">
        <f t="shared" si="36"/>
        <v>0</v>
      </c>
      <c r="K261" s="2" t="s">
        <v>8</v>
      </c>
      <c r="L261" s="3" t="s">
        <v>8</v>
      </c>
      <c r="M261" s="3" t="s">
        <v>8</v>
      </c>
      <c r="N261" s="1" t="s">
        <v>8</v>
      </c>
      <c r="O261" s="3" t="s">
        <v>8</v>
      </c>
      <c r="P261" s="55"/>
      <c r="Q261" s="19"/>
      <c r="S261" s="22">
        <f t="shared" si="37"/>
        <v>0</v>
      </c>
      <c r="U261" s="22">
        <f t="shared" si="38"/>
        <v>0</v>
      </c>
      <c r="V261" s="22">
        <f t="shared" si="39"/>
        <v>0</v>
      </c>
    </row>
    <row r="262" spans="2:22" ht="12.75">
      <c r="B262" s="16"/>
      <c r="C262" s="24">
        <v>7</v>
      </c>
      <c r="D262" s="3"/>
      <c r="E262" s="3"/>
      <c r="F262" s="3"/>
      <c r="G262" s="3"/>
      <c r="H262" s="3"/>
      <c r="I262" s="4">
        <f t="shared" si="35"/>
        <v>0</v>
      </c>
      <c r="J262" s="54">
        <f t="shared" si="36"/>
        <v>0</v>
      </c>
      <c r="K262" s="2" t="s">
        <v>8</v>
      </c>
      <c r="L262" s="3" t="s">
        <v>8</v>
      </c>
      <c r="M262" s="3" t="s">
        <v>8</v>
      </c>
      <c r="N262" s="1" t="s">
        <v>8</v>
      </c>
      <c r="O262" s="3" t="s">
        <v>8</v>
      </c>
      <c r="P262" s="55"/>
      <c r="Q262" s="19"/>
      <c r="S262" s="22">
        <f t="shared" si="37"/>
        <v>0</v>
      </c>
      <c r="U262" s="22">
        <f t="shared" si="38"/>
        <v>0</v>
      </c>
      <c r="V262" s="22">
        <f t="shared" si="39"/>
        <v>0</v>
      </c>
    </row>
    <row r="263" spans="2:22" ht="12.75">
      <c r="B263" s="16"/>
      <c r="C263" s="24">
        <v>8</v>
      </c>
      <c r="D263" s="3"/>
      <c r="E263" s="3"/>
      <c r="F263" s="3"/>
      <c r="G263" s="3"/>
      <c r="H263" s="3"/>
      <c r="I263" s="4">
        <f t="shared" si="35"/>
        <v>0</v>
      </c>
      <c r="J263" s="54">
        <f t="shared" si="36"/>
        <v>0</v>
      </c>
      <c r="K263" s="2" t="s">
        <v>8</v>
      </c>
      <c r="L263" s="3" t="s">
        <v>8</v>
      </c>
      <c r="M263" s="3" t="s">
        <v>8</v>
      </c>
      <c r="N263" s="1" t="s">
        <v>8</v>
      </c>
      <c r="O263" s="3" t="s">
        <v>8</v>
      </c>
      <c r="P263" s="55"/>
      <c r="Q263" s="19"/>
      <c r="S263" s="22">
        <f t="shared" si="37"/>
        <v>0</v>
      </c>
      <c r="U263" s="22">
        <f t="shared" si="38"/>
        <v>0</v>
      </c>
      <c r="V263" s="22">
        <f t="shared" si="39"/>
        <v>0</v>
      </c>
    </row>
    <row r="264" spans="2:22" ht="12.75">
      <c r="B264" s="16"/>
      <c r="C264" s="24">
        <v>9</v>
      </c>
      <c r="D264" s="3"/>
      <c r="E264" s="3"/>
      <c r="F264" s="3"/>
      <c r="G264" s="3"/>
      <c r="H264" s="3"/>
      <c r="I264" s="4">
        <f t="shared" si="35"/>
        <v>0</v>
      </c>
      <c r="J264" s="54">
        <f t="shared" si="36"/>
        <v>0</v>
      </c>
      <c r="K264" s="2" t="s">
        <v>8</v>
      </c>
      <c r="L264" s="3" t="s">
        <v>8</v>
      </c>
      <c r="M264" s="3" t="s">
        <v>8</v>
      </c>
      <c r="N264" s="1" t="s">
        <v>8</v>
      </c>
      <c r="O264" s="3" t="s">
        <v>8</v>
      </c>
      <c r="P264" s="55"/>
      <c r="Q264" s="19"/>
      <c r="S264" s="22">
        <f t="shared" si="37"/>
        <v>0</v>
      </c>
      <c r="U264" s="22">
        <f t="shared" si="38"/>
        <v>0</v>
      </c>
      <c r="V264" s="22">
        <f t="shared" si="39"/>
        <v>0</v>
      </c>
    </row>
    <row r="265" spans="2:22" ht="12.75">
      <c r="B265" s="16"/>
      <c r="C265" s="25">
        <v>10</v>
      </c>
      <c r="D265" s="3"/>
      <c r="E265" s="3"/>
      <c r="F265" s="3"/>
      <c r="G265" s="3"/>
      <c r="H265" s="3"/>
      <c r="I265" s="4">
        <f t="shared" si="35"/>
        <v>0</v>
      </c>
      <c r="J265" s="54">
        <f t="shared" si="36"/>
        <v>0</v>
      </c>
      <c r="K265" s="2" t="s">
        <v>8</v>
      </c>
      <c r="L265" s="3" t="s">
        <v>8</v>
      </c>
      <c r="M265" s="3" t="s">
        <v>8</v>
      </c>
      <c r="N265" s="1" t="s">
        <v>8</v>
      </c>
      <c r="O265" s="3" t="s">
        <v>8</v>
      </c>
      <c r="P265" s="55"/>
      <c r="Q265" s="19"/>
      <c r="S265" s="22">
        <f t="shared" si="37"/>
        <v>0</v>
      </c>
      <c r="U265" s="22">
        <f t="shared" si="38"/>
        <v>0</v>
      </c>
      <c r="V265" s="22">
        <f t="shared" si="39"/>
        <v>0</v>
      </c>
    </row>
    <row r="266" spans="2:22" ht="12.75">
      <c r="B266" s="16"/>
      <c r="C266" s="25">
        <v>11</v>
      </c>
      <c r="D266" s="6"/>
      <c r="E266" s="7"/>
      <c r="F266" s="6"/>
      <c r="G266" s="7"/>
      <c r="H266" s="6"/>
      <c r="I266" s="4">
        <f t="shared" si="35"/>
        <v>0</v>
      </c>
      <c r="J266" s="54">
        <f t="shared" si="36"/>
        <v>0</v>
      </c>
      <c r="K266" s="2" t="s">
        <v>8</v>
      </c>
      <c r="L266" s="3" t="s">
        <v>8</v>
      </c>
      <c r="M266" s="3" t="s">
        <v>8</v>
      </c>
      <c r="N266" s="1" t="s">
        <v>8</v>
      </c>
      <c r="O266" s="3" t="s">
        <v>8</v>
      </c>
      <c r="P266" s="55"/>
      <c r="Q266" s="19"/>
      <c r="S266" s="22">
        <f t="shared" si="37"/>
        <v>0</v>
      </c>
      <c r="U266" s="22">
        <f t="shared" si="38"/>
        <v>0</v>
      </c>
      <c r="V266" s="22">
        <f t="shared" si="39"/>
        <v>0</v>
      </c>
    </row>
    <row r="267" spans="2:22" ht="12.75">
      <c r="B267" s="16"/>
      <c r="C267" s="25">
        <v>12</v>
      </c>
      <c r="D267" s="6"/>
      <c r="E267" s="7"/>
      <c r="F267" s="6"/>
      <c r="G267" s="7"/>
      <c r="H267" s="6"/>
      <c r="I267" s="26">
        <f t="shared" si="35"/>
        <v>0</v>
      </c>
      <c r="J267" s="54">
        <f t="shared" si="36"/>
        <v>0</v>
      </c>
      <c r="K267" s="2" t="s">
        <v>8</v>
      </c>
      <c r="L267" s="3" t="s">
        <v>8</v>
      </c>
      <c r="M267" s="3" t="s">
        <v>8</v>
      </c>
      <c r="N267" s="1" t="s">
        <v>8</v>
      </c>
      <c r="O267" s="3" t="s">
        <v>8</v>
      </c>
      <c r="P267" s="55"/>
      <c r="Q267" s="19"/>
      <c r="S267" s="22">
        <f t="shared" si="37"/>
        <v>0</v>
      </c>
      <c r="U267" s="22">
        <f t="shared" si="38"/>
        <v>0</v>
      </c>
      <c r="V267" s="22">
        <f t="shared" si="39"/>
        <v>0</v>
      </c>
    </row>
    <row r="268" spans="2:22" ht="12.75">
      <c r="B268" s="16"/>
      <c r="C268" s="27"/>
      <c r="D268" s="28"/>
      <c r="E268" s="28"/>
      <c r="F268" s="28"/>
      <c r="G268" s="28"/>
      <c r="H268" s="28"/>
      <c r="I268" s="29" t="s">
        <v>83</v>
      </c>
      <c r="J268" s="102">
        <f>ROUND(SUMPRODUCT(J256:J267,S256:S267,(1-P256:P267)),4)</f>
        <v>0</v>
      </c>
      <c r="K268" s="18"/>
      <c r="L268" s="18"/>
      <c r="M268" s="18"/>
      <c r="N268" s="18"/>
      <c r="O268" s="18"/>
      <c r="P268" s="18"/>
      <c r="Q268" s="19"/>
      <c r="U268" s="22">
        <f>SUM(U256:U267)</f>
        <v>0</v>
      </c>
      <c r="V268" s="22">
        <f>ROUND(SUM(V256:V267),4)</f>
        <v>0</v>
      </c>
    </row>
    <row r="269" spans="2:17" ht="12.75">
      <c r="B269" s="16"/>
      <c r="C269" s="30"/>
      <c r="D269" s="31"/>
      <c r="E269" s="31"/>
      <c r="F269" s="31"/>
      <c r="G269" s="31"/>
      <c r="H269" s="31"/>
      <c r="I269" s="32" t="s">
        <v>3</v>
      </c>
      <c r="J269" s="102">
        <f>ROUND(SUMPRODUCT(J256:J267,(1-P256:P267)),4)</f>
        <v>0</v>
      </c>
      <c r="K269" s="18"/>
      <c r="L269" s="18"/>
      <c r="M269" s="18"/>
      <c r="N269" s="18"/>
      <c r="O269" s="18"/>
      <c r="P269" s="18"/>
      <c r="Q269" s="19"/>
    </row>
    <row r="270" spans="2:17" ht="12.75">
      <c r="B270" s="16"/>
      <c r="C270" s="18"/>
      <c r="D270" s="18"/>
      <c r="E270" s="18"/>
      <c r="F270" s="18"/>
      <c r="G270" s="18"/>
      <c r="H270" s="18"/>
      <c r="I270" s="33"/>
      <c r="K270" s="18"/>
      <c r="L270" s="18"/>
      <c r="M270" s="18"/>
      <c r="N270" s="18"/>
      <c r="O270" s="18"/>
      <c r="P270" s="18"/>
      <c r="Q270" s="19"/>
    </row>
    <row r="271" spans="2:17" ht="12.75">
      <c r="B271" s="16"/>
      <c r="C271" s="18"/>
      <c r="D271" s="18"/>
      <c r="E271" s="18"/>
      <c r="F271" s="18"/>
      <c r="G271" s="18"/>
      <c r="H271" s="18"/>
      <c r="I271" s="18"/>
      <c r="J271" s="18"/>
      <c r="K271" s="18"/>
      <c r="N271" s="18"/>
      <c r="O271" s="18"/>
      <c r="P271" s="18"/>
      <c r="Q271" s="19"/>
    </row>
    <row r="272" spans="2:17" ht="12.75">
      <c r="B272" s="16"/>
      <c r="C272" s="17" t="s">
        <v>72</v>
      </c>
      <c r="D272" s="18"/>
      <c r="E272" s="18"/>
      <c r="F272" s="18"/>
      <c r="G272" s="18"/>
      <c r="H272" s="18"/>
      <c r="I272" s="18"/>
      <c r="J272" s="18"/>
      <c r="K272" s="18"/>
      <c r="L272" s="17" t="s">
        <v>24</v>
      </c>
      <c r="Q272" s="19"/>
    </row>
    <row r="273" spans="2:17" ht="51">
      <c r="B273" s="16"/>
      <c r="C273" s="24"/>
      <c r="D273" s="24" t="s">
        <v>87</v>
      </c>
      <c r="E273" s="4" t="s">
        <v>25</v>
      </c>
      <c r="F273" s="4" t="s">
        <v>17</v>
      </c>
      <c r="G273" s="4" t="s">
        <v>26</v>
      </c>
      <c r="H273" s="4" t="s">
        <v>18</v>
      </c>
      <c r="I273" s="4" t="s">
        <v>34</v>
      </c>
      <c r="J273" s="4" t="s">
        <v>35</v>
      </c>
      <c r="K273" s="18"/>
      <c r="L273" s="120"/>
      <c r="M273" s="121"/>
      <c r="N273" s="121"/>
      <c r="O273" s="121"/>
      <c r="P273" s="122"/>
      <c r="Q273" s="19"/>
    </row>
    <row r="274" spans="2:17" ht="12.75">
      <c r="B274" s="16"/>
      <c r="C274" s="24">
        <v>1</v>
      </c>
      <c r="D274" s="3"/>
      <c r="E274" s="3"/>
      <c r="F274" s="3"/>
      <c r="G274" s="3"/>
      <c r="H274" s="3"/>
      <c r="I274" s="4">
        <f>E274*G274</f>
        <v>0</v>
      </c>
      <c r="J274" s="54">
        <f>IF($I$278=0,0,I274/$I$278)</f>
        <v>0</v>
      </c>
      <c r="K274" s="18"/>
      <c r="L274" s="123"/>
      <c r="M274" s="124"/>
      <c r="N274" s="124"/>
      <c r="O274" s="124"/>
      <c r="P274" s="125"/>
      <c r="Q274" s="19"/>
    </row>
    <row r="275" spans="2:17" ht="12.75">
      <c r="B275" s="16"/>
      <c r="C275" s="24">
        <v>2</v>
      </c>
      <c r="D275" s="3"/>
      <c r="E275" s="3"/>
      <c r="F275" s="3"/>
      <c r="G275" s="3"/>
      <c r="H275" s="3"/>
      <c r="I275" s="4">
        <f>E275*G275</f>
        <v>0</v>
      </c>
      <c r="J275" s="54">
        <f>IF($I$278=0,0,I275/$I$278)</f>
        <v>0</v>
      </c>
      <c r="K275" s="18"/>
      <c r="L275" s="123"/>
      <c r="M275" s="124"/>
      <c r="N275" s="124"/>
      <c r="O275" s="124"/>
      <c r="P275" s="125"/>
      <c r="Q275" s="19"/>
    </row>
    <row r="276" spans="2:17" ht="12.75">
      <c r="B276" s="16"/>
      <c r="C276" s="24">
        <v>3</v>
      </c>
      <c r="D276" s="3"/>
      <c r="E276" s="3"/>
      <c r="F276" s="3"/>
      <c r="G276" s="3"/>
      <c r="H276" s="3"/>
      <c r="I276" s="4">
        <f>E276*G276</f>
        <v>0</v>
      </c>
      <c r="J276" s="54">
        <f>IF($I$278=0,0,I276/$I$278)</f>
        <v>0</v>
      </c>
      <c r="K276" s="18"/>
      <c r="L276" s="123"/>
      <c r="M276" s="124"/>
      <c r="N276" s="124"/>
      <c r="O276" s="124"/>
      <c r="P276" s="125"/>
      <c r="Q276" s="19"/>
    </row>
    <row r="277" spans="2:17" ht="12.75">
      <c r="B277" s="16"/>
      <c r="C277" s="25">
        <v>4</v>
      </c>
      <c r="D277" s="3"/>
      <c r="E277" s="3"/>
      <c r="F277" s="3"/>
      <c r="G277" s="3"/>
      <c r="H277" s="3"/>
      <c r="I277" s="4">
        <f>E277*G277</f>
        <v>0</v>
      </c>
      <c r="J277" s="54">
        <f>IF($I$278=0,0,I277/$I$278)</f>
        <v>0</v>
      </c>
      <c r="K277" s="18"/>
      <c r="L277" s="123"/>
      <c r="M277" s="124"/>
      <c r="N277" s="124"/>
      <c r="O277" s="124"/>
      <c r="P277" s="125"/>
      <c r="Q277" s="19"/>
    </row>
    <row r="278" spans="2:17" ht="12.75">
      <c r="B278" s="16"/>
      <c r="C278" s="34"/>
      <c r="D278" s="35"/>
      <c r="E278" s="36"/>
      <c r="F278" s="36"/>
      <c r="G278" s="36"/>
      <c r="H278" s="37" t="s">
        <v>73</v>
      </c>
      <c r="I278" s="8">
        <f>SUM(I274:I277,I256:I267)</f>
        <v>0</v>
      </c>
      <c r="J278" s="9">
        <f>SUM(J274:J277)</f>
        <v>0</v>
      </c>
      <c r="K278" s="18"/>
      <c r="L278" s="123"/>
      <c r="M278" s="124"/>
      <c r="N278" s="124"/>
      <c r="O278" s="124"/>
      <c r="P278" s="125"/>
      <c r="Q278" s="19"/>
    </row>
    <row r="279" spans="2:17" ht="12.75">
      <c r="B279" s="16"/>
      <c r="C279" s="18"/>
      <c r="D279" s="18"/>
      <c r="E279" s="18"/>
      <c r="F279" s="18"/>
      <c r="G279" s="18"/>
      <c r="H279" s="18"/>
      <c r="I279" s="18"/>
      <c r="J279" s="18"/>
      <c r="K279" s="18"/>
      <c r="L279" s="123"/>
      <c r="M279" s="124"/>
      <c r="N279" s="124"/>
      <c r="O279" s="124"/>
      <c r="P279" s="125"/>
      <c r="Q279" s="19"/>
    </row>
    <row r="280" spans="2:17" ht="12.75">
      <c r="B280" s="16"/>
      <c r="C280" s="18"/>
      <c r="D280" s="18"/>
      <c r="E280" s="18"/>
      <c r="F280" s="18"/>
      <c r="G280" s="18"/>
      <c r="H280" s="18"/>
      <c r="I280" s="18"/>
      <c r="J280" s="18"/>
      <c r="K280" s="18"/>
      <c r="L280" s="123"/>
      <c r="M280" s="124"/>
      <c r="N280" s="124"/>
      <c r="O280" s="124"/>
      <c r="P280" s="125"/>
      <c r="Q280" s="19"/>
    </row>
    <row r="281" spans="2:17" ht="12.75">
      <c r="B281" s="16"/>
      <c r="C281" s="17" t="s">
        <v>89</v>
      </c>
      <c r="D281" s="18"/>
      <c r="E281" s="18"/>
      <c r="F281" s="18"/>
      <c r="G281" s="18"/>
      <c r="H281" s="18"/>
      <c r="J281" s="10" t="s">
        <v>8</v>
      </c>
      <c r="K281" s="18"/>
      <c r="L281" s="123"/>
      <c r="M281" s="124"/>
      <c r="N281" s="124"/>
      <c r="O281" s="124"/>
      <c r="P281" s="125"/>
      <c r="Q281" s="19"/>
    </row>
    <row r="282" spans="2:17" ht="12.75">
      <c r="B282" s="16"/>
      <c r="C282" s="17" t="s">
        <v>74</v>
      </c>
      <c r="E282" s="18"/>
      <c r="F282" s="18"/>
      <c r="G282" s="18"/>
      <c r="H282" s="18"/>
      <c r="I282" s="18"/>
      <c r="J282" s="10" t="s">
        <v>8</v>
      </c>
      <c r="K282" s="18"/>
      <c r="L282" s="126"/>
      <c r="M282" s="127"/>
      <c r="N282" s="127"/>
      <c r="O282" s="127"/>
      <c r="P282" s="128"/>
      <c r="Q282" s="19"/>
    </row>
    <row r="283" spans="2:17" ht="12.75">
      <c r="B283" s="16"/>
      <c r="C283" s="18"/>
      <c r="D283" s="18"/>
      <c r="E283" s="18"/>
      <c r="F283" s="18"/>
      <c r="G283" s="18"/>
      <c r="H283" s="18"/>
      <c r="I283" s="18"/>
      <c r="J283" s="18"/>
      <c r="K283" s="18"/>
      <c r="L283" s="18"/>
      <c r="M283" s="18"/>
      <c r="N283" s="18"/>
      <c r="O283" s="18"/>
      <c r="P283" s="18"/>
      <c r="Q283" s="19"/>
    </row>
    <row r="284" spans="2:17" ht="13.5" thickBot="1">
      <c r="B284" s="38"/>
      <c r="C284" s="39"/>
      <c r="D284" s="39"/>
      <c r="E284" s="39"/>
      <c r="F284" s="39"/>
      <c r="G284" s="39"/>
      <c r="H284" s="39"/>
      <c r="I284" s="39"/>
      <c r="J284" s="39"/>
      <c r="K284" s="39"/>
      <c r="L284" s="39"/>
      <c r="M284" s="39"/>
      <c r="N284" s="39"/>
      <c r="O284" s="39"/>
      <c r="P284" s="39"/>
      <c r="Q284" s="40"/>
    </row>
    <row r="285" ht="12.75"/>
    <row r="286" spans="2:11" ht="12.75">
      <c r="B286" s="63"/>
      <c r="G286" s="100" t="s">
        <v>15</v>
      </c>
      <c r="H286" s="114">
        <f>IF(ISBLANK(Generator_Info!B24),"",Generator_Info!B24)</f>
      </c>
      <c r="I286" s="119"/>
      <c r="J286" s="119"/>
      <c r="K286" s="115"/>
    </row>
    <row r="287" ht="13.5" thickBot="1"/>
    <row r="288" spans="2:17" ht="12.75">
      <c r="B288" s="13"/>
      <c r="C288" s="14"/>
      <c r="D288" s="14"/>
      <c r="E288" s="14"/>
      <c r="F288" s="14"/>
      <c r="G288" s="14"/>
      <c r="H288" s="14"/>
      <c r="I288" s="14"/>
      <c r="J288" s="14"/>
      <c r="K288" s="14"/>
      <c r="L288" s="14"/>
      <c r="M288" s="14"/>
      <c r="N288" s="14"/>
      <c r="O288" s="14"/>
      <c r="P288" s="14"/>
      <c r="Q288" s="15"/>
    </row>
    <row r="289" spans="2:17" ht="12.75">
      <c r="B289" s="16"/>
      <c r="C289" s="17" t="s">
        <v>71</v>
      </c>
      <c r="D289" s="18"/>
      <c r="E289" s="18"/>
      <c r="F289" s="18"/>
      <c r="G289" s="18"/>
      <c r="H289" s="18"/>
      <c r="I289" s="18"/>
      <c r="J289" s="18"/>
      <c r="K289" s="18"/>
      <c r="L289" s="18"/>
      <c r="M289" s="18"/>
      <c r="N289" s="18"/>
      <c r="O289" s="18"/>
      <c r="P289" s="18"/>
      <c r="Q289" s="19"/>
    </row>
    <row r="290" spans="2:22" ht="89.25">
      <c r="B290" s="20"/>
      <c r="C290" s="4"/>
      <c r="D290" s="4" t="s">
        <v>16</v>
      </c>
      <c r="E290" s="4" t="s">
        <v>25</v>
      </c>
      <c r="F290" s="4" t="s">
        <v>17</v>
      </c>
      <c r="G290" s="4" t="s">
        <v>26</v>
      </c>
      <c r="H290" s="4" t="s">
        <v>18</v>
      </c>
      <c r="I290" s="4" t="s">
        <v>34</v>
      </c>
      <c r="J290" s="4" t="s">
        <v>35</v>
      </c>
      <c r="K290" s="4" t="s">
        <v>78</v>
      </c>
      <c r="L290" s="4" t="s">
        <v>19</v>
      </c>
      <c r="M290" s="4" t="s">
        <v>20</v>
      </c>
      <c r="N290" s="4" t="s">
        <v>21</v>
      </c>
      <c r="O290" s="4" t="s">
        <v>22</v>
      </c>
      <c r="P290" s="4" t="s">
        <v>23</v>
      </c>
      <c r="Q290" s="21"/>
      <c r="S290" s="22" t="s">
        <v>79</v>
      </c>
      <c r="T290" s="23"/>
      <c r="U290" s="23" t="s">
        <v>80</v>
      </c>
      <c r="V290" s="23" t="s">
        <v>145</v>
      </c>
    </row>
    <row r="291" spans="2:22" ht="12.75">
      <c r="B291" s="16"/>
      <c r="C291" s="24">
        <v>1</v>
      </c>
      <c r="D291" s="3"/>
      <c r="E291" s="3"/>
      <c r="F291" s="3"/>
      <c r="G291" s="3"/>
      <c r="H291" s="3"/>
      <c r="I291" s="4">
        <f aca="true" t="shared" si="40" ref="I291:I302">E291*G291</f>
        <v>0</v>
      </c>
      <c r="J291" s="54">
        <f>IF($I$313=0,0,I291/$I$313)</f>
        <v>0</v>
      </c>
      <c r="K291" s="2" t="s">
        <v>8</v>
      </c>
      <c r="L291" s="3" t="s">
        <v>8</v>
      </c>
      <c r="M291" s="3" t="s">
        <v>8</v>
      </c>
      <c r="N291" s="1" t="s">
        <v>8</v>
      </c>
      <c r="O291" s="3" t="s">
        <v>8</v>
      </c>
      <c r="P291" s="55"/>
      <c r="Q291" s="19"/>
      <c r="S291" s="22">
        <f>IF(K291="yes",1,0)</f>
        <v>0</v>
      </c>
      <c r="U291" s="22">
        <f>IF(P291&lt;=0.02,0,1)</f>
        <v>0</v>
      </c>
      <c r="V291" s="22">
        <f>IF(U291=0,J291,J291*(1-P291))</f>
        <v>0</v>
      </c>
    </row>
    <row r="292" spans="2:22" ht="12.75">
      <c r="B292" s="16"/>
      <c r="C292" s="24">
        <v>2</v>
      </c>
      <c r="D292" s="3"/>
      <c r="E292" s="3"/>
      <c r="F292" s="3"/>
      <c r="G292" s="3"/>
      <c r="H292" s="3"/>
      <c r="I292" s="4">
        <f t="shared" si="40"/>
        <v>0</v>
      </c>
      <c r="J292" s="54">
        <f aca="true" t="shared" si="41" ref="J292:J302">IF($I$313=0,0,I292/$I$313)</f>
        <v>0</v>
      </c>
      <c r="K292" s="2" t="s">
        <v>8</v>
      </c>
      <c r="L292" s="3" t="s">
        <v>8</v>
      </c>
      <c r="M292" s="3" t="s">
        <v>8</v>
      </c>
      <c r="N292" s="1" t="s">
        <v>8</v>
      </c>
      <c r="O292" s="3" t="s">
        <v>8</v>
      </c>
      <c r="P292" s="55"/>
      <c r="Q292" s="19"/>
      <c r="S292" s="22">
        <f aca="true" t="shared" si="42" ref="S292:S302">IF(K292="yes",1,0)</f>
        <v>0</v>
      </c>
      <c r="U292" s="22">
        <f aca="true" t="shared" si="43" ref="U292:U302">IF(P292&lt;=0.02,0,1)</f>
        <v>0</v>
      </c>
      <c r="V292" s="22">
        <f aca="true" t="shared" si="44" ref="V292:V302">IF(U292=0,J292,J292*(1-P292))</f>
        <v>0</v>
      </c>
    </row>
    <row r="293" spans="2:22" ht="12.75">
      <c r="B293" s="16"/>
      <c r="C293" s="24">
        <v>3</v>
      </c>
      <c r="D293" s="3"/>
      <c r="E293" s="3"/>
      <c r="F293" s="3"/>
      <c r="G293" s="3"/>
      <c r="H293" s="3"/>
      <c r="I293" s="4">
        <f t="shared" si="40"/>
        <v>0</v>
      </c>
      <c r="J293" s="54">
        <f t="shared" si="41"/>
        <v>0</v>
      </c>
      <c r="K293" s="2" t="s">
        <v>8</v>
      </c>
      <c r="L293" s="3" t="s">
        <v>8</v>
      </c>
      <c r="M293" s="3" t="s">
        <v>8</v>
      </c>
      <c r="N293" s="1" t="s">
        <v>8</v>
      </c>
      <c r="O293" s="3" t="s">
        <v>8</v>
      </c>
      <c r="P293" s="55"/>
      <c r="Q293" s="19"/>
      <c r="S293" s="22">
        <f t="shared" si="42"/>
        <v>0</v>
      </c>
      <c r="U293" s="22">
        <f t="shared" si="43"/>
        <v>0</v>
      </c>
      <c r="V293" s="22">
        <f t="shared" si="44"/>
        <v>0</v>
      </c>
    </row>
    <row r="294" spans="2:22" ht="12.75">
      <c r="B294" s="16"/>
      <c r="C294" s="24">
        <v>4</v>
      </c>
      <c r="D294" s="3"/>
      <c r="E294" s="3"/>
      <c r="F294" s="3"/>
      <c r="G294" s="3"/>
      <c r="H294" s="3"/>
      <c r="I294" s="4">
        <f t="shared" si="40"/>
        <v>0</v>
      </c>
      <c r="J294" s="54">
        <f t="shared" si="41"/>
        <v>0</v>
      </c>
      <c r="K294" s="2" t="s">
        <v>8</v>
      </c>
      <c r="L294" s="3" t="s">
        <v>8</v>
      </c>
      <c r="M294" s="3" t="s">
        <v>8</v>
      </c>
      <c r="N294" s="1" t="s">
        <v>8</v>
      </c>
      <c r="O294" s="3" t="s">
        <v>8</v>
      </c>
      <c r="P294" s="55"/>
      <c r="Q294" s="19"/>
      <c r="S294" s="22">
        <f t="shared" si="42"/>
        <v>0</v>
      </c>
      <c r="U294" s="22">
        <f t="shared" si="43"/>
        <v>0</v>
      </c>
      <c r="V294" s="22">
        <f t="shared" si="44"/>
        <v>0</v>
      </c>
    </row>
    <row r="295" spans="2:22" ht="12.75">
      <c r="B295" s="16"/>
      <c r="C295" s="24">
        <v>5</v>
      </c>
      <c r="D295" s="3"/>
      <c r="E295" s="3"/>
      <c r="F295" s="3"/>
      <c r="G295" s="3"/>
      <c r="H295" s="3"/>
      <c r="I295" s="4">
        <f t="shared" si="40"/>
        <v>0</v>
      </c>
      <c r="J295" s="54">
        <f t="shared" si="41"/>
        <v>0</v>
      </c>
      <c r="K295" s="2" t="s">
        <v>8</v>
      </c>
      <c r="L295" s="3" t="s">
        <v>8</v>
      </c>
      <c r="M295" s="3" t="s">
        <v>8</v>
      </c>
      <c r="N295" s="1" t="s">
        <v>8</v>
      </c>
      <c r="O295" s="3" t="s">
        <v>8</v>
      </c>
      <c r="P295" s="55"/>
      <c r="Q295" s="19"/>
      <c r="S295" s="22">
        <f t="shared" si="42"/>
        <v>0</v>
      </c>
      <c r="U295" s="22">
        <f t="shared" si="43"/>
        <v>0</v>
      </c>
      <c r="V295" s="22">
        <f t="shared" si="44"/>
        <v>0</v>
      </c>
    </row>
    <row r="296" spans="2:22" ht="12.75">
      <c r="B296" s="16"/>
      <c r="C296" s="24">
        <v>6</v>
      </c>
      <c r="D296" s="3"/>
      <c r="E296" s="3"/>
      <c r="F296" s="3"/>
      <c r="G296" s="3"/>
      <c r="H296" s="3"/>
      <c r="I296" s="4">
        <f t="shared" si="40"/>
        <v>0</v>
      </c>
      <c r="J296" s="54">
        <f t="shared" si="41"/>
        <v>0</v>
      </c>
      <c r="K296" s="2" t="s">
        <v>8</v>
      </c>
      <c r="L296" s="3" t="s">
        <v>8</v>
      </c>
      <c r="M296" s="3" t="s">
        <v>8</v>
      </c>
      <c r="N296" s="1" t="s">
        <v>8</v>
      </c>
      <c r="O296" s="3" t="s">
        <v>8</v>
      </c>
      <c r="P296" s="55"/>
      <c r="Q296" s="19"/>
      <c r="S296" s="22">
        <f t="shared" si="42"/>
        <v>0</v>
      </c>
      <c r="U296" s="22">
        <f t="shared" si="43"/>
        <v>0</v>
      </c>
      <c r="V296" s="22">
        <f t="shared" si="44"/>
        <v>0</v>
      </c>
    </row>
    <row r="297" spans="2:22" ht="12.75">
      <c r="B297" s="16"/>
      <c r="C297" s="24">
        <v>7</v>
      </c>
      <c r="D297" s="3"/>
      <c r="E297" s="3"/>
      <c r="F297" s="3"/>
      <c r="G297" s="3"/>
      <c r="H297" s="3"/>
      <c r="I297" s="4">
        <f t="shared" si="40"/>
        <v>0</v>
      </c>
      <c r="J297" s="54">
        <f t="shared" si="41"/>
        <v>0</v>
      </c>
      <c r="K297" s="2" t="s">
        <v>8</v>
      </c>
      <c r="L297" s="3" t="s">
        <v>8</v>
      </c>
      <c r="M297" s="3" t="s">
        <v>8</v>
      </c>
      <c r="N297" s="1" t="s">
        <v>8</v>
      </c>
      <c r="O297" s="3" t="s">
        <v>8</v>
      </c>
      <c r="P297" s="55"/>
      <c r="Q297" s="19"/>
      <c r="S297" s="22">
        <f t="shared" si="42"/>
        <v>0</v>
      </c>
      <c r="U297" s="22">
        <f t="shared" si="43"/>
        <v>0</v>
      </c>
      <c r="V297" s="22">
        <f t="shared" si="44"/>
        <v>0</v>
      </c>
    </row>
    <row r="298" spans="2:22" ht="12.75">
      <c r="B298" s="16"/>
      <c r="C298" s="24">
        <v>8</v>
      </c>
      <c r="D298" s="3"/>
      <c r="E298" s="3"/>
      <c r="F298" s="3"/>
      <c r="G298" s="3"/>
      <c r="H298" s="3"/>
      <c r="I298" s="4">
        <f t="shared" si="40"/>
        <v>0</v>
      </c>
      <c r="J298" s="54">
        <f t="shared" si="41"/>
        <v>0</v>
      </c>
      <c r="K298" s="2" t="s">
        <v>8</v>
      </c>
      <c r="L298" s="3" t="s">
        <v>8</v>
      </c>
      <c r="M298" s="3" t="s">
        <v>8</v>
      </c>
      <c r="N298" s="1" t="s">
        <v>8</v>
      </c>
      <c r="O298" s="3" t="s">
        <v>8</v>
      </c>
      <c r="P298" s="55"/>
      <c r="Q298" s="19"/>
      <c r="S298" s="22">
        <f t="shared" si="42"/>
        <v>0</v>
      </c>
      <c r="U298" s="22">
        <f t="shared" si="43"/>
        <v>0</v>
      </c>
      <c r="V298" s="22">
        <f t="shared" si="44"/>
        <v>0</v>
      </c>
    </row>
    <row r="299" spans="2:22" ht="12.75">
      <c r="B299" s="16"/>
      <c r="C299" s="24">
        <v>9</v>
      </c>
      <c r="D299" s="3"/>
      <c r="E299" s="3"/>
      <c r="F299" s="3"/>
      <c r="G299" s="3"/>
      <c r="H299" s="3"/>
      <c r="I299" s="4">
        <f t="shared" si="40"/>
        <v>0</v>
      </c>
      <c r="J299" s="54">
        <f t="shared" si="41"/>
        <v>0</v>
      </c>
      <c r="K299" s="2" t="s">
        <v>8</v>
      </c>
      <c r="L299" s="3" t="s">
        <v>8</v>
      </c>
      <c r="M299" s="3" t="s">
        <v>8</v>
      </c>
      <c r="N299" s="1" t="s">
        <v>8</v>
      </c>
      <c r="O299" s="3" t="s">
        <v>8</v>
      </c>
      <c r="P299" s="55"/>
      <c r="Q299" s="19"/>
      <c r="S299" s="22">
        <f t="shared" si="42"/>
        <v>0</v>
      </c>
      <c r="U299" s="22">
        <f t="shared" si="43"/>
        <v>0</v>
      </c>
      <c r="V299" s="22">
        <f t="shared" si="44"/>
        <v>0</v>
      </c>
    </row>
    <row r="300" spans="2:22" ht="12.75">
      <c r="B300" s="16"/>
      <c r="C300" s="25">
        <v>10</v>
      </c>
      <c r="D300" s="3"/>
      <c r="E300" s="3"/>
      <c r="F300" s="3"/>
      <c r="G300" s="3"/>
      <c r="H300" s="3"/>
      <c r="I300" s="4">
        <f t="shared" si="40"/>
        <v>0</v>
      </c>
      <c r="J300" s="54">
        <f t="shared" si="41"/>
        <v>0</v>
      </c>
      <c r="K300" s="2" t="s">
        <v>8</v>
      </c>
      <c r="L300" s="3" t="s">
        <v>8</v>
      </c>
      <c r="M300" s="3" t="s">
        <v>8</v>
      </c>
      <c r="N300" s="1" t="s">
        <v>8</v>
      </c>
      <c r="O300" s="3" t="s">
        <v>8</v>
      </c>
      <c r="P300" s="55"/>
      <c r="Q300" s="19"/>
      <c r="S300" s="22">
        <f t="shared" si="42"/>
        <v>0</v>
      </c>
      <c r="U300" s="22">
        <f t="shared" si="43"/>
        <v>0</v>
      </c>
      <c r="V300" s="22">
        <f t="shared" si="44"/>
        <v>0</v>
      </c>
    </row>
    <row r="301" spans="2:22" ht="12.75">
      <c r="B301" s="16"/>
      <c r="C301" s="25">
        <v>11</v>
      </c>
      <c r="D301" s="6"/>
      <c r="E301" s="7"/>
      <c r="F301" s="6"/>
      <c r="G301" s="7"/>
      <c r="H301" s="6"/>
      <c r="I301" s="4">
        <f t="shared" si="40"/>
        <v>0</v>
      </c>
      <c r="J301" s="54">
        <f t="shared" si="41"/>
        <v>0</v>
      </c>
      <c r="K301" s="2" t="s">
        <v>8</v>
      </c>
      <c r="L301" s="3" t="s">
        <v>8</v>
      </c>
      <c r="M301" s="3" t="s">
        <v>8</v>
      </c>
      <c r="N301" s="1" t="s">
        <v>8</v>
      </c>
      <c r="O301" s="3" t="s">
        <v>8</v>
      </c>
      <c r="P301" s="55"/>
      <c r="Q301" s="19"/>
      <c r="S301" s="22">
        <f t="shared" si="42"/>
        <v>0</v>
      </c>
      <c r="U301" s="22">
        <f t="shared" si="43"/>
        <v>0</v>
      </c>
      <c r="V301" s="22">
        <f t="shared" si="44"/>
        <v>0</v>
      </c>
    </row>
    <row r="302" spans="2:22" ht="12.75">
      <c r="B302" s="16"/>
      <c r="C302" s="25">
        <v>12</v>
      </c>
      <c r="D302" s="6"/>
      <c r="E302" s="7"/>
      <c r="F302" s="6"/>
      <c r="G302" s="7"/>
      <c r="H302" s="6"/>
      <c r="I302" s="26">
        <f t="shared" si="40"/>
        <v>0</v>
      </c>
      <c r="J302" s="54">
        <f t="shared" si="41"/>
        <v>0</v>
      </c>
      <c r="K302" s="2" t="s">
        <v>8</v>
      </c>
      <c r="L302" s="3" t="s">
        <v>8</v>
      </c>
      <c r="M302" s="3" t="s">
        <v>8</v>
      </c>
      <c r="N302" s="1" t="s">
        <v>8</v>
      </c>
      <c r="O302" s="3" t="s">
        <v>8</v>
      </c>
      <c r="P302" s="55"/>
      <c r="Q302" s="19"/>
      <c r="S302" s="22">
        <f t="shared" si="42"/>
        <v>0</v>
      </c>
      <c r="U302" s="22">
        <f t="shared" si="43"/>
        <v>0</v>
      </c>
      <c r="V302" s="22">
        <f t="shared" si="44"/>
        <v>0</v>
      </c>
    </row>
    <row r="303" spans="2:22" ht="12.75">
      <c r="B303" s="16"/>
      <c r="C303" s="27"/>
      <c r="D303" s="28"/>
      <c r="E303" s="28"/>
      <c r="F303" s="28"/>
      <c r="G303" s="28"/>
      <c r="H303" s="28"/>
      <c r="I303" s="29" t="s">
        <v>83</v>
      </c>
      <c r="J303" s="102">
        <f>ROUND(SUMPRODUCT(J291:J302,S291:S302,(1-P291:P302)),4)</f>
        <v>0</v>
      </c>
      <c r="K303" s="18"/>
      <c r="L303" s="18"/>
      <c r="M303" s="18"/>
      <c r="N303" s="18"/>
      <c r="O303" s="18"/>
      <c r="P303" s="18"/>
      <c r="Q303" s="19"/>
      <c r="U303" s="22">
        <f>SUM(U291:U302)</f>
        <v>0</v>
      </c>
      <c r="V303" s="22">
        <f>ROUND(SUM(V291:V302),4)</f>
        <v>0</v>
      </c>
    </row>
    <row r="304" spans="2:17" ht="12.75">
      <c r="B304" s="16"/>
      <c r="C304" s="30"/>
      <c r="D304" s="31"/>
      <c r="E304" s="31"/>
      <c r="F304" s="31"/>
      <c r="G304" s="31"/>
      <c r="H304" s="31"/>
      <c r="I304" s="32" t="s">
        <v>3</v>
      </c>
      <c r="J304" s="102">
        <f>ROUND(SUMPRODUCT(J291:J302,(1-P291:P302)),4)</f>
        <v>0</v>
      </c>
      <c r="K304" s="18"/>
      <c r="L304" s="18"/>
      <c r="M304" s="18"/>
      <c r="N304" s="18"/>
      <c r="O304" s="18"/>
      <c r="P304" s="18"/>
      <c r="Q304" s="19"/>
    </row>
    <row r="305" spans="2:17" ht="12.75">
      <c r="B305" s="16"/>
      <c r="C305" s="18"/>
      <c r="D305" s="18"/>
      <c r="E305" s="18"/>
      <c r="F305" s="18"/>
      <c r="G305" s="18"/>
      <c r="H305" s="18"/>
      <c r="I305" s="33"/>
      <c r="K305" s="18"/>
      <c r="L305" s="18"/>
      <c r="M305" s="18"/>
      <c r="N305" s="18"/>
      <c r="O305" s="18"/>
      <c r="P305" s="18"/>
      <c r="Q305" s="19"/>
    </row>
    <row r="306" spans="2:17" ht="12.75">
      <c r="B306" s="16"/>
      <c r="C306" s="18"/>
      <c r="D306" s="18"/>
      <c r="E306" s="18"/>
      <c r="F306" s="18"/>
      <c r="G306" s="18"/>
      <c r="H306" s="18"/>
      <c r="I306" s="18"/>
      <c r="J306" s="18"/>
      <c r="K306" s="18"/>
      <c r="N306" s="18"/>
      <c r="O306" s="18"/>
      <c r="P306" s="18"/>
      <c r="Q306" s="19"/>
    </row>
    <row r="307" spans="2:17" ht="12.75">
      <c r="B307" s="16"/>
      <c r="C307" s="17" t="s">
        <v>72</v>
      </c>
      <c r="D307" s="18"/>
      <c r="E307" s="18"/>
      <c r="F307" s="18"/>
      <c r="G307" s="18"/>
      <c r="H307" s="18"/>
      <c r="I307" s="18"/>
      <c r="J307" s="18"/>
      <c r="K307" s="18"/>
      <c r="L307" s="17" t="s">
        <v>24</v>
      </c>
      <c r="Q307" s="19"/>
    </row>
    <row r="308" spans="2:17" ht="51">
      <c r="B308" s="16"/>
      <c r="C308" s="24"/>
      <c r="D308" s="24" t="s">
        <v>87</v>
      </c>
      <c r="E308" s="4" t="s">
        <v>25</v>
      </c>
      <c r="F308" s="4" t="s">
        <v>17</v>
      </c>
      <c r="G308" s="4" t="s">
        <v>26</v>
      </c>
      <c r="H308" s="4" t="s">
        <v>18</v>
      </c>
      <c r="I308" s="4" t="s">
        <v>34</v>
      </c>
      <c r="J308" s="4" t="s">
        <v>35</v>
      </c>
      <c r="K308" s="18"/>
      <c r="L308" s="120"/>
      <c r="M308" s="121"/>
      <c r="N308" s="121"/>
      <c r="O308" s="121"/>
      <c r="P308" s="122"/>
      <c r="Q308" s="19"/>
    </row>
    <row r="309" spans="2:17" ht="12.75">
      <c r="B309" s="16"/>
      <c r="C309" s="24">
        <v>1</v>
      </c>
      <c r="D309" s="3"/>
      <c r="E309" s="3"/>
      <c r="F309" s="3"/>
      <c r="G309" s="3"/>
      <c r="H309" s="3"/>
      <c r="I309" s="4">
        <f>E309*G309</f>
        <v>0</v>
      </c>
      <c r="J309" s="54">
        <f>IF($I$313=0,0,I309/$I$313)</f>
        <v>0</v>
      </c>
      <c r="K309" s="18"/>
      <c r="L309" s="123"/>
      <c r="M309" s="124"/>
      <c r="N309" s="124"/>
      <c r="O309" s="124"/>
      <c r="P309" s="125"/>
      <c r="Q309" s="19"/>
    </row>
    <row r="310" spans="2:17" ht="12.75">
      <c r="B310" s="16"/>
      <c r="C310" s="24">
        <v>2</v>
      </c>
      <c r="D310" s="3"/>
      <c r="E310" s="3"/>
      <c r="F310" s="3"/>
      <c r="G310" s="3"/>
      <c r="H310" s="3"/>
      <c r="I310" s="4">
        <f>E310*G310</f>
        <v>0</v>
      </c>
      <c r="J310" s="54">
        <f>IF($I$313=0,0,I310/$I$313)</f>
        <v>0</v>
      </c>
      <c r="K310" s="18"/>
      <c r="L310" s="123"/>
      <c r="M310" s="124"/>
      <c r="N310" s="124"/>
      <c r="O310" s="124"/>
      <c r="P310" s="125"/>
      <c r="Q310" s="19"/>
    </row>
    <row r="311" spans="2:17" ht="12.75">
      <c r="B311" s="16"/>
      <c r="C311" s="24">
        <v>3</v>
      </c>
      <c r="D311" s="3"/>
      <c r="E311" s="3"/>
      <c r="F311" s="3"/>
      <c r="G311" s="3"/>
      <c r="H311" s="3"/>
      <c r="I311" s="4">
        <f>E311*G311</f>
        <v>0</v>
      </c>
      <c r="J311" s="54">
        <f>IF($I$313=0,0,I311/$I$313)</f>
        <v>0</v>
      </c>
      <c r="K311" s="18"/>
      <c r="L311" s="123"/>
      <c r="M311" s="124"/>
      <c r="N311" s="124"/>
      <c r="O311" s="124"/>
      <c r="P311" s="125"/>
      <c r="Q311" s="19"/>
    </row>
    <row r="312" spans="2:17" ht="12.75">
      <c r="B312" s="16"/>
      <c r="C312" s="25">
        <v>4</v>
      </c>
      <c r="D312" s="3"/>
      <c r="E312" s="3"/>
      <c r="F312" s="3"/>
      <c r="G312" s="3"/>
      <c r="H312" s="3"/>
      <c r="I312" s="4">
        <f>E312*G312</f>
        <v>0</v>
      </c>
      <c r="J312" s="54">
        <f>IF($I$313=0,0,I312/$I$313)</f>
        <v>0</v>
      </c>
      <c r="K312" s="18"/>
      <c r="L312" s="123"/>
      <c r="M312" s="124"/>
      <c r="N312" s="124"/>
      <c r="O312" s="124"/>
      <c r="P312" s="125"/>
      <c r="Q312" s="19"/>
    </row>
    <row r="313" spans="2:17" ht="12.75">
      <c r="B313" s="16"/>
      <c r="C313" s="34"/>
      <c r="D313" s="35"/>
      <c r="E313" s="36"/>
      <c r="F313" s="36"/>
      <c r="G313" s="36"/>
      <c r="H313" s="37" t="s">
        <v>73</v>
      </c>
      <c r="I313" s="8">
        <f>SUM(I309:I312,I291:I302)</f>
        <v>0</v>
      </c>
      <c r="J313" s="9">
        <f>SUM(J309:J312)</f>
        <v>0</v>
      </c>
      <c r="K313" s="18"/>
      <c r="L313" s="123"/>
      <c r="M313" s="124"/>
      <c r="N313" s="124"/>
      <c r="O313" s="124"/>
      <c r="P313" s="125"/>
      <c r="Q313" s="19"/>
    </row>
    <row r="314" spans="2:17" ht="12.75">
      <c r="B314" s="16"/>
      <c r="C314" s="18"/>
      <c r="D314" s="18"/>
      <c r="E314" s="18"/>
      <c r="F314" s="18"/>
      <c r="G314" s="18"/>
      <c r="H314" s="18"/>
      <c r="I314" s="18"/>
      <c r="J314" s="18"/>
      <c r="K314" s="18"/>
      <c r="L314" s="123"/>
      <c r="M314" s="124"/>
      <c r="N314" s="124"/>
      <c r="O314" s="124"/>
      <c r="P314" s="125"/>
      <c r="Q314" s="19"/>
    </row>
    <row r="315" spans="2:17" ht="12.75">
      <c r="B315" s="16"/>
      <c r="C315" s="18"/>
      <c r="D315" s="18"/>
      <c r="E315" s="18"/>
      <c r="F315" s="18"/>
      <c r="G315" s="18"/>
      <c r="H315" s="18"/>
      <c r="I315" s="18"/>
      <c r="J315" s="18"/>
      <c r="K315" s="18"/>
      <c r="L315" s="123"/>
      <c r="M315" s="124"/>
      <c r="N315" s="124"/>
      <c r="O315" s="124"/>
      <c r="P315" s="125"/>
      <c r="Q315" s="19"/>
    </row>
    <row r="316" spans="2:17" ht="12.75">
      <c r="B316" s="16"/>
      <c r="C316" s="17" t="s">
        <v>89</v>
      </c>
      <c r="D316" s="18"/>
      <c r="E316" s="18"/>
      <c r="F316" s="18"/>
      <c r="G316" s="18"/>
      <c r="H316" s="18"/>
      <c r="J316" s="10" t="s">
        <v>8</v>
      </c>
      <c r="K316" s="18"/>
      <c r="L316" s="123"/>
      <c r="M316" s="124"/>
      <c r="N316" s="124"/>
      <c r="O316" s="124"/>
      <c r="P316" s="125"/>
      <c r="Q316" s="19"/>
    </row>
    <row r="317" spans="2:17" ht="12.75">
      <c r="B317" s="16"/>
      <c r="C317" s="17" t="s">
        <v>74</v>
      </c>
      <c r="E317" s="18"/>
      <c r="F317" s="18"/>
      <c r="G317" s="18"/>
      <c r="H317" s="18"/>
      <c r="I317" s="18"/>
      <c r="J317" s="10" t="s">
        <v>8</v>
      </c>
      <c r="K317" s="18"/>
      <c r="L317" s="126"/>
      <c r="M317" s="127"/>
      <c r="N317" s="127"/>
      <c r="O317" s="127"/>
      <c r="P317" s="128"/>
      <c r="Q317" s="19"/>
    </row>
    <row r="318" spans="2:17" ht="12.75">
      <c r="B318" s="16"/>
      <c r="C318" s="18"/>
      <c r="D318" s="18"/>
      <c r="E318" s="18"/>
      <c r="F318" s="18"/>
      <c r="G318" s="18"/>
      <c r="H318" s="18"/>
      <c r="I318" s="18"/>
      <c r="J318" s="18"/>
      <c r="K318" s="18"/>
      <c r="L318" s="18"/>
      <c r="M318" s="18"/>
      <c r="N318" s="18"/>
      <c r="O318" s="18"/>
      <c r="P318" s="18"/>
      <c r="Q318" s="19"/>
    </row>
    <row r="319" spans="2:17" ht="13.5" thickBot="1">
      <c r="B319" s="38"/>
      <c r="C319" s="39"/>
      <c r="D319" s="39"/>
      <c r="E319" s="39"/>
      <c r="F319" s="39"/>
      <c r="G319" s="39"/>
      <c r="H319" s="39"/>
      <c r="I319" s="39"/>
      <c r="J319" s="39"/>
      <c r="K319" s="39"/>
      <c r="L319" s="39"/>
      <c r="M319" s="39"/>
      <c r="N319" s="39"/>
      <c r="O319" s="39"/>
      <c r="P319" s="39"/>
      <c r="Q319" s="40"/>
    </row>
    <row r="320" ht="12.75"/>
    <row r="321" spans="2:11" ht="12.75">
      <c r="B321" s="63"/>
      <c r="G321" s="100" t="s">
        <v>15</v>
      </c>
      <c r="H321" s="114">
        <f>IF(ISBLANK(Generator_Info!B25),"",Generator_Info!B25)</f>
      </c>
      <c r="I321" s="119"/>
      <c r="J321" s="119"/>
      <c r="K321" s="115"/>
    </row>
    <row r="322" ht="13.5" thickBot="1"/>
    <row r="323" spans="2:17" ht="12.75">
      <c r="B323" s="13"/>
      <c r="C323" s="14"/>
      <c r="D323" s="14"/>
      <c r="E323" s="14"/>
      <c r="F323" s="14"/>
      <c r="G323" s="14"/>
      <c r="H323" s="14"/>
      <c r="I323" s="14"/>
      <c r="J323" s="14"/>
      <c r="K323" s="14"/>
      <c r="L323" s="14"/>
      <c r="M323" s="14"/>
      <c r="N323" s="14"/>
      <c r="O323" s="14"/>
      <c r="P323" s="14"/>
      <c r="Q323" s="15"/>
    </row>
    <row r="324" spans="2:17" ht="12.75">
      <c r="B324" s="16"/>
      <c r="C324" s="17" t="s">
        <v>71</v>
      </c>
      <c r="D324" s="18"/>
      <c r="E324" s="18"/>
      <c r="F324" s="18"/>
      <c r="G324" s="18"/>
      <c r="H324" s="18"/>
      <c r="I324" s="18"/>
      <c r="J324" s="18"/>
      <c r="K324" s="18"/>
      <c r="L324" s="18"/>
      <c r="M324" s="18"/>
      <c r="N324" s="18"/>
      <c r="O324" s="18"/>
      <c r="P324" s="18"/>
      <c r="Q324" s="19"/>
    </row>
    <row r="325" spans="2:22" ht="89.25">
      <c r="B325" s="20"/>
      <c r="C325" s="4"/>
      <c r="D325" s="4" t="s">
        <v>16</v>
      </c>
      <c r="E325" s="4" t="s">
        <v>25</v>
      </c>
      <c r="F325" s="4" t="s">
        <v>17</v>
      </c>
      <c r="G325" s="4" t="s">
        <v>26</v>
      </c>
      <c r="H325" s="4" t="s">
        <v>18</v>
      </c>
      <c r="I325" s="4" t="s">
        <v>34</v>
      </c>
      <c r="J325" s="4" t="s">
        <v>35</v>
      </c>
      <c r="K325" s="4" t="s">
        <v>78</v>
      </c>
      <c r="L325" s="4" t="s">
        <v>19</v>
      </c>
      <c r="M325" s="4" t="s">
        <v>20</v>
      </c>
      <c r="N325" s="4" t="s">
        <v>21</v>
      </c>
      <c r="O325" s="4" t="s">
        <v>22</v>
      </c>
      <c r="P325" s="4" t="s">
        <v>23</v>
      </c>
      <c r="Q325" s="21"/>
      <c r="S325" s="22" t="s">
        <v>79</v>
      </c>
      <c r="T325" s="23"/>
      <c r="U325" s="23" t="s">
        <v>80</v>
      </c>
      <c r="V325" s="23" t="s">
        <v>145</v>
      </c>
    </row>
    <row r="326" spans="2:22" ht="12.75">
      <c r="B326" s="16"/>
      <c r="C326" s="24">
        <v>1</v>
      </c>
      <c r="D326" s="3"/>
      <c r="E326" s="3"/>
      <c r="F326" s="3"/>
      <c r="G326" s="3"/>
      <c r="H326" s="3"/>
      <c r="I326" s="4">
        <f aca="true" t="shared" si="45" ref="I326:I337">E326*G326</f>
        <v>0</v>
      </c>
      <c r="J326" s="54">
        <f>IF($I$348=0,0,I326/$I$348)</f>
        <v>0</v>
      </c>
      <c r="K326" s="2" t="s">
        <v>8</v>
      </c>
      <c r="L326" s="3" t="s">
        <v>8</v>
      </c>
      <c r="M326" s="3" t="s">
        <v>8</v>
      </c>
      <c r="N326" s="1" t="s">
        <v>8</v>
      </c>
      <c r="O326" s="3" t="s">
        <v>8</v>
      </c>
      <c r="P326" s="55"/>
      <c r="Q326" s="19"/>
      <c r="S326" s="22">
        <f>IF(K326="yes",1,0)</f>
        <v>0</v>
      </c>
      <c r="U326" s="22">
        <f>IF(P326&lt;=0.02,0,1)</f>
        <v>0</v>
      </c>
      <c r="V326" s="22">
        <f>IF(U326=0,J326,J326*(1-P326))</f>
        <v>0</v>
      </c>
    </row>
    <row r="327" spans="2:22" ht="12.75">
      <c r="B327" s="16"/>
      <c r="C327" s="24">
        <v>2</v>
      </c>
      <c r="D327" s="3"/>
      <c r="E327" s="3"/>
      <c r="F327" s="3"/>
      <c r="G327" s="3"/>
      <c r="H327" s="3"/>
      <c r="I327" s="4">
        <f t="shared" si="45"/>
        <v>0</v>
      </c>
      <c r="J327" s="54">
        <f aca="true" t="shared" si="46" ref="J327:J337">IF($I$348=0,0,I327/$I$348)</f>
        <v>0</v>
      </c>
      <c r="K327" s="2" t="s">
        <v>8</v>
      </c>
      <c r="L327" s="3" t="s">
        <v>8</v>
      </c>
      <c r="M327" s="3" t="s">
        <v>8</v>
      </c>
      <c r="N327" s="1" t="s">
        <v>8</v>
      </c>
      <c r="O327" s="3" t="s">
        <v>8</v>
      </c>
      <c r="P327" s="55"/>
      <c r="Q327" s="19"/>
      <c r="S327" s="22">
        <f aca="true" t="shared" si="47" ref="S327:S337">IF(K327="yes",1,0)</f>
        <v>0</v>
      </c>
      <c r="U327" s="22">
        <f aca="true" t="shared" si="48" ref="U327:U337">IF(P327&lt;=0.02,0,1)</f>
        <v>0</v>
      </c>
      <c r="V327" s="22">
        <f aca="true" t="shared" si="49" ref="V327:V337">IF(U327=0,J327,J327*(1-P327))</f>
        <v>0</v>
      </c>
    </row>
    <row r="328" spans="2:22" ht="12.75">
      <c r="B328" s="16"/>
      <c r="C328" s="24">
        <v>3</v>
      </c>
      <c r="D328" s="3"/>
      <c r="E328" s="3"/>
      <c r="F328" s="3"/>
      <c r="G328" s="3"/>
      <c r="H328" s="3"/>
      <c r="I328" s="4">
        <f t="shared" si="45"/>
        <v>0</v>
      </c>
      <c r="J328" s="54">
        <f t="shared" si="46"/>
        <v>0</v>
      </c>
      <c r="K328" s="2" t="s">
        <v>8</v>
      </c>
      <c r="L328" s="3" t="s">
        <v>8</v>
      </c>
      <c r="M328" s="3" t="s">
        <v>8</v>
      </c>
      <c r="N328" s="1" t="s">
        <v>8</v>
      </c>
      <c r="O328" s="3" t="s">
        <v>8</v>
      </c>
      <c r="P328" s="55"/>
      <c r="Q328" s="19"/>
      <c r="S328" s="22">
        <f t="shared" si="47"/>
        <v>0</v>
      </c>
      <c r="U328" s="22">
        <f t="shared" si="48"/>
        <v>0</v>
      </c>
      <c r="V328" s="22">
        <f t="shared" si="49"/>
        <v>0</v>
      </c>
    </row>
    <row r="329" spans="2:22" ht="12.75">
      <c r="B329" s="16"/>
      <c r="C329" s="24">
        <v>4</v>
      </c>
      <c r="D329" s="3"/>
      <c r="E329" s="3"/>
      <c r="F329" s="3"/>
      <c r="G329" s="3"/>
      <c r="H329" s="3"/>
      <c r="I329" s="4">
        <f t="shared" si="45"/>
        <v>0</v>
      </c>
      <c r="J329" s="54">
        <f t="shared" si="46"/>
        <v>0</v>
      </c>
      <c r="K329" s="2" t="s">
        <v>8</v>
      </c>
      <c r="L329" s="3" t="s">
        <v>8</v>
      </c>
      <c r="M329" s="3" t="s">
        <v>8</v>
      </c>
      <c r="N329" s="1" t="s">
        <v>8</v>
      </c>
      <c r="O329" s="3" t="s">
        <v>8</v>
      </c>
      <c r="P329" s="55"/>
      <c r="Q329" s="19"/>
      <c r="S329" s="22">
        <f t="shared" si="47"/>
        <v>0</v>
      </c>
      <c r="U329" s="22">
        <f t="shared" si="48"/>
        <v>0</v>
      </c>
      <c r="V329" s="22">
        <f t="shared" si="49"/>
        <v>0</v>
      </c>
    </row>
    <row r="330" spans="2:22" ht="12.75">
      <c r="B330" s="16"/>
      <c r="C330" s="24">
        <v>5</v>
      </c>
      <c r="D330" s="3"/>
      <c r="E330" s="3"/>
      <c r="F330" s="3"/>
      <c r="G330" s="3"/>
      <c r="H330" s="3"/>
      <c r="I330" s="4">
        <f t="shared" si="45"/>
        <v>0</v>
      </c>
      <c r="J330" s="54">
        <f t="shared" si="46"/>
        <v>0</v>
      </c>
      <c r="K330" s="2" t="s">
        <v>8</v>
      </c>
      <c r="L330" s="3" t="s">
        <v>8</v>
      </c>
      <c r="M330" s="3" t="s">
        <v>8</v>
      </c>
      <c r="N330" s="1" t="s">
        <v>8</v>
      </c>
      <c r="O330" s="3" t="s">
        <v>8</v>
      </c>
      <c r="P330" s="55"/>
      <c r="Q330" s="19"/>
      <c r="S330" s="22">
        <f t="shared" si="47"/>
        <v>0</v>
      </c>
      <c r="U330" s="22">
        <f t="shared" si="48"/>
        <v>0</v>
      </c>
      <c r="V330" s="22">
        <f t="shared" si="49"/>
        <v>0</v>
      </c>
    </row>
    <row r="331" spans="2:22" ht="12.75">
      <c r="B331" s="16"/>
      <c r="C331" s="24">
        <v>6</v>
      </c>
      <c r="D331" s="3"/>
      <c r="E331" s="3"/>
      <c r="F331" s="3"/>
      <c r="G331" s="3"/>
      <c r="H331" s="3"/>
      <c r="I331" s="4">
        <f t="shared" si="45"/>
        <v>0</v>
      </c>
      <c r="J331" s="54">
        <f t="shared" si="46"/>
        <v>0</v>
      </c>
      <c r="K331" s="2" t="s">
        <v>8</v>
      </c>
      <c r="L331" s="3" t="s">
        <v>8</v>
      </c>
      <c r="M331" s="3" t="s">
        <v>8</v>
      </c>
      <c r="N331" s="1" t="s">
        <v>8</v>
      </c>
      <c r="O331" s="3" t="s">
        <v>8</v>
      </c>
      <c r="P331" s="55"/>
      <c r="Q331" s="19"/>
      <c r="S331" s="22">
        <f t="shared" si="47"/>
        <v>0</v>
      </c>
      <c r="U331" s="22">
        <f t="shared" si="48"/>
        <v>0</v>
      </c>
      <c r="V331" s="22">
        <f t="shared" si="49"/>
        <v>0</v>
      </c>
    </row>
    <row r="332" spans="2:22" ht="12.75">
      <c r="B332" s="16"/>
      <c r="C332" s="24">
        <v>7</v>
      </c>
      <c r="D332" s="3"/>
      <c r="E332" s="3"/>
      <c r="F332" s="3"/>
      <c r="G332" s="3"/>
      <c r="H332" s="3"/>
      <c r="I332" s="4">
        <f t="shared" si="45"/>
        <v>0</v>
      </c>
      <c r="J332" s="54">
        <f t="shared" si="46"/>
        <v>0</v>
      </c>
      <c r="K332" s="2" t="s">
        <v>8</v>
      </c>
      <c r="L332" s="3" t="s">
        <v>8</v>
      </c>
      <c r="M332" s="3" t="s">
        <v>8</v>
      </c>
      <c r="N332" s="1" t="s">
        <v>8</v>
      </c>
      <c r="O332" s="3" t="s">
        <v>8</v>
      </c>
      <c r="P332" s="55"/>
      <c r="Q332" s="19"/>
      <c r="S332" s="22">
        <f t="shared" si="47"/>
        <v>0</v>
      </c>
      <c r="U332" s="22">
        <f t="shared" si="48"/>
        <v>0</v>
      </c>
      <c r="V332" s="22">
        <f t="shared" si="49"/>
        <v>0</v>
      </c>
    </row>
    <row r="333" spans="2:22" ht="12.75">
      <c r="B333" s="16"/>
      <c r="C333" s="24">
        <v>8</v>
      </c>
      <c r="D333" s="3"/>
      <c r="E333" s="3"/>
      <c r="F333" s="3"/>
      <c r="G333" s="3"/>
      <c r="H333" s="3"/>
      <c r="I333" s="4">
        <f t="shared" si="45"/>
        <v>0</v>
      </c>
      <c r="J333" s="54">
        <f t="shared" si="46"/>
        <v>0</v>
      </c>
      <c r="K333" s="2" t="s">
        <v>8</v>
      </c>
      <c r="L333" s="3" t="s">
        <v>8</v>
      </c>
      <c r="M333" s="3" t="s">
        <v>8</v>
      </c>
      <c r="N333" s="1" t="s">
        <v>8</v>
      </c>
      <c r="O333" s="3" t="s">
        <v>8</v>
      </c>
      <c r="P333" s="55"/>
      <c r="Q333" s="19"/>
      <c r="S333" s="22">
        <f t="shared" si="47"/>
        <v>0</v>
      </c>
      <c r="U333" s="22">
        <f t="shared" si="48"/>
        <v>0</v>
      </c>
      <c r="V333" s="22">
        <f t="shared" si="49"/>
        <v>0</v>
      </c>
    </row>
    <row r="334" spans="2:22" ht="12.75">
      <c r="B334" s="16"/>
      <c r="C334" s="24">
        <v>9</v>
      </c>
      <c r="D334" s="3"/>
      <c r="E334" s="3"/>
      <c r="F334" s="3"/>
      <c r="G334" s="3"/>
      <c r="H334" s="3"/>
      <c r="I334" s="4">
        <f t="shared" si="45"/>
        <v>0</v>
      </c>
      <c r="J334" s="54">
        <f t="shared" si="46"/>
        <v>0</v>
      </c>
      <c r="K334" s="2" t="s">
        <v>8</v>
      </c>
      <c r="L334" s="3" t="s">
        <v>8</v>
      </c>
      <c r="M334" s="3" t="s">
        <v>8</v>
      </c>
      <c r="N334" s="1" t="s">
        <v>8</v>
      </c>
      <c r="O334" s="3" t="s">
        <v>8</v>
      </c>
      <c r="P334" s="55"/>
      <c r="Q334" s="19"/>
      <c r="S334" s="22">
        <f t="shared" si="47"/>
        <v>0</v>
      </c>
      <c r="U334" s="22">
        <f t="shared" si="48"/>
        <v>0</v>
      </c>
      <c r="V334" s="22">
        <f t="shared" si="49"/>
        <v>0</v>
      </c>
    </row>
    <row r="335" spans="2:22" ht="12.75">
      <c r="B335" s="16"/>
      <c r="C335" s="25">
        <v>10</v>
      </c>
      <c r="D335" s="3"/>
      <c r="E335" s="3"/>
      <c r="F335" s="3"/>
      <c r="G335" s="3"/>
      <c r="H335" s="3"/>
      <c r="I335" s="4">
        <f t="shared" si="45"/>
        <v>0</v>
      </c>
      <c r="J335" s="54">
        <f t="shared" si="46"/>
        <v>0</v>
      </c>
      <c r="K335" s="2" t="s">
        <v>8</v>
      </c>
      <c r="L335" s="3" t="s">
        <v>8</v>
      </c>
      <c r="M335" s="3" t="s">
        <v>8</v>
      </c>
      <c r="N335" s="1" t="s">
        <v>8</v>
      </c>
      <c r="O335" s="3" t="s">
        <v>8</v>
      </c>
      <c r="P335" s="55"/>
      <c r="Q335" s="19"/>
      <c r="S335" s="22">
        <f t="shared" si="47"/>
        <v>0</v>
      </c>
      <c r="U335" s="22">
        <f t="shared" si="48"/>
        <v>0</v>
      </c>
      <c r="V335" s="22">
        <f t="shared" si="49"/>
        <v>0</v>
      </c>
    </row>
    <row r="336" spans="2:22" ht="12.75">
      <c r="B336" s="16"/>
      <c r="C336" s="25">
        <v>11</v>
      </c>
      <c r="D336" s="6"/>
      <c r="E336" s="7"/>
      <c r="F336" s="6"/>
      <c r="G336" s="7"/>
      <c r="H336" s="6"/>
      <c r="I336" s="4">
        <f t="shared" si="45"/>
        <v>0</v>
      </c>
      <c r="J336" s="54">
        <f t="shared" si="46"/>
        <v>0</v>
      </c>
      <c r="K336" s="2" t="s">
        <v>8</v>
      </c>
      <c r="L336" s="3" t="s">
        <v>8</v>
      </c>
      <c r="M336" s="3" t="s">
        <v>8</v>
      </c>
      <c r="N336" s="1" t="s">
        <v>8</v>
      </c>
      <c r="O336" s="3" t="s">
        <v>8</v>
      </c>
      <c r="P336" s="55"/>
      <c r="Q336" s="19"/>
      <c r="S336" s="22">
        <f t="shared" si="47"/>
        <v>0</v>
      </c>
      <c r="U336" s="22">
        <f t="shared" si="48"/>
        <v>0</v>
      </c>
      <c r="V336" s="22">
        <f t="shared" si="49"/>
        <v>0</v>
      </c>
    </row>
    <row r="337" spans="2:22" ht="12.75">
      <c r="B337" s="16"/>
      <c r="C337" s="25">
        <v>12</v>
      </c>
      <c r="D337" s="6"/>
      <c r="E337" s="7"/>
      <c r="F337" s="6"/>
      <c r="G337" s="7"/>
      <c r="H337" s="6"/>
      <c r="I337" s="26">
        <f t="shared" si="45"/>
        <v>0</v>
      </c>
      <c r="J337" s="54">
        <f t="shared" si="46"/>
        <v>0</v>
      </c>
      <c r="K337" s="2" t="s">
        <v>8</v>
      </c>
      <c r="L337" s="3" t="s">
        <v>8</v>
      </c>
      <c r="M337" s="3" t="s">
        <v>8</v>
      </c>
      <c r="N337" s="1" t="s">
        <v>8</v>
      </c>
      <c r="O337" s="3" t="s">
        <v>8</v>
      </c>
      <c r="P337" s="55"/>
      <c r="Q337" s="19"/>
      <c r="S337" s="22">
        <f t="shared" si="47"/>
        <v>0</v>
      </c>
      <c r="U337" s="22">
        <f t="shared" si="48"/>
        <v>0</v>
      </c>
      <c r="V337" s="22">
        <f t="shared" si="49"/>
        <v>0</v>
      </c>
    </row>
    <row r="338" spans="2:22" ht="12.75">
      <c r="B338" s="16"/>
      <c r="C338" s="27"/>
      <c r="D338" s="28"/>
      <c r="E338" s="28"/>
      <c r="F338" s="28"/>
      <c r="G338" s="28"/>
      <c r="H338" s="28"/>
      <c r="I338" s="29" t="s">
        <v>83</v>
      </c>
      <c r="J338" s="102">
        <f>ROUND(SUMPRODUCT(J326:J337,S326:S337,(1-P326:P337)),4)</f>
        <v>0</v>
      </c>
      <c r="K338" s="18"/>
      <c r="L338" s="18"/>
      <c r="M338" s="18"/>
      <c r="N338" s="18"/>
      <c r="O338" s="18"/>
      <c r="P338" s="18"/>
      <c r="Q338" s="19"/>
      <c r="U338" s="22">
        <f>SUM(U326:U337)</f>
        <v>0</v>
      </c>
      <c r="V338" s="22">
        <f>ROUND(SUM(V326:V337),4)</f>
        <v>0</v>
      </c>
    </row>
    <row r="339" spans="2:17" ht="12.75">
      <c r="B339" s="16"/>
      <c r="C339" s="30"/>
      <c r="D339" s="31"/>
      <c r="E339" s="31"/>
      <c r="F339" s="31"/>
      <c r="G339" s="31"/>
      <c r="H339" s="31"/>
      <c r="I339" s="32" t="s">
        <v>3</v>
      </c>
      <c r="J339" s="102">
        <f>ROUND(SUMPRODUCT(J326:J337,(1-P326:P337)),4)</f>
        <v>0</v>
      </c>
      <c r="K339" s="18"/>
      <c r="L339" s="18"/>
      <c r="M339" s="18"/>
      <c r="N339" s="18"/>
      <c r="O339" s="18"/>
      <c r="P339" s="18"/>
      <c r="Q339" s="19"/>
    </row>
    <row r="340" spans="2:17" ht="12.75">
      <c r="B340" s="16"/>
      <c r="C340" s="18"/>
      <c r="D340" s="18"/>
      <c r="E340" s="18"/>
      <c r="F340" s="18"/>
      <c r="G340" s="18"/>
      <c r="H340" s="18"/>
      <c r="I340" s="33"/>
      <c r="K340" s="18"/>
      <c r="L340" s="18"/>
      <c r="M340" s="18"/>
      <c r="N340" s="18"/>
      <c r="O340" s="18"/>
      <c r="P340" s="18"/>
      <c r="Q340" s="19"/>
    </row>
    <row r="341" spans="2:17" ht="12.75">
      <c r="B341" s="16"/>
      <c r="C341" s="18"/>
      <c r="D341" s="18"/>
      <c r="E341" s="18"/>
      <c r="F341" s="18"/>
      <c r="G341" s="18"/>
      <c r="H341" s="18"/>
      <c r="I341" s="18"/>
      <c r="J341" s="18"/>
      <c r="K341" s="18"/>
      <c r="N341" s="18"/>
      <c r="O341" s="18"/>
      <c r="P341" s="18"/>
      <c r="Q341" s="19"/>
    </row>
    <row r="342" spans="2:17" ht="12.75">
      <c r="B342" s="16"/>
      <c r="C342" s="17" t="s">
        <v>72</v>
      </c>
      <c r="D342" s="18"/>
      <c r="E342" s="18"/>
      <c r="F342" s="18"/>
      <c r="G342" s="18"/>
      <c r="H342" s="18"/>
      <c r="I342" s="18"/>
      <c r="J342" s="18"/>
      <c r="K342" s="18"/>
      <c r="L342" s="17" t="s">
        <v>24</v>
      </c>
      <c r="Q342" s="19"/>
    </row>
    <row r="343" spans="2:17" ht="51">
      <c r="B343" s="16"/>
      <c r="C343" s="24"/>
      <c r="D343" s="24" t="s">
        <v>87</v>
      </c>
      <c r="E343" s="4" t="s">
        <v>25</v>
      </c>
      <c r="F343" s="4" t="s">
        <v>17</v>
      </c>
      <c r="G343" s="4" t="s">
        <v>26</v>
      </c>
      <c r="H343" s="4" t="s">
        <v>18</v>
      </c>
      <c r="I343" s="4" t="s">
        <v>34</v>
      </c>
      <c r="J343" s="4" t="s">
        <v>35</v>
      </c>
      <c r="K343" s="18"/>
      <c r="L343" s="120"/>
      <c r="M343" s="121"/>
      <c r="N343" s="121"/>
      <c r="O343" s="121"/>
      <c r="P343" s="122"/>
      <c r="Q343" s="19"/>
    </row>
    <row r="344" spans="2:17" ht="12.75">
      <c r="B344" s="16"/>
      <c r="C344" s="24">
        <v>1</v>
      </c>
      <c r="D344" s="3"/>
      <c r="E344" s="3"/>
      <c r="F344" s="3"/>
      <c r="G344" s="3"/>
      <c r="H344" s="3"/>
      <c r="I344" s="4">
        <f>E344*G344</f>
        <v>0</v>
      </c>
      <c r="J344" s="54">
        <f>IF($I$348=0,0,I344/$I$348)</f>
        <v>0</v>
      </c>
      <c r="K344" s="18"/>
      <c r="L344" s="123"/>
      <c r="M344" s="124"/>
      <c r="N344" s="124"/>
      <c r="O344" s="124"/>
      <c r="P344" s="125"/>
      <c r="Q344" s="19"/>
    </row>
    <row r="345" spans="2:17" ht="12.75">
      <c r="B345" s="16"/>
      <c r="C345" s="24">
        <v>2</v>
      </c>
      <c r="D345" s="3"/>
      <c r="E345" s="3"/>
      <c r="F345" s="3"/>
      <c r="G345" s="3"/>
      <c r="H345" s="3"/>
      <c r="I345" s="4">
        <f>E345*G345</f>
        <v>0</v>
      </c>
      <c r="J345" s="54">
        <f>IF($I$348=0,0,I345/$I$348)</f>
        <v>0</v>
      </c>
      <c r="K345" s="18"/>
      <c r="L345" s="123"/>
      <c r="M345" s="124"/>
      <c r="N345" s="124"/>
      <c r="O345" s="124"/>
      <c r="P345" s="125"/>
      <c r="Q345" s="19"/>
    </row>
    <row r="346" spans="2:17" ht="12.75">
      <c r="B346" s="16"/>
      <c r="C346" s="24">
        <v>3</v>
      </c>
      <c r="D346" s="3"/>
      <c r="E346" s="3"/>
      <c r="F346" s="3"/>
      <c r="G346" s="3"/>
      <c r="H346" s="3"/>
      <c r="I346" s="4">
        <f>E346*G346</f>
        <v>0</v>
      </c>
      <c r="J346" s="54">
        <f>IF($I$348=0,0,I346/$I$348)</f>
        <v>0</v>
      </c>
      <c r="K346" s="18"/>
      <c r="L346" s="123"/>
      <c r="M346" s="124"/>
      <c r="N346" s="124"/>
      <c r="O346" s="124"/>
      <c r="P346" s="125"/>
      <c r="Q346" s="19"/>
    </row>
    <row r="347" spans="2:17" ht="12.75">
      <c r="B347" s="16"/>
      <c r="C347" s="25">
        <v>4</v>
      </c>
      <c r="D347" s="3"/>
      <c r="E347" s="3"/>
      <c r="F347" s="3"/>
      <c r="G347" s="3"/>
      <c r="H347" s="3"/>
      <c r="I347" s="4">
        <f>E347*G347</f>
        <v>0</v>
      </c>
      <c r="J347" s="54">
        <f>IF($I$348=0,0,I347/$I$348)</f>
        <v>0</v>
      </c>
      <c r="K347" s="18"/>
      <c r="L347" s="123"/>
      <c r="M347" s="124"/>
      <c r="N347" s="124"/>
      <c r="O347" s="124"/>
      <c r="P347" s="125"/>
      <c r="Q347" s="19"/>
    </row>
    <row r="348" spans="2:17" ht="12.75">
      <c r="B348" s="16"/>
      <c r="C348" s="34"/>
      <c r="D348" s="35"/>
      <c r="E348" s="36"/>
      <c r="F348" s="36"/>
      <c r="G348" s="36"/>
      <c r="H348" s="37" t="s">
        <v>73</v>
      </c>
      <c r="I348" s="8">
        <f>SUM(I344:I347,I326:I337)</f>
        <v>0</v>
      </c>
      <c r="J348" s="9">
        <f>SUM(J344:J347)</f>
        <v>0</v>
      </c>
      <c r="K348" s="18"/>
      <c r="L348" s="123"/>
      <c r="M348" s="124"/>
      <c r="N348" s="124"/>
      <c r="O348" s="124"/>
      <c r="P348" s="125"/>
      <c r="Q348" s="19"/>
    </row>
    <row r="349" spans="2:17" ht="12.75">
      <c r="B349" s="16"/>
      <c r="C349" s="18"/>
      <c r="D349" s="18"/>
      <c r="E349" s="18"/>
      <c r="F349" s="18"/>
      <c r="G349" s="18"/>
      <c r="H349" s="18"/>
      <c r="I349" s="18"/>
      <c r="J349" s="18"/>
      <c r="K349" s="18"/>
      <c r="L349" s="123"/>
      <c r="M349" s="124"/>
      <c r="N349" s="124"/>
      <c r="O349" s="124"/>
      <c r="P349" s="125"/>
      <c r="Q349" s="19"/>
    </row>
    <row r="350" spans="2:17" ht="12.75">
      <c r="B350" s="16"/>
      <c r="C350" s="18"/>
      <c r="D350" s="18"/>
      <c r="E350" s="18"/>
      <c r="F350" s="18"/>
      <c r="G350" s="18"/>
      <c r="H350" s="18"/>
      <c r="I350" s="18"/>
      <c r="J350" s="18"/>
      <c r="K350" s="18"/>
      <c r="L350" s="123"/>
      <c r="M350" s="124"/>
      <c r="N350" s="124"/>
      <c r="O350" s="124"/>
      <c r="P350" s="125"/>
      <c r="Q350" s="19"/>
    </row>
    <row r="351" spans="2:17" ht="12.75">
      <c r="B351" s="16"/>
      <c r="C351" s="17" t="s">
        <v>89</v>
      </c>
      <c r="D351" s="18"/>
      <c r="E351" s="18"/>
      <c r="F351" s="18"/>
      <c r="G351" s="18"/>
      <c r="H351" s="18"/>
      <c r="J351" s="10" t="s">
        <v>8</v>
      </c>
      <c r="K351" s="18"/>
      <c r="L351" s="123"/>
      <c r="M351" s="124"/>
      <c r="N351" s="124"/>
      <c r="O351" s="124"/>
      <c r="P351" s="125"/>
      <c r="Q351" s="19"/>
    </row>
    <row r="352" spans="2:17" ht="12.75">
      <c r="B352" s="16"/>
      <c r="C352" s="17" t="s">
        <v>74</v>
      </c>
      <c r="E352" s="18"/>
      <c r="F352" s="18"/>
      <c r="G352" s="18"/>
      <c r="H352" s="18"/>
      <c r="I352" s="18"/>
      <c r="J352" s="10" t="s">
        <v>8</v>
      </c>
      <c r="K352" s="18"/>
      <c r="L352" s="126"/>
      <c r="M352" s="127"/>
      <c r="N352" s="127"/>
      <c r="O352" s="127"/>
      <c r="P352" s="128"/>
      <c r="Q352" s="19"/>
    </row>
    <row r="353" spans="2:17" ht="12.75">
      <c r="B353" s="16"/>
      <c r="C353" s="18"/>
      <c r="D353" s="18"/>
      <c r="E353" s="18"/>
      <c r="F353" s="18"/>
      <c r="G353" s="18"/>
      <c r="H353" s="18"/>
      <c r="I353" s="18"/>
      <c r="J353" s="18"/>
      <c r="K353" s="18"/>
      <c r="L353" s="18"/>
      <c r="M353" s="18"/>
      <c r="N353" s="18"/>
      <c r="O353" s="18"/>
      <c r="P353" s="18"/>
      <c r="Q353" s="19"/>
    </row>
    <row r="354" spans="2:17" ht="13.5" thickBot="1">
      <c r="B354" s="38"/>
      <c r="C354" s="39"/>
      <c r="D354" s="39"/>
      <c r="E354" s="39"/>
      <c r="F354" s="39"/>
      <c r="G354" s="39"/>
      <c r="H354" s="39"/>
      <c r="I354" s="39"/>
      <c r="J354" s="39"/>
      <c r="K354" s="39"/>
      <c r="L354" s="39"/>
      <c r="M354" s="39"/>
      <c r="N354" s="39"/>
      <c r="O354" s="39"/>
      <c r="P354" s="39"/>
      <c r="Q354" s="40"/>
    </row>
  </sheetData>
  <sheetProtection password="8197" sheet="1" objects="1" scenarios="1"/>
  <mergeCells count="20">
    <mergeCell ref="H146:K146"/>
    <mergeCell ref="L168:P177"/>
    <mergeCell ref="H181:K181"/>
    <mergeCell ref="L203:P212"/>
    <mergeCell ref="H111:K111"/>
    <mergeCell ref="H76:K76"/>
    <mergeCell ref="L98:P107"/>
    <mergeCell ref="L133:P142"/>
    <mergeCell ref="H4:K4"/>
    <mergeCell ref="H40:K40"/>
    <mergeCell ref="L26:P35"/>
    <mergeCell ref="L62:P71"/>
    <mergeCell ref="H216:K216"/>
    <mergeCell ref="L238:P247"/>
    <mergeCell ref="H251:K251"/>
    <mergeCell ref="L273:P282"/>
    <mergeCell ref="H286:K286"/>
    <mergeCell ref="L308:P317"/>
    <mergeCell ref="H321:K321"/>
    <mergeCell ref="L343:P352"/>
  </mergeCells>
  <dataValidations count="9">
    <dataValidation type="list" allowBlank="1" showInputMessage="1" showErrorMessage="1" sqref="L45:M56 L9:M20 L151:M162 L81:M92 L116:M127 L186:M197 L221:M232 L256:M267 L291:M302 L326:M337">
      <formula1>"Please answer, yes, no - see comments"</formula1>
    </dataValidation>
    <dataValidation type="list" allowBlank="1" showInputMessage="1" showErrorMessage="1" sqref="D72 D36 D178 D108 D143 D213 D248 D283 D318 D353">
      <formula1>"Please answer, Fossil fuel, Renewable fuel, Waste, Other - see comments"</formula1>
    </dataValidation>
    <dataValidation type="list" allowBlank="1" showInputMessage="1" showErrorMessage="1" sqref="O45:O56 O9:O20 O151:O162 O81:O92 O116:O127 O186:O197 O221:O232 O256:O267 O291:O302 O326:O337">
      <formula1>"Please answer, yes - see comments,no"</formula1>
    </dataValidation>
    <dataValidation allowBlank="1" showErrorMessage="1" promptTitle="WARNING" prompt="You must ensure all questions above have been answered." sqref="C141:D141 M36:P36 C34:D34 C35 M178:P178 C176:D176 C177 C142 M72:P72 C70:D70 C71 M143:P143 M108:P108 C106:D106 C107 M213:P213 C211:D211 C212 M248:P248 C246:D246 C247 M283:P283 C281:D281 C282 M318:P318 C316:D316 C317 M353:P353 C351:D351 C352"/>
    <dataValidation type="list" allowBlank="1" showErrorMessage="1" promptTitle="WARNING" prompt="You must ensure all questions above have been answered." sqref="J35 J71 J107 J142 J177 J212 J247 J282 J317 J352">
      <formula1>$S$27:$S$30</formula1>
    </dataValidation>
    <dataValidation type="list" allowBlank="1" showInputMessage="1" showErrorMessage="1" sqref="K9:K20 K45:K56 K81:K92 K116:K127 K151:K162 K186:K197 K221:K232 K256:K267 K291:K302 K326:K337">
      <formula1>"Please answer, Yes, No, n/a"</formula1>
    </dataValidation>
    <dataValidation type="list" allowBlank="1" showErrorMessage="1" promptTitle="WARNING" prompt="You must ensure all questions above have been answered." sqref="J34 J70 J106 J141 J176 J211 J246 J281 J316 J351">
      <formula1>$S$22:$S$25</formula1>
    </dataValidation>
    <dataValidation type="list" allowBlank="1" showInputMessage="1" showErrorMessage="1" sqref="P4 P76 P40">
      <formula1>$AA$9:$AA$29</formula1>
    </dataValidation>
    <dataValidation type="list" allowBlank="1" showInputMessage="1" showErrorMessage="1" sqref="O4 O76 O40">
      <formula1>$Z$9:$Z$21</formula1>
    </dataValidation>
  </dataValidations>
  <printOptions/>
  <pageMargins left="0.8" right="0.82" top="1.07" bottom="0.46" header="0.5" footer="0.5"/>
  <pageSetup fitToHeight="1" fitToWidth="1" horizontalDpi="600" verticalDpi="600" orientation="landscape" paperSize="9"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data template for many stations</dc:title>
  <dc:subject/>
  <dc:creator>pelmores</dc:creator>
  <cp:keywords/>
  <dc:description/>
  <cp:lastModifiedBy>Susan Pelmore</cp:lastModifiedBy>
  <cp:lastPrinted>2007-04-27T09:23:12Z</cp:lastPrinted>
  <dcterms:created xsi:type="dcterms:W3CDTF">2007-02-01T14:58:34Z</dcterms:created>
  <dcterms:modified xsi:type="dcterms:W3CDTF">2007-07-06T15:47:55Z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eting Date">
    <vt:lpwstr/>
  </property>
  <property fmtid="{D5CDD505-2E9C-101B-9397-08002B2CF9AE}" pid="3" name="Organisation">
    <vt:lpwstr>Choose an Organisation</vt:lpwstr>
  </property>
  <property fmtid="{D5CDD505-2E9C-101B-9397-08002B2CF9AE}" pid="4" name="ContentType">
    <vt:lpwstr>Other</vt:lpwstr>
  </property>
  <property fmtid="{D5CDD505-2E9C-101B-9397-08002B2CF9AE}" pid="5" name="Applicable Start Date">
    <vt:lpwstr/>
  </property>
  <property fmtid="{D5CDD505-2E9C-101B-9397-08002B2CF9AE}" pid="6" name="Duration-">
    <vt:lpwstr/>
  </property>
  <property fmtid="{D5CDD505-2E9C-101B-9397-08002B2CF9AE}" pid="7" name="_Status">
    <vt:lpwstr>Draft</vt:lpwstr>
  </property>
  <property fmtid="{D5CDD505-2E9C-101B-9397-08002B2CF9AE}" pid="8" name=":">
    <vt:lpwstr>2007/03/27 - Monthly data template</vt:lpwstr>
  </property>
  <property fmtid="{D5CDD505-2E9C-101B-9397-08002B2CF9AE}" pid="9" name="::">
    <vt:lpwstr>- Subsidiary Document</vt:lpwstr>
  </property>
  <property fmtid="{D5CDD505-2E9C-101B-9397-08002B2CF9AE}" pid="10" name="Publication Date:">
    <vt:lpwstr>2007-07-16T00:00:00Z</vt:lpwstr>
  </property>
  <property fmtid="{D5CDD505-2E9C-101B-9397-08002B2CF9AE}" pid="11" name="Select Content Type Above">
    <vt:lpwstr/>
  </property>
  <property fmtid="{D5CDD505-2E9C-101B-9397-08002B2CF9AE}" pid="12" name="Recipient">
    <vt:lpwstr/>
  </property>
  <property fmtid="{D5CDD505-2E9C-101B-9397-08002B2CF9AE}" pid="13" name="Type of Document">
    <vt:lpwstr>Choose a Type</vt:lpwstr>
  </property>
  <property fmtid="{D5CDD505-2E9C-101B-9397-08002B2CF9AE}" pid="14" name="Work Area">
    <vt:lpwstr>Environment</vt:lpwstr>
  </property>
  <property fmtid="{D5CDD505-2E9C-101B-9397-08002B2CF9AE}" pid="15" name="_Version">
    <vt:lpwstr/>
  </property>
  <property fmtid="{D5CDD505-2E9C-101B-9397-08002B2CF9AE}" pid="16" name="Ref No">
    <vt:lpwstr/>
  </property>
  <property fmtid="{D5CDD505-2E9C-101B-9397-08002B2CF9AE}" pid="17" name="Applicable Duration">
    <vt:lpwstr/>
  </property>
  <property fmtid="{D5CDD505-2E9C-101B-9397-08002B2CF9AE}" pid="18" name="Overview">
    <vt:lpwstr/>
  </property>
  <property fmtid="{D5CDD505-2E9C-101B-9397-08002B2CF9AE}" pid="19" name="ContentTypeId">
    <vt:lpwstr>0x0101001B29A5457858BB40B9775B98A0F7A8170008AFF5AEABB2B84E8A6EA0776E7EE2A5</vt:lpwstr>
  </property>
</Properties>
</file>