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025" windowHeight="11565" tabRatio="943" activeTab="0"/>
  </bookViews>
  <sheets>
    <sheet name="ROCs by Month" sheetId="1" r:id="rId1"/>
    <sheet name="ROCs by Tech &amp; Country" sheetId="2" r:id="rId2"/>
    <sheet name="Tech &amp; Country Chart" sheetId="3" r:id="rId3"/>
    <sheet name="ROCs by Tech &amp; Order" sheetId="4" r:id="rId4"/>
    <sheet name="Tech &amp; Order Chart" sheetId="5" r:id="rId5"/>
    <sheet name="ROCs by Country Pie Chart" sheetId="6" r:id="rId6"/>
  </sheets>
  <externalReferences>
    <externalReference r:id="rId9"/>
    <externalReference r:id="rId10"/>
  </externalReferences>
  <definedNames>
    <definedName name="Apr02Mar03">'ROCs by Month'!$B$32:$L$46</definedName>
    <definedName name="Apr03Mar04">'ROCs by Month'!$B$49:$L$63</definedName>
    <definedName name="Apr04Mar05">'ROCs by Month'!#REF!</definedName>
    <definedName name="BiomassCap2">'[1]Table 1 RO &amp; CCL accreditations'!$C$8:$C$22</definedName>
    <definedName name="BiomassisCCL2">#REF!</definedName>
    <definedName name="BiomassNoOfStations">'[1]Table 1 RO &amp; CCL accreditations'!$C$22</definedName>
    <definedName name="BiomassStations2">'[1]Table 1 RO &amp; CCL accreditations'!$B$8:$B$22</definedName>
    <definedName name="BiomassTopCell">'[1]Table 1 RO &amp; CCL accreditations'!$C$8</definedName>
    <definedName name="BiomassWasteCap2">'[1]Table 1 RO &amp; CCL accreditations'!$C$55:$C$58</definedName>
    <definedName name="biomassWasteisCCL2">#REF!</definedName>
    <definedName name="BiomassWasteNoOfStations">'[1]Table 1 RO &amp; CCL accreditations'!$C$58</definedName>
    <definedName name="BiomassWasteStations2">'[1]Table 1 RO &amp; CCL accreditations'!$B$55:$B$58</definedName>
    <definedName name="BiomassWasteTopCell">'[1]Table 1 RO &amp; CCL accreditations'!$C$55</definedName>
    <definedName name="CCL_and_RO_accreditation_IDs">'[1]Table 1 RO &amp; CCL accreditations'!$B$12:$L$594</definedName>
    <definedName name="CoBioFFCap2">'[1]Table 1 RO &amp; CCL accreditations'!$C$26:$C$50</definedName>
    <definedName name="CoBioFFNoOfStations">'[1]Table 1 RO &amp; CCL accreditations'!$C$51</definedName>
    <definedName name="CoBioffRenCap">#REF!</definedName>
    <definedName name="CoBioFFStations2">'[1]Table 1 RO &amp; CCL accreditations'!$B$26:$B$51</definedName>
    <definedName name="CoBioFFTopCell">'[1]Table 1 RO &amp; CCL accreditations'!$C$26</definedName>
    <definedName name="HydroCap2">'[1]Table 1 RO &amp; CCL accreditations'!$C$96:$C$182</definedName>
    <definedName name="Hydroisccl2">#REF!</definedName>
    <definedName name="Hydronoofstations">#REF!</definedName>
    <definedName name="HydroPercentBottomCell">#REF!</definedName>
    <definedName name="HydroPercentCap2">#REF!</definedName>
    <definedName name="HydroPercentTopCell">#REF!</definedName>
    <definedName name="Hydrostations2">#REF!</definedName>
    <definedName name="HydroTopCell">'[1]Table 1 RO &amp; CCL accreditations'!$C$96</definedName>
    <definedName name="LandfillCap2">'[1]Table 1 RO &amp; CCL accreditations'!$C$185:$C$431</definedName>
    <definedName name="landfillgasstations2">#REF!</definedName>
    <definedName name="landfillisCCL2">#REF!</definedName>
    <definedName name="LandfillNoOfStations">'[1]Table 1 RO &amp; CCL accreditations'!$C$431</definedName>
    <definedName name="LandfillStations2">'[1]Table 1 RO &amp; CCL accreditations'!$B$185:$B$431</definedName>
    <definedName name="LandfillTopCell">'[1]Table 1 RO &amp; CCL accreditations'!$C$185</definedName>
    <definedName name="MicroHydroCap2">'[1]Table 1 RO &amp; CCL accreditations'!$C$61:$C$93</definedName>
    <definedName name="MicroHydroisCCL2">#REF!</definedName>
    <definedName name="MicroHydroNoOfStations">'[1]Table 1 RO &amp; CCL accreditations'!$C$93</definedName>
    <definedName name="MicroHydroStations2">'[1]Table 1 RO &amp; CCL accreditations'!$B$61:$B$93</definedName>
    <definedName name="MicroHydroTopCell">'[1]Table 1 RO &amp; CCL accreditations'!$C$61</definedName>
    <definedName name="MIWbottomcell">#REF!</definedName>
    <definedName name="MIWCa2">#REF!</definedName>
    <definedName name="MIWCap2">#REF!</definedName>
    <definedName name="MIWnoofstations">#REF!</definedName>
    <definedName name="MIWStations2">#REF!</definedName>
    <definedName name="MIWTopcell">#REF!</definedName>
    <definedName name="OffWindCap2">'[1]Table 1 RO &amp; CCL accreditations'!$C$434:$C$437</definedName>
    <definedName name="OffWindisCCL2">#REF!</definedName>
    <definedName name="OffWindNoOfStations">'[1]Table 1 RO &amp; CCL accreditations'!$C$437</definedName>
    <definedName name="OffWindStations2">'[1]Table 1 RO &amp; CCL accreditations'!$B$434:$B$437</definedName>
    <definedName name="OffWindTopCell">'[1]Table 1 RO &amp; CCL accreditations'!$C$434</definedName>
    <definedName name="OnWindCap2">'[1]Table 1 RO &amp; CCL accreditations'!$C$440:$C$534</definedName>
    <definedName name="OnWindisCCL2">#REF!</definedName>
    <definedName name="OnWindNoOfStations">'[1]Table 1 RO &amp; CCL accreditations'!$C$534</definedName>
    <definedName name="OnWindStations2">'[1]Table 1 RO &amp; CCL accreditations'!$B$440:$B$534</definedName>
    <definedName name="OnWindTopCell">'[1]Table 1 RO &amp; CCL accreditations'!$C$440</definedName>
    <definedName name="onwindtopcell2">#REF!</definedName>
    <definedName name="plantsubstancesbottomcellpercent">#REF!</definedName>
    <definedName name="PlantSubstancesCap2">#REF!</definedName>
    <definedName name="plantsubstancesnoofstations">#REF!</definedName>
    <definedName name="Plantsubstancespercent2">#REF!</definedName>
    <definedName name="PlantSubstancesStations2">#REF!</definedName>
    <definedName name="PlantSubstancesTopcell">#REF!</definedName>
    <definedName name="plantsubstancestopcellpercent">#REF!</definedName>
    <definedName name="sewagecap2">#REF!</definedName>
    <definedName name="SewageGasCap2">'[1]Table 1 RO &amp; CCL accreditations'!$C$537:$C$593</definedName>
    <definedName name="SewageGasisCCL2">#REF!</definedName>
    <definedName name="SewageGasNoOfStations">'[1]Table 1 RO &amp; CCL accreditations'!$C$593</definedName>
    <definedName name="SewageGasStations2">'[1]Table 1 RO &amp; CCL accreditations'!$B$537:$B$593</definedName>
    <definedName name="SewageGasTopCell">'[1]Table 1 RO &amp; CCL accreditations'!$C$537</definedName>
    <definedName name="sewagenoofstations">#REF!</definedName>
    <definedName name="Sewagestations2">#REF!</definedName>
    <definedName name="sewagetopcel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<sst xmlns="http://schemas.openxmlformats.org/spreadsheetml/2006/main" count="283" uniqueCount="70">
  <si>
    <t xml:space="preserve">NB Generating stations located in Scotland may be accredited under the RO and generating stations in located in England or Wales may be accredited under the ROS.  </t>
  </si>
  <si>
    <t>Co-firing of biomass with fossil fuel</t>
  </si>
  <si>
    <t>Biomass</t>
  </si>
  <si>
    <t>Landfill gas</t>
  </si>
  <si>
    <t>Micro hydro</t>
  </si>
  <si>
    <t>Off-shore wind</t>
  </si>
  <si>
    <t>Sewage gas</t>
  </si>
  <si>
    <t>On-shore wind</t>
  </si>
  <si>
    <t>Month and Year of Generation</t>
  </si>
  <si>
    <t>Technology</t>
  </si>
  <si>
    <t>SROCs</t>
  </si>
  <si>
    <t>ROCs</t>
  </si>
  <si>
    <t>England</t>
  </si>
  <si>
    <t>Wales</t>
  </si>
  <si>
    <t>Scotland</t>
  </si>
  <si>
    <t>Hydro &lt;20 MW DNC</t>
  </si>
  <si>
    <t>TOTAL</t>
  </si>
  <si>
    <t>Biomass and waste using ACT</t>
  </si>
  <si>
    <t>ROCs Issued from 1 April 2002 to 31 March 2003</t>
  </si>
  <si>
    <t>ROCs Issued from 1 April 2003 to 31 March 2004</t>
  </si>
  <si>
    <t>2002/3 total</t>
  </si>
  <si>
    <t>2003/4</t>
  </si>
  <si>
    <t>2003/4 total</t>
  </si>
  <si>
    <t>2002/3</t>
  </si>
  <si>
    <t>Co-firing biomass with fossil fuel</t>
  </si>
  <si>
    <t>Hydro 20 MW DNC or less</t>
  </si>
  <si>
    <t>Micro Hydro</t>
  </si>
  <si>
    <t>Total</t>
  </si>
  <si>
    <t>ROC Issue from April 2002 to date by Technology and Order</t>
  </si>
  <si>
    <t>OVERALL 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</si>
  <si>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</si>
  <si>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</si>
  <si>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</si>
  <si>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</si>
  <si>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</si>
  <si>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</si>
  <si>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</si>
  <si>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</si>
  <si>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</si>
  <si>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</si>
  <si>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</si>
  <si>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</si>
  <si>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2nd Compliance Period</t>
  </si>
  <si>
    <t>1st Compliance Period</t>
  </si>
  <si>
    <t>Biomass  RA SA</t>
  </si>
  <si>
    <t>Biomass and waste using ACT RC SC</t>
  </si>
  <si>
    <t>Co-firing biomass with fossil fuel RB SB</t>
  </si>
  <si>
    <t>Hydro 20 MW DNC or less RE SE</t>
  </si>
  <si>
    <t>Landfill gas RJ SJ</t>
  </si>
  <si>
    <t>Micro Hydro RD SD</t>
  </si>
  <si>
    <t>Off-shore wind RP SP</t>
  </si>
  <si>
    <t>On-shore wind RQ SQ</t>
  </si>
  <si>
    <t>Sewage gas  RR SR</t>
  </si>
  <si>
    <t>2004/05</t>
  </si>
  <si>
    <t>3rd Compliance Period</t>
  </si>
  <si>
    <t>2004/5 total</t>
  </si>
  <si>
    <t>PV</t>
  </si>
  <si>
    <t>ROCs Issued from 1 April 2004 to 31 March 2005</t>
  </si>
  <si>
    <t>2005/6</t>
  </si>
  <si>
    <t>4th Compliance Period</t>
  </si>
  <si>
    <t>Photo-voltaics</t>
  </si>
  <si>
    <t>2005/6 total</t>
  </si>
  <si>
    <t>ROCs Issued from 1 April 2005 to 31 March 2006</t>
  </si>
  <si>
    <t>N.  Ireland</t>
  </si>
  <si>
    <t>Photovoltaics</t>
  </si>
  <si>
    <t>ROC Issue for Compliance Periods 1 to 4 (April - March 02/03, 03/04, 04/05 &amp; 05/06)</t>
  </si>
  <si>
    <t>Northern Ireland</t>
  </si>
  <si>
    <t>NIROCs</t>
  </si>
  <si>
    <t>Wave</t>
  </si>
  <si>
    <t>Photovoltaic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</si>
</sst>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d\-mmm\-yy"/>
    <numFmt numFmtId="166" formatCode="0.000%"/>
    <numFmt numFmtId="167" formatCode="[$-809]dd\ mmmm\ yyyy"/>
    <numFmt numFmtId="168" formatCode="0.000"/>
    <numFmt numFmtId="169" formatCode="0.0"/>
    <numFmt numFmtId="170" formatCode="#,##0.0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_-;\-* #,##0.0_-;_-* &quot;-&quot;??_-;_-@_-"/>
    <numFmt numFmtId="175" formatCode="_-* #,##0_-;\-* #,##0_-;_-* &quot;-&quot;??_-;_-@_-"/>
    <numFmt numFmtId="176" formatCode="dd/mm/yyyy;@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CG Omega"/>
      <family val="2"/>
    </font>
    <font>
      <b/>
      <sz val="11"/>
      <name val="CG Omega"/>
      <family val="2"/>
    </font>
    <font>
      <b/>
      <sz val="12"/>
      <name val="CG Omega"/>
      <family val="2"/>
    </font>
    <font>
      <i/>
      <sz val="10"/>
      <name val="CG Omega"/>
      <family val="2"/>
    </font>
    <font>
      <sz val="18.5"/>
      <name val="CG Omega"/>
      <family val="0"/>
    </font>
    <font>
      <sz val="18.25"/>
      <name val="CG Omega"/>
      <family val="0"/>
    </font>
    <font>
      <sz val="12"/>
      <name val="CG Omega"/>
      <family val="2"/>
    </font>
    <font>
      <b/>
      <sz val="14.5"/>
      <name val="CG Omega"/>
      <family val="2"/>
    </font>
    <font>
      <b/>
      <sz val="11.25"/>
      <name val="CG Omega"/>
      <family val="0"/>
    </font>
    <font>
      <b/>
      <sz val="9"/>
      <name val="MS Sans Serif"/>
      <family val="2"/>
    </font>
    <font>
      <b/>
      <sz val="15.75"/>
      <name val="CG Omega"/>
      <family val="2"/>
    </font>
    <font>
      <b/>
      <sz val="11"/>
      <name val="MS Sans Serif"/>
      <family val="2"/>
    </font>
    <font>
      <b/>
      <sz val="9"/>
      <color indexed="9"/>
      <name val="MS Sans Serif"/>
      <family val="2"/>
    </font>
    <font>
      <b/>
      <sz val="10"/>
      <color indexed="9"/>
      <name val="MS Sans Serif"/>
      <family val="2"/>
    </font>
    <font>
      <b/>
      <sz val="11"/>
      <color indexed="9"/>
      <name val="MS Sans Serif"/>
      <family val="2"/>
    </font>
    <font>
      <sz val="8"/>
      <name val="CG Omega"/>
      <family val="2"/>
    </font>
    <font>
      <b/>
      <sz val="8.75"/>
      <name val="CG Omega"/>
      <family val="0"/>
    </font>
    <font>
      <sz val="5.25"/>
      <name val="CG Omega"/>
      <family val="2"/>
    </font>
    <font>
      <sz val="8.75"/>
      <name val="CG Omega"/>
      <family val="0"/>
    </font>
    <font>
      <sz val="14"/>
      <name val="CG Omega"/>
      <family val="2"/>
    </font>
    <font>
      <b/>
      <sz val="9.5"/>
      <name val="CG Omega"/>
      <family val="2"/>
    </font>
    <font>
      <sz val="22"/>
      <name val="CG Omega"/>
      <family val="2"/>
    </font>
    <font>
      <sz val="11"/>
      <name val="MS Sans Serif"/>
      <family val="2"/>
    </font>
    <font>
      <b/>
      <sz val="12"/>
      <name val="MS Sans Serif"/>
      <family val="2"/>
    </font>
    <font>
      <sz val="9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2"/>
      <color indexed="12"/>
      <name val="MS Sans Serif"/>
      <family val="2"/>
    </font>
    <font>
      <b/>
      <sz val="11"/>
      <color indexed="12"/>
      <name val="MS Sans Serif"/>
      <family val="2"/>
    </font>
    <font>
      <sz val="10"/>
      <color indexed="12"/>
      <name val="MS Sans Serif"/>
      <family val="2"/>
    </font>
    <font>
      <sz val="11"/>
      <color indexed="12"/>
      <name val="MS Sans Serif"/>
      <family val="2"/>
    </font>
    <font>
      <b/>
      <sz val="11"/>
      <color indexed="10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5" fillId="0" borderId="1" xfId="0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center" wrapText="1"/>
    </xf>
    <xf numFmtId="17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9" fillId="0" borderId="0" xfId="21" applyNumberFormat="1" applyFont="1" applyFill="1" applyBorder="1">
      <alignment/>
      <protection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" fontId="17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Alignment="1">
      <alignment/>
    </xf>
    <xf numFmtId="0" fontId="1" fillId="0" borderId="1" xfId="0" applyFont="1" applyBorder="1" applyAlignment="1">
      <alignment/>
    </xf>
    <xf numFmtId="17" fontId="15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2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NumberFormat="1" applyFont="1" applyBorder="1" applyAlignment="1">
      <alignment horizontal="center"/>
    </xf>
    <xf numFmtId="3" fontId="34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/>
    </xf>
    <xf numFmtId="3" fontId="36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3" fontId="33" fillId="0" borderId="0" xfId="0" applyNumberFormat="1" applyFont="1" applyAlignment="1">
      <alignment horizontal="left"/>
    </xf>
    <xf numFmtId="0" fontId="7" fillId="0" borderId="5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17" fillId="0" borderId="8" xfId="0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17" fillId="0" borderId="2" xfId="0" applyFont="1" applyFill="1" applyBorder="1" applyAlignment="1">
      <alignment/>
    </xf>
    <xf numFmtId="3" fontId="28" fillId="0" borderId="2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17" fillId="0" borderId="17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0" borderId="5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OCs by Mont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Total Number of ROCs Issued for Compliance Period 1, 2, 3 &amp; 4 (April - March 02/03, 03/04, 04/05 and 05/06)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475"/>
          <c:w val="0.8667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'ROCs by Month'!$B$32</c:f>
              <c:strCache>
                <c:ptCount val="1"/>
                <c:pt idx="0">
                  <c:v>2002/3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'ROCs by Month'!$B$34:$B$45</c:f>
              <c:strCache/>
            </c:strRef>
          </c:cat>
          <c:val>
            <c:numRef>
              <c:f>'ROCs by Month'!$L$34:$L$45</c:f>
              <c:numCache/>
            </c:numRef>
          </c:val>
        </c:ser>
        <c:ser>
          <c:idx val="1"/>
          <c:order val="1"/>
          <c:tx>
            <c:strRef>
              <c:f>'ROCs by Month'!$B$49</c:f>
              <c:strCache>
                <c:ptCount val="1"/>
                <c:pt idx="0">
                  <c:v>2003/4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'ROCs by Month'!$B$34:$B$45</c:f>
              <c:strCache/>
            </c:strRef>
          </c:cat>
          <c:val>
            <c:numRef>
              <c:f>'ROCs by Month'!$L$51:$L$62</c:f>
              <c:numCache/>
            </c:numRef>
          </c:val>
        </c:ser>
        <c:ser>
          <c:idx val="2"/>
          <c:order val="2"/>
          <c:tx>
            <c:strRef>
              <c:f>'ROCs by Month'!$B$66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'ROCs by Month'!$M$68:$M$79</c:f>
              <c:numCache/>
            </c:numRef>
          </c:val>
        </c:ser>
        <c:ser>
          <c:idx val="3"/>
          <c:order val="3"/>
          <c:tx>
            <c:strRef>
              <c:f>'ROCs by Month'!$B$83</c:f>
              <c:strCache>
                <c:ptCount val="1"/>
                <c:pt idx="0">
                  <c:v>2005/6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'ROCs by Month'!$M$85:$M$96</c:f>
              <c:numCache/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Month of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No of ROCs isssued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2905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25"/>
                <c:y val="-0.027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40575"/>
          <c:w val="0.0825"/>
          <c:h val="0.34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ROCs by Technology and Country</a:t>
            </a:r>
          </a:p>
        </c:rich>
      </c:tx>
      <c:layout/>
      <c:spPr>
        <a:noFill/>
        <a:ln>
          <a:noFill/>
        </a:ln>
      </c:spPr>
    </c:title>
    <c:view3D>
      <c:rotX val="6"/>
      <c:rotY val="44"/>
      <c:depthPercent val="100"/>
      <c:rAngAx val="1"/>
    </c:view3D>
    <c:plotArea>
      <c:layout>
        <c:manualLayout>
          <c:xMode val="edge"/>
          <c:yMode val="edge"/>
          <c:x val="0"/>
          <c:y val="0.07625"/>
          <c:w val="0.91875"/>
          <c:h val="0.92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'ROCs by Tech &amp; Country'!$B$4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'ROCs by Tech &amp; Country'!$A$5:$A$14</c:f>
              <c:strCache>
                <c:ptCount val="10"/>
                <c:pt idx="0">
                  <c:v>Biomass</c:v>
                </c:pt>
                <c:pt idx="1">
                  <c:v>Biomass and waste using ACT</c:v>
                </c:pt>
                <c:pt idx="2">
                  <c:v>Co-firing of biomass with fossil fuel</c:v>
                </c:pt>
                <c:pt idx="3">
                  <c:v>Hydro &lt;20 MW DNC</c:v>
                </c:pt>
                <c:pt idx="4">
                  <c:v>Landfill gas</c:v>
                </c:pt>
                <c:pt idx="5">
                  <c:v>Micro hydro</c:v>
                </c:pt>
                <c:pt idx="6">
                  <c:v>Off-shore wind</c:v>
                </c:pt>
                <c:pt idx="7">
                  <c:v>On-shore wind</c:v>
                </c:pt>
                <c:pt idx="8">
                  <c:v>Sewage gas</c:v>
                </c:pt>
                <c:pt idx="9">
                  <c:v>PV</c:v>
                </c:pt>
              </c:strCache>
            </c:strRef>
          </c:cat>
          <c:val>
            <c:numRef>
              <c:f>'ROCs by Tech &amp; Country'!$B$5:$B$14</c:f>
              <c:numCache>
                <c:ptCount val="10"/>
                <c:pt idx="0">
                  <c:v>2988931</c:v>
                </c:pt>
                <c:pt idx="1">
                  <c:v>26329</c:v>
                </c:pt>
                <c:pt idx="2">
                  <c:v>6457030</c:v>
                </c:pt>
                <c:pt idx="3">
                  <c:v>121111</c:v>
                </c:pt>
                <c:pt idx="4">
                  <c:v>12501186</c:v>
                </c:pt>
                <c:pt idx="5">
                  <c:v>13757</c:v>
                </c:pt>
                <c:pt idx="6">
                  <c:v>405107</c:v>
                </c:pt>
                <c:pt idx="7">
                  <c:v>1428283</c:v>
                </c:pt>
                <c:pt idx="8">
                  <c:v>935123</c:v>
                </c:pt>
                <c:pt idx="9">
                  <c:v>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'ROCs by Tech &amp; Country'!$C$4</c:f>
              <c:strCache>
                <c:ptCount val="1"/>
                <c:pt idx="0">
                  <c:v>Wales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'ROCs by Tech &amp; Country'!$A$5:$A$14</c:f>
              <c:strCache>
                <c:ptCount val="10"/>
                <c:pt idx="0">
                  <c:v>Biomass</c:v>
                </c:pt>
                <c:pt idx="1">
                  <c:v>Biomass and waste using ACT</c:v>
                </c:pt>
                <c:pt idx="2">
                  <c:v>Co-firing of biomass with fossil fuel</c:v>
                </c:pt>
                <c:pt idx="3">
                  <c:v>Hydro &lt;20 MW DNC</c:v>
                </c:pt>
                <c:pt idx="4">
                  <c:v>Landfill gas</c:v>
                </c:pt>
                <c:pt idx="5">
                  <c:v>Micro hydro</c:v>
                </c:pt>
                <c:pt idx="6">
                  <c:v>Off-shore wind</c:v>
                </c:pt>
                <c:pt idx="7">
                  <c:v>On-shore wind</c:v>
                </c:pt>
                <c:pt idx="8">
                  <c:v>Sewage gas</c:v>
                </c:pt>
                <c:pt idx="9">
                  <c:v>PV</c:v>
                </c:pt>
              </c:strCache>
            </c:strRef>
          </c:cat>
          <c:val>
            <c:numRef>
              <c:f>'ROCs by Tech &amp; Country'!$C$5:$C$14</c:f>
              <c:numCache>
                <c:ptCount val="10"/>
                <c:pt idx="3">
                  <c:v>515902</c:v>
                </c:pt>
                <c:pt idx="4">
                  <c:v>328990</c:v>
                </c:pt>
                <c:pt idx="5">
                  <c:v>2094</c:v>
                </c:pt>
                <c:pt idx="6">
                  <c:v>405510</c:v>
                </c:pt>
                <c:pt idx="7">
                  <c:v>1717175</c:v>
                </c:pt>
                <c:pt idx="8">
                  <c:v>1670</c:v>
                </c:pt>
                <c:pt idx="9">
                  <c:v>4333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'ROCs by Tech &amp; Country'!$D$4</c:f>
              <c:strCache>
                <c:ptCount val="1"/>
                <c:pt idx="0">
                  <c:v>Scotland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'ROCs by Tech &amp; Country'!$A$5:$A$14</c:f>
              <c:strCache>
                <c:ptCount val="10"/>
                <c:pt idx="0">
                  <c:v>Biomass</c:v>
                </c:pt>
                <c:pt idx="1">
                  <c:v>Biomass and waste using ACT</c:v>
                </c:pt>
                <c:pt idx="2">
                  <c:v>Co-firing of biomass with fossil fuel</c:v>
                </c:pt>
                <c:pt idx="3">
                  <c:v>Hydro &lt;20 MW DNC</c:v>
                </c:pt>
                <c:pt idx="4">
                  <c:v>Landfill gas</c:v>
                </c:pt>
                <c:pt idx="5">
                  <c:v>Micro hydro</c:v>
                </c:pt>
                <c:pt idx="6">
                  <c:v>Off-shore wind</c:v>
                </c:pt>
                <c:pt idx="7">
                  <c:v>On-shore wind</c:v>
                </c:pt>
                <c:pt idx="8">
                  <c:v>Sewage gas</c:v>
                </c:pt>
                <c:pt idx="9">
                  <c:v>PV</c:v>
                </c:pt>
              </c:strCache>
            </c:strRef>
          </c:cat>
          <c:val>
            <c:numRef>
              <c:f>'ROCs by Tech &amp; Country'!$D$5:$D$14</c:f>
              <c:numCache>
                <c:ptCount val="10"/>
                <c:pt idx="0">
                  <c:v>150748</c:v>
                </c:pt>
                <c:pt idx="1">
                  <c:v>31</c:v>
                </c:pt>
                <c:pt idx="2">
                  <c:v>353015</c:v>
                </c:pt>
                <c:pt idx="3">
                  <c:v>5028292</c:v>
                </c:pt>
                <c:pt idx="4">
                  <c:v>724926</c:v>
                </c:pt>
                <c:pt idx="5">
                  <c:v>160424</c:v>
                </c:pt>
                <c:pt idx="7">
                  <c:v>3266912</c:v>
                </c:pt>
                <c:pt idx="8">
                  <c:v>3124</c:v>
                </c:pt>
              </c:numCache>
            </c:numRef>
          </c:val>
          <c:shape val="box"/>
        </c:ser>
        <c:overlap val="100"/>
        <c:shape val="box"/>
        <c:axId val="64882634"/>
        <c:axId val="47072795"/>
      </c:bar3DChart>
      <c:catAx>
        <c:axId val="64882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Technology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ax val="1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ROCs issued 000s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2634"/>
        <c:crossesAt val="1"/>
        <c:crossBetween val="between"/>
        <c:dispUnits>
          <c:builtInUnit val="thousands"/>
        </c:dispUnits>
        <c:min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19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ROCs by Technology and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12"/>
          <c:w val="0.82825"/>
          <c:h val="0.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'ROCs by Tech &amp; Order'!$C$5</c:f>
              <c:strCache>
                <c:ptCount val="1"/>
                <c:pt idx="0">
                  <c:v>ROCs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'ROCs by Tech &amp; Order'!$B$6:$B$15</c:f>
              <c:strCache>
                <c:ptCount val="10"/>
                <c:pt idx="0">
                  <c:v>Biomass</c:v>
                </c:pt>
                <c:pt idx="1">
                  <c:v>Biomass and waste using ACT</c:v>
                </c:pt>
                <c:pt idx="2">
                  <c:v>Co-firing of biomass with fossil fuel</c:v>
                </c:pt>
                <c:pt idx="3">
                  <c:v>Hydro &lt;20 MW DNC</c:v>
                </c:pt>
                <c:pt idx="4">
                  <c:v>Landfill gas</c:v>
                </c:pt>
                <c:pt idx="5">
                  <c:v>Micro hydro</c:v>
                </c:pt>
                <c:pt idx="6">
                  <c:v>Off-shore wind</c:v>
                </c:pt>
                <c:pt idx="7">
                  <c:v>On-shore wind</c:v>
                </c:pt>
                <c:pt idx="8">
                  <c:v>Sewage gas</c:v>
                </c:pt>
                <c:pt idx="9">
                  <c:v>Photovoltaic</c:v>
                </c:pt>
              </c:strCache>
            </c:strRef>
          </c:cat>
          <c:val>
            <c:numRef>
              <c:f>'ROCs by Tech &amp; Order'!$C$6:$C$15</c:f>
              <c:numCache>
                <c:ptCount val="10"/>
                <c:pt idx="0">
                  <c:v>2988931</c:v>
                </c:pt>
                <c:pt idx="1">
                  <c:v>26329</c:v>
                </c:pt>
                <c:pt idx="2">
                  <c:v>6398709</c:v>
                </c:pt>
                <c:pt idx="3">
                  <c:v>643380</c:v>
                </c:pt>
                <c:pt idx="4">
                  <c:v>12830176</c:v>
                </c:pt>
                <c:pt idx="5">
                  <c:v>15851</c:v>
                </c:pt>
                <c:pt idx="6">
                  <c:v>810617</c:v>
                </c:pt>
                <c:pt idx="7">
                  <c:v>3374413</c:v>
                </c:pt>
                <c:pt idx="8">
                  <c:v>935866</c:v>
                </c:pt>
                <c:pt idx="9">
                  <c:v>96</c:v>
                </c:pt>
              </c:numCache>
            </c:numRef>
          </c:val>
        </c:ser>
        <c:ser>
          <c:idx val="1"/>
          <c:order val="1"/>
          <c:tx>
            <c:strRef>
              <c:f>'ROCs by Tech &amp; Order'!$D$5</c:f>
              <c:strCache>
                <c:ptCount val="1"/>
                <c:pt idx="0">
                  <c:v>SROCs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'ROCs by Tech &amp; Order'!$B$6:$B$15</c:f>
              <c:strCache>
                <c:ptCount val="10"/>
                <c:pt idx="0">
                  <c:v>Biomass</c:v>
                </c:pt>
                <c:pt idx="1">
                  <c:v>Biomass and waste using ACT</c:v>
                </c:pt>
                <c:pt idx="2">
                  <c:v>Co-firing of biomass with fossil fuel</c:v>
                </c:pt>
                <c:pt idx="3">
                  <c:v>Hydro &lt;20 MW DNC</c:v>
                </c:pt>
                <c:pt idx="4">
                  <c:v>Landfill gas</c:v>
                </c:pt>
                <c:pt idx="5">
                  <c:v>Micro hydro</c:v>
                </c:pt>
                <c:pt idx="6">
                  <c:v>Off-shore wind</c:v>
                </c:pt>
                <c:pt idx="7">
                  <c:v>On-shore wind</c:v>
                </c:pt>
                <c:pt idx="8">
                  <c:v>Sewage gas</c:v>
                </c:pt>
                <c:pt idx="9">
                  <c:v>Photovoltaic</c:v>
                </c:pt>
              </c:strCache>
            </c:strRef>
          </c:cat>
          <c:val>
            <c:numRef>
              <c:f>'ROCs by Tech &amp; Order'!$D$6:$D$14</c:f>
              <c:numCache>
                <c:ptCount val="9"/>
                <c:pt idx="0">
                  <c:v>150748</c:v>
                </c:pt>
                <c:pt idx="1">
                  <c:v>31</c:v>
                </c:pt>
                <c:pt idx="2">
                  <c:v>411336</c:v>
                </c:pt>
                <c:pt idx="3">
                  <c:v>5021925</c:v>
                </c:pt>
                <c:pt idx="4">
                  <c:v>724926</c:v>
                </c:pt>
                <c:pt idx="5">
                  <c:v>160424</c:v>
                </c:pt>
                <c:pt idx="7">
                  <c:v>3037957</c:v>
                </c:pt>
                <c:pt idx="8">
                  <c:v>8384</c:v>
                </c:pt>
              </c:numCache>
            </c:numRef>
          </c:val>
        </c:ser>
        <c:ser>
          <c:idx val="2"/>
          <c:order val="2"/>
          <c:tx>
            <c:strRef>
              <c:f>'[2]ROCs by Tech &amp; Order'!$D$5</c:f>
              <c:strCache>
                <c:ptCount val="1"/>
                <c:pt idx="0">
                  <c:v>NIROCs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'ROCs by Tech &amp; Order'!$E$6:$E$15</c:f>
              <c:numCache>
                <c:ptCount val="10"/>
                <c:pt idx="0">
                  <c:v>6783</c:v>
                </c:pt>
                <c:pt idx="2">
                  <c:v>5905</c:v>
                </c:pt>
                <c:pt idx="3">
                  <c:v>7746</c:v>
                </c:pt>
                <c:pt idx="5">
                  <c:v>558</c:v>
                </c:pt>
                <c:pt idx="7">
                  <c:v>253889</c:v>
                </c:pt>
                <c:pt idx="9">
                  <c:v>2</c:v>
                </c:pt>
              </c:numCache>
            </c:numRef>
          </c:val>
        </c:ser>
        <c:overlap val="100"/>
        <c:axId val="21001972"/>
        <c:axId val="54800021"/>
      </c:barChart>
      <c:catAx>
        <c:axId val="2100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Technology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25" b="0" i="0" u="none" baseline="0"/>
            </a:pPr>
          </a:p>
        </c:tx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ROCs issued 000s
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001972"/>
        <c:crossesAt val="1"/>
        <c:crossBetween val="between"/>
        <c:dispUnits>
          <c:builtInUnit val="thousands"/>
        </c:dispUnits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0175"/>
          <c:w val="0.1045"/>
          <c:h val="0.084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/>
              <a:t>ROCs by Country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425"/>
          <c:y val="0.205"/>
          <c:w val="0.3995"/>
          <c:h val="0.65875"/>
        </c:manualLayout>
      </c:layout>
      <c:pieChart>
        <c:varyColors val="1"/>
        <c:ser>
          <c:idx val="0"/>
          <c:order val="0"/>
          <c:tx>
            <c:v>Country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'ROCs by Tech &amp; Country'!$B$4:$E$4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'ROCs by Tech &amp; Country'!$B$15:$E$15</c:f>
              <c:numCache>
                <c:ptCount val="4"/>
                <c:pt idx="0">
                  <c:v>24876953</c:v>
                </c:pt>
                <c:pt idx="1">
                  <c:v>2975674</c:v>
                </c:pt>
                <c:pt idx="2">
                  <c:v>9687472</c:v>
                </c:pt>
                <c:pt idx="3">
                  <c:v>274883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13</xdr:col>
      <xdr:colOff>828675</xdr:colOff>
      <xdr:row>25</xdr:row>
      <xdr:rowOff>123825</xdr:rowOff>
    </xdr:to>
    <xdr:graphicFrame>
      <xdr:nvGraphicFramePr>
        <xdr:cNvPr id="1" name="Chart 9"/>
        <xdr:cNvGraphicFramePr/>
      </xdr:nvGraphicFramePr>
      <xdr:xfrm>
        <a:off x="190500" y="209550"/>
        <a:ext cx="121443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00800"/>
    <xdr:graphicFrame>
      <xdr:nvGraphicFramePr>
        <xdr:cNvPr id="1" name="Shape 1025"/>
        <xdr:cNvGraphicFramePr/>
      </xdr:nvGraphicFramePr>
      <xdr:xfrm>
        <a:off x="0" y="0"/>
        <a:ext cx="109347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EWABLES\Ccl%20renewables%20exemption\Web%20lists\07%20Oct%20%2003%20CCL%20data%20website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Ops/Environ/RO_Team_Lib/Operational/3201_Statistics/RO%20Monthly%20Statistics/ROCs%20issued/RO_Weblist_0506_06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RO &amp; CCL accreditations"/>
      <sheetName val="Capacity Summary "/>
      <sheetName val="Capacity Chart"/>
      <sheetName val="LECs by Month"/>
      <sheetName val="LECs by Tech &amp; Country"/>
      <sheetName val="Tech &amp; Country Chart"/>
      <sheetName val="LECs By Country"/>
      <sheetName val="LECs by Country (UK only)"/>
      <sheetName val="England LECs by Tech"/>
      <sheetName val="Wales LECs by Tech"/>
      <sheetName val="Scotland LECs by Tech"/>
    </sheetNames>
    <sheetDataSet>
      <sheetData sheetId="0">
        <row r="12">
          <cell r="C12" t="str">
            <v>Stations in blue were accredited in September 03</v>
          </cell>
        </row>
        <row r="14">
          <cell r="B14" t="str">
            <v>CCL Accredited?</v>
          </cell>
          <cell r="C14" t="str">
            <v>Generating Station Name</v>
          </cell>
          <cell r="D14" t="str">
            <v>Total Installed Generating Capacity (kW)</v>
          </cell>
          <cell r="E14" t="str">
            <v>Operator Company</v>
          </cell>
          <cell r="F14" t="str">
            <v>RO Accreditation Number</v>
          </cell>
          <cell r="H14" t="str">
            <v>Generator Address</v>
          </cell>
          <cell r="I14" t="str">
            <v>Post Code</v>
          </cell>
          <cell r="J14" t="str">
            <v>Date Accreditation Effective</v>
          </cell>
          <cell r="K14" t="str">
            <v>Date Accredited by Ofgem</v>
          </cell>
        </row>
        <row r="16">
          <cell r="B16" t="str">
            <v>YES</v>
          </cell>
          <cell r="C16" t="str">
            <v>Eggborough Power Station</v>
          </cell>
          <cell r="D16">
            <v>10620</v>
          </cell>
          <cell r="E16" t="str">
            <v>Arbre Energy Ltd</v>
          </cell>
          <cell r="F16" t="str">
            <v>R00009RAEN</v>
          </cell>
          <cell r="G16">
            <v>1</v>
          </cell>
          <cell r="H16" t="str">
            <v>Eggborough Power Station, Eggborough, Near Selby, North Yorkshire</v>
          </cell>
          <cell r="J16">
            <v>37347</v>
          </cell>
          <cell r="K16">
            <v>37469</v>
          </cell>
        </row>
        <row r="17">
          <cell r="B17" t="str">
            <v>YES</v>
          </cell>
          <cell r="C17" t="str">
            <v>Elean Business Park*</v>
          </cell>
          <cell r="D17">
            <v>36850</v>
          </cell>
          <cell r="E17" t="str">
            <v>EPR Ely Ltd</v>
          </cell>
          <cell r="F17" t="str">
            <v>R00011RAEN/R00016RBEN</v>
          </cell>
          <cell r="G17">
            <v>1</v>
          </cell>
          <cell r="H17" t="str">
            <v>Elean Business Park, Sutton, Cambs</v>
          </cell>
          <cell r="J17">
            <v>37347</v>
          </cell>
          <cell r="K17">
            <v>37622</v>
          </cell>
        </row>
        <row r="18">
          <cell r="B18" t="str">
            <v>YES</v>
          </cell>
          <cell r="C18" t="str">
            <v>Eye Power Station (Fibropower)</v>
          </cell>
          <cell r="D18">
            <v>14316</v>
          </cell>
          <cell r="E18" t="str">
            <v>Fibropower Ltd</v>
          </cell>
          <cell r="F18" t="str">
            <v>R00006RAEN</v>
          </cell>
          <cell r="G18">
            <v>1</v>
          </cell>
          <cell r="H18" t="str">
            <v>Oaksmere Business Park
Eye
Suffolk
</v>
          </cell>
          <cell r="I18" t="str">
            <v>IP23 7DH</v>
          </cell>
          <cell r="J18">
            <v>37347</v>
          </cell>
        </row>
        <row r="19">
          <cell r="B19" t="str">
            <v>YES</v>
          </cell>
          <cell r="C19" t="str">
            <v>Fawley Waste to Energy Plant*</v>
          </cell>
          <cell r="D19">
            <v>8600</v>
          </cell>
          <cell r="E19" t="str">
            <v>Shanks Chemical Services Ltd</v>
          </cell>
          <cell r="F19" t="str">
            <v>R00002RAEN/R00011RBEN</v>
          </cell>
          <cell r="G19">
            <v>1</v>
          </cell>
          <cell r="H19" t="str">
            <v>Shanks, Charlestown Road
Hardley, Hythe
Hardley
Southampton
</v>
          </cell>
          <cell r="I19" t="str">
            <v>SO45 3ZA</v>
          </cell>
          <cell r="J19">
            <v>37347</v>
          </cell>
        </row>
        <row r="20">
          <cell r="B20" t="str">
            <v>YES</v>
          </cell>
          <cell r="C20" t="str">
            <v>Glanford Power Station (Fibrogen)</v>
          </cell>
          <cell r="D20">
            <v>16700</v>
          </cell>
          <cell r="E20" t="str">
            <v>Fibrogen Ltd</v>
          </cell>
          <cell r="F20" t="str">
            <v>R00005RAEN</v>
          </cell>
          <cell r="G20">
            <v>1</v>
          </cell>
          <cell r="H20" t="str">
            <v>Second Avenue
Flixborough Industrial Estate
Scunthorpe
North Lincolnshire
</v>
          </cell>
          <cell r="I20" t="str">
            <v>DN15 8SB</v>
          </cell>
          <cell r="J20">
            <v>37347</v>
          </cell>
        </row>
        <row r="21">
          <cell r="B21" t="str">
            <v>YES</v>
          </cell>
          <cell r="C21" t="str">
            <v>Goosey Lodge Power Plant</v>
          </cell>
          <cell r="D21">
            <v>5000</v>
          </cell>
          <cell r="E21" t="str">
            <v>Wykes Engineering Co.(Rushden) Ltd</v>
          </cell>
          <cell r="F21" t="str">
            <v>R00003RAEN</v>
          </cell>
          <cell r="G21">
            <v>1</v>
          </cell>
          <cell r="H21" t="str">
            <v>Goosey Lodge
Wymington
Rushden
Northants
</v>
          </cell>
          <cell r="I21" t="str">
            <v>NN10 9LU</v>
          </cell>
          <cell r="J21">
            <v>37347</v>
          </cell>
        </row>
        <row r="22">
          <cell r="B22" t="str">
            <v>YES</v>
          </cell>
          <cell r="C22" t="str">
            <v>Peabody Trust, BEDZED</v>
          </cell>
          <cell r="D22">
            <v>239</v>
          </cell>
          <cell r="E22" t="str">
            <v>Peabody Trust</v>
          </cell>
          <cell r="F22" t="str">
            <v>R00010RAEN</v>
          </cell>
          <cell r="G22">
            <v>1</v>
          </cell>
          <cell r="H22" t="str">
            <v>CHP Enclosure, 21 Sandmartin Way, BEDZED, Wallington, Surrey</v>
          </cell>
          <cell r="I22" t="str">
            <v>SM6 7DF</v>
          </cell>
          <cell r="J22">
            <v>37377</v>
          </cell>
          <cell r="K22">
            <v>37469</v>
          </cell>
        </row>
        <row r="23">
          <cell r="B23" t="str">
            <v>YES</v>
          </cell>
          <cell r="C23" t="str">
            <v>PDM Group Widnes</v>
          </cell>
          <cell r="D23">
            <v>2100</v>
          </cell>
          <cell r="E23" t="str">
            <v>PDM Group Ltd</v>
          </cell>
          <cell r="F23" t="str">
            <v>R00001RAEN</v>
          </cell>
          <cell r="G23">
            <v>1</v>
          </cell>
          <cell r="H23" t="str">
            <v>Granox Ltd, Desoto Road, West Bank Dock Estate, Widnes, Cheshire</v>
          </cell>
          <cell r="I23" t="str">
            <v>WA8 0PB</v>
          </cell>
          <cell r="J23">
            <v>37347</v>
          </cell>
        </row>
        <row r="24">
          <cell r="B24" t="str">
            <v>YES</v>
          </cell>
          <cell r="C24" t="str">
            <v>Thetford Power Station</v>
          </cell>
          <cell r="D24">
            <v>41500</v>
          </cell>
          <cell r="E24" t="str">
            <v>Fibrothetford Ltd, C/o Thetford Power Station</v>
          </cell>
          <cell r="F24" t="str">
            <v>R00007RAEN</v>
          </cell>
          <cell r="G24">
            <v>1</v>
          </cell>
          <cell r="H24" t="str">
            <v>Two Mile Bottom
Thetford
Norfolk
</v>
          </cell>
          <cell r="J24">
            <v>37347</v>
          </cell>
        </row>
        <row r="25">
          <cell r="B25" t="str">
            <v>YES</v>
          </cell>
          <cell r="C25" t="str">
            <v>Thornton Power Station</v>
          </cell>
          <cell r="D25">
            <v>9000</v>
          </cell>
          <cell r="E25" t="str">
            <v>TPS (UK) LTD</v>
          </cell>
          <cell r="F25" t="str">
            <v>R00008RAEN</v>
          </cell>
          <cell r="G25">
            <v>1</v>
          </cell>
          <cell r="H25" t="str">
            <v>Off Bourne Road, Hillhouse, Thornton, Lancashire</v>
          </cell>
          <cell r="I25" t="str">
            <v>FY5 4QD</v>
          </cell>
          <cell r="J25">
            <v>37347</v>
          </cell>
        </row>
        <row r="26">
          <cell r="B26" t="str">
            <v>YES</v>
          </cell>
          <cell r="C26" t="str">
            <v>Weston Industrial Estate*</v>
          </cell>
          <cell r="D26">
            <v>500</v>
          </cell>
          <cell r="E26" t="str">
            <v>Network Energy Ltd</v>
          </cell>
          <cell r="F26" t="str">
            <v>R00004RAEN/R00012RBEN</v>
          </cell>
          <cell r="G26">
            <v>1</v>
          </cell>
          <cell r="H26" t="str">
            <v>Honeybourne Nr Evesham
Worcestershire
</v>
          </cell>
          <cell r="I26" t="str">
            <v>WR11 5QB</v>
          </cell>
          <cell r="J26">
            <v>37347</v>
          </cell>
        </row>
        <row r="27">
          <cell r="B27" t="str">
            <v>YES</v>
          </cell>
          <cell r="C27" t="str">
            <v>The Westfield Biomass Plant</v>
          </cell>
          <cell r="D27">
            <v>12500</v>
          </cell>
          <cell r="E27" t="str">
            <v>The Westfield Biomass Plant/EPR Scotland Ltd</v>
          </cell>
          <cell r="F27" t="str">
            <v>R00001SASC</v>
          </cell>
          <cell r="G27">
            <v>1</v>
          </cell>
          <cell r="H27" t="str">
            <v>The Westfield Biomass Plant/EPR Scotland Ltd
The Westfield Biomass Plant
Westfield
By Cardenden
Fife
</v>
          </cell>
          <cell r="I27" t="str">
            <v>KY5 0HR</v>
          </cell>
          <cell r="J27">
            <v>37347</v>
          </cell>
        </row>
        <row r="28">
          <cell r="B28" t="str">
            <v>YES</v>
          </cell>
          <cell r="C28" t="str">
            <v>SA Cumnock WWTW*</v>
          </cell>
          <cell r="D28">
            <v>177</v>
          </cell>
          <cell r="E28" t="str">
            <v>Scottish Water</v>
          </cell>
          <cell r="F28" t="str">
            <v>R00003SASC</v>
          </cell>
          <cell r="G28">
            <v>1</v>
          </cell>
          <cell r="H28" t="str">
            <v>Auchinleck Road, Cumnock, East Ayrshire, Scotland.</v>
          </cell>
          <cell r="I28" t="str">
            <v>KA18 1RS</v>
          </cell>
          <cell r="J28">
            <v>37742</v>
          </cell>
          <cell r="K28">
            <v>37803</v>
          </cell>
        </row>
        <row r="29">
          <cell r="C29" t="str">
            <v>TOTAL NUMBER OF CCL STATIONS</v>
          </cell>
          <cell r="D29">
            <v>13</v>
          </cell>
          <cell r="G29">
            <v>0</v>
          </cell>
        </row>
        <row r="30">
          <cell r="C30" t="str">
            <v>TOTAL INSTALLED CCL GENERATING CAPACITY (kW)</v>
          </cell>
          <cell r="D30">
            <v>158102</v>
          </cell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B34" t="str">
            <v>YES</v>
          </cell>
          <cell r="C34" t="str">
            <v>Aberthaw B Power Station</v>
          </cell>
          <cell r="D34">
            <v>1552500</v>
          </cell>
          <cell r="E34" t="str">
            <v>Innogy PLC</v>
          </cell>
          <cell r="F34" t="str">
            <v>R00036RBEN</v>
          </cell>
          <cell r="G34">
            <v>1</v>
          </cell>
          <cell r="H34" t="str">
            <v>Aberthaw B Power Station, Innogy PLC, The Leys, Barry, Vale of Glamorgan</v>
          </cell>
          <cell r="I34" t="str">
            <v>CF62 4ZW</v>
          </cell>
          <cell r="J34">
            <v>37773</v>
          </cell>
          <cell r="K34">
            <v>37773</v>
          </cell>
        </row>
        <row r="35">
          <cell r="B35" t="str">
            <v>YES</v>
          </cell>
          <cell r="C35" t="str">
            <v>Alcan Lynmouth Power Station</v>
          </cell>
          <cell r="D35">
            <v>420000</v>
          </cell>
          <cell r="E35" t="str">
            <v>Alcan Smelting and Power UK</v>
          </cell>
          <cell r="F35" t="str">
            <v>R00038RBEN</v>
          </cell>
          <cell r="G35">
            <v>1</v>
          </cell>
          <cell r="H35" t="str">
            <v>Lynemouth Works Power Station, Ashington, Northumberland, England.</v>
          </cell>
          <cell r="I35" t="str">
            <v>NE63 9YH</v>
          </cell>
          <cell r="J35">
            <v>37861</v>
          </cell>
        </row>
        <row r="36">
          <cell r="B36" t="str">
            <v>YES</v>
          </cell>
          <cell r="C36" t="str">
            <v>Avonmouth STW CHP Generation</v>
          </cell>
          <cell r="D36">
            <v>5750</v>
          </cell>
          <cell r="E36" t="str">
            <v>Wessex Water Services Ltd</v>
          </cell>
          <cell r="F36" t="str">
            <v>R00010RBEN</v>
          </cell>
          <cell r="G36">
            <v>1</v>
          </cell>
          <cell r="H36" t="str">
            <v>Generating Station, Avonmouth STW, Kingsweston Lane, Avonmouth, Bristol</v>
          </cell>
          <cell r="I36" t="str">
            <v>BS11 9AA</v>
          </cell>
          <cell r="J36">
            <v>37347</v>
          </cell>
          <cell r="K36">
            <v>37469</v>
          </cell>
        </row>
        <row r="37">
          <cell r="B37" t="str">
            <v>YES</v>
          </cell>
          <cell r="C37" t="str">
            <v>Beckton STW Sludge Powered Generator</v>
          </cell>
          <cell r="D37">
            <v>11400</v>
          </cell>
          <cell r="E37" t="str">
            <v>Thames Water Utilities Ltd</v>
          </cell>
          <cell r="F37" t="str">
            <v>R00003RBEN</v>
          </cell>
          <cell r="G37">
            <v>1</v>
          </cell>
          <cell r="H37" t="str">
            <v>Jenkins Lane, Barking, Essex</v>
          </cell>
          <cell r="I37" t="str">
            <v>IG11 0KD</v>
          </cell>
          <cell r="J37">
            <v>37347</v>
          </cell>
        </row>
        <row r="38">
          <cell r="B38" t="str">
            <v>YES</v>
          </cell>
          <cell r="C38" t="str">
            <v>Cottam Power Station</v>
          </cell>
          <cell r="D38">
            <v>2000000</v>
          </cell>
          <cell r="E38" t="str">
            <v>Cottam Power Ltd</v>
          </cell>
          <cell r="F38" t="str">
            <v>R00015RBEN</v>
          </cell>
          <cell r="G38">
            <v>1</v>
          </cell>
          <cell r="H38" t="str">
            <v>Cottam Power Ltd, Cottam Power Station, PO Box 4, Retford, Nottinghamshire</v>
          </cell>
          <cell r="I38" t="str">
            <v>DN22 0ET</v>
          </cell>
          <cell r="J38">
            <v>37622</v>
          </cell>
          <cell r="K38">
            <v>37591</v>
          </cell>
        </row>
        <row r="39">
          <cell r="B39" t="str">
            <v>YES</v>
          </cell>
          <cell r="C39" t="str">
            <v>Crossness STW Sludge Powered Generator</v>
          </cell>
          <cell r="D39">
            <v>5900</v>
          </cell>
          <cell r="E39" t="str">
            <v>Thames Water Utilities Ltd</v>
          </cell>
          <cell r="F39" t="str">
            <v>R00004RBEN</v>
          </cell>
          <cell r="G39">
            <v>1</v>
          </cell>
          <cell r="H39" t="str">
            <v>Belvedere Road, Abbey Wood, London</v>
          </cell>
          <cell r="I39" t="str">
            <v>DA17 6JY</v>
          </cell>
          <cell r="J39">
            <v>37347</v>
          </cell>
        </row>
        <row r="40">
          <cell r="B40" t="str">
            <v>YES</v>
          </cell>
          <cell r="C40" t="str">
            <v>Didcot 'A' Power Station</v>
          </cell>
          <cell r="D40">
            <v>2100000</v>
          </cell>
          <cell r="E40" t="str">
            <v>Innogy plc</v>
          </cell>
          <cell r="F40" t="str">
            <v>R00018RBEN</v>
          </cell>
          <cell r="G40">
            <v>1</v>
          </cell>
          <cell r="H40" t="str">
            <v>Innogy plc, Didcot, Oxfordshire</v>
          </cell>
          <cell r="I40" t="str">
            <v>OX11 7HA</v>
          </cell>
          <cell r="J40">
            <v>37622</v>
          </cell>
          <cell r="K40">
            <v>37712</v>
          </cell>
        </row>
        <row r="41">
          <cell r="B41" t="str">
            <v>YES</v>
          </cell>
          <cell r="C41" t="str">
            <v>Drax Power Station</v>
          </cell>
          <cell r="D41">
            <v>4065000</v>
          </cell>
          <cell r="E41" t="str">
            <v>AES Drax Power Ltd</v>
          </cell>
          <cell r="F41" t="str">
            <v>R00035RBEN</v>
          </cell>
          <cell r="G41">
            <v>1</v>
          </cell>
          <cell r="H41" t="str">
            <v>Drax Power Station, PO Box 3, Selby, North Yorkshire</v>
          </cell>
          <cell r="I41" t="str">
            <v>YO8 8PQ</v>
          </cell>
          <cell r="J41">
            <v>37681</v>
          </cell>
          <cell r="K41">
            <v>37773</v>
          </cell>
        </row>
        <row r="42">
          <cell r="B42" t="str">
            <v>YES</v>
          </cell>
          <cell r="C42" t="str">
            <v>Drakelow Power Station</v>
          </cell>
          <cell r="D42">
            <v>333000</v>
          </cell>
          <cell r="E42" t="str">
            <v>TXU Energy</v>
          </cell>
          <cell r="F42" t="str">
            <v>R00007RBEN</v>
          </cell>
          <cell r="G42">
            <v>1</v>
          </cell>
          <cell r="H42" t="str">
            <v>Drakelow Power Station, Near Buton on Trent, Staffordshire</v>
          </cell>
          <cell r="I42" t="str">
            <v>DE15 9TZ</v>
          </cell>
          <cell r="J42">
            <v>37347</v>
          </cell>
          <cell r="K42">
            <v>37469</v>
          </cell>
        </row>
        <row r="43">
          <cell r="B43" t="str">
            <v>YES</v>
          </cell>
          <cell r="C43" t="str">
            <v>Eggborough Power Limited</v>
          </cell>
          <cell r="D43">
            <v>2000000</v>
          </cell>
          <cell r="E43" t="str">
            <v>Eggborough Power Station</v>
          </cell>
          <cell r="F43" t="str">
            <v>R00039RBEN</v>
          </cell>
          <cell r="G43">
            <v>1</v>
          </cell>
          <cell r="H43" t="str">
            <v>Eggborough Power Station, Eggborough, Goole, East Yorkshire</v>
          </cell>
          <cell r="I43" t="str">
            <v>DN14 0BS</v>
          </cell>
          <cell r="J43">
            <v>37861</v>
          </cell>
        </row>
        <row r="44">
          <cell r="B44" t="str">
            <v>YES</v>
          </cell>
          <cell r="C44" t="str">
            <v>Ferrybridge C Power Station</v>
          </cell>
          <cell r="D44">
            <v>2035000</v>
          </cell>
          <cell r="E44" t="str">
            <v>AEP Energy Services UK Generation Ltd</v>
          </cell>
          <cell r="F44" t="str">
            <v>R00005RBEN</v>
          </cell>
          <cell r="G44">
            <v>1</v>
          </cell>
          <cell r="H44" t="str">
            <v>Ferrybridge C Power Station, PO Box 39, Stranglands Lane, Knottingley, West Yorkshire</v>
          </cell>
          <cell r="I44" t="str">
            <v>WF11 8SQ</v>
          </cell>
          <cell r="J44">
            <v>37500</v>
          </cell>
        </row>
        <row r="45">
          <cell r="B45" t="str">
            <v>YES</v>
          </cell>
          <cell r="C45" t="str">
            <v>Fibrepower (Slough)</v>
          </cell>
          <cell r="D45">
            <v>12000</v>
          </cell>
          <cell r="E45" t="str">
            <v>Fibre Power (Slough) Ltd</v>
          </cell>
          <cell r="F45" t="str">
            <v>R00034RBEN</v>
          </cell>
          <cell r="G45">
            <v>1</v>
          </cell>
          <cell r="H45" t="str">
            <v>Greenock Road, Slough Trading Estate, Slough</v>
          </cell>
          <cell r="I45" t="str">
            <v>SL1 4QD</v>
          </cell>
          <cell r="J45">
            <v>37653</v>
          </cell>
          <cell r="K45">
            <v>37742</v>
          </cell>
        </row>
        <row r="46">
          <cell r="B46" t="str">
            <v>YES</v>
          </cell>
          <cell r="C46" t="str">
            <v>Fiddler's Ferry Power Station</v>
          </cell>
          <cell r="D46">
            <v>1995000</v>
          </cell>
          <cell r="E46" t="str">
            <v>AEP Energy Services UK Generation Ltd</v>
          </cell>
          <cell r="F46" t="str">
            <v>R00006RBEN</v>
          </cell>
          <cell r="G46">
            <v>1</v>
          </cell>
          <cell r="H46" t="str">
            <v>Fiddler's Ferry Power Station, Widnes Road, Cuerdley, Warrington, Cheshire</v>
          </cell>
          <cell r="I46" t="str">
            <v>WA5 2UT</v>
          </cell>
          <cell r="J46">
            <v>37622</v>
          </cell>
        </row>
        <row r="47">
          <cell r="B47" t="str">
            <v>YES</v>
          </cell>
          <cell r="C47" t="str">
            <v>High Marnham Power Station</v>
          </cell>
          <cell r="D47">
            <v>756000</v>
          </cell>
          <cell r="E47" t="str">
            <v>TXU Energy</v>
          </cell>
          <cell r="F47" t="str">
            <v>R00009RBEN</v>
          </cell>
          <cell r="G47">
            <v>1</v>
          </cell>
          <cell r="H47" t="str">
            <v>High Marnham Power Station, Near Newark, Notts</v>
          </cell>
          <cell r="I47" t="str">
            <v>NG23 6SE</v>
          </cell>
          <cell r="J47">
            <v>37347</v>
          </cell>
          <cell r="K47">
            <v>37469</v>
          </cell>
        </row>
        <row r="48">
          <cell r="B48" t="str">
            <v>YES</v>
          </cell>
          <cell r="C48" t="str">
            <v>Ironbridge Power Station</v>
          </cell>
          <cell r="D48">
            <v>970000</v>
          </cell>
          <cell r="E48" t="str">
            <v>TXU Energy</v>
          </cell>
          <cell r="F48" t="str">
            <v>R00008RBEN</v>
          </cell>
          <cell r="G48">
            <v>1</v>
          </cell>
          <cell r="H48" t="str">
            <v>Ironbridge Power Station, Buildwas Road, Telford, Shropshire</v>
          </cell>
          <cell r="I48" t="str">
            <v>TF8 7BL</v>
          </cell>
          <cell r="J48">
            <v>37347</v>
          </cell>
          <cell r="K48">
            <v>37469</v>
          </cell>
        </row>
        <row r="49">
          <cell r="B49" t="str">
            <v>YES</v>
          </cell>
          <cell r="C49" t="str">
            <v>Kingsnorth Power Station</v>
          </cell>
          <cell r="D49">
            <v>2034000</v>
          </cell>
          <cell r="E49" t="str">
            <v>Powergen UK plc</v>
          </cell>
          <cell r="F49" t="str">
            <v>R00014RBEN</v>
          </cell>
          <cell r="G49">
            <v>1</v>
          </cell>
          <cell r="H49" t="str">
            <v>Hoo St Werburgh, Rochester, Kent</v>
          </cell>
          <cell r="I49" t="str">
            <v>ME3 9NQ</v>
          </cell>
          <cell r="J49">
            <v>37591</v>
          </cell>
          <cell r="K49">
            <v>37591</v>
          </cell>
        </row>
        <row r="50">
          <cell r="B50" t="str">
            <v>YES</v>
          </cell>
          <cell r="C50" t="str">
            <v>Longreach STW</v>
          </cell>
          <cell r="D50">
            <v>2300</v>
          </cell>
          <cell r="E50" t="str">
            <v>Thames Water Utilities Limited</v>
          </cell>
          <cell r="F50" t="str">
            <v>R00040RBEN</v>
          </cell>
          <cell r="G50">
            <v>1</v>
          </cell>
          <cell r="H50" t="str">
            <v>Marsh Street, Off University Way, Dartford.</v>
          </cell>
          <cell r="I50" t="str">
            <v>DA1 SPP</v>
          </cell>
          <cell r="J50">
            <v>37773</v>
          </cell>
          <cell r="K50">
            <v>37869</v>
          </cell>
        </row>
        <row r="51">
          <cell r="B51" t="str">
            <v>YES</v>
          </cell>
          <cell r="C51" t="str">
            <v>Rugeley Power Station</v>
          </cell>
          <cell r="D51">
            <v>1000000</v>
          </cell>
          <cell r="E51" t="str">
            <v>Rugeley Power Ltd</v>
          </cell>
          <cell r="F51" t="str">
            <v>R00019RBEN</v>
          </cell>
          <cell r="G51">
            <v>1</v>
          </cell>
          <cell r="H51" t="str">
            <v>Rugeley Power Station, Rugeley, Staffordshire</v>
          </cell>
          <cell r="I51" t="str">
            <v>WS15 1PR</v>
          </cell>
          <cell r="J51">
            <v>37622</v>
          </cell>
          <cell r="K51">
            <v>37712</v>
          </cell>
        </row>
        <row r="52">
          <cell r="B52" t="str">
            <v>YES</v>
          </cell>
          <cell r="C52" t="str">
            <v>Shell Green Generation Plant</v>
          </cell>
          <cell r="D52">
            <v>4200</v>
          </cell>
          <cell r="E52" t="str">
            <v>United Utilities Water plc</v>
          </cell>
          <cell r="F52" t="str">
            <v>R00002RBEN</v>
          </cell>
          <cell r="G52">
            <v>1</v>
          </cell>
          <cell r="H52" t="str">
            <v>Shell Green Generation Plant
Shell Green Sludge Processing Plant
Gorsey Lane
Widnes
Cheshire
</v>
          </cell>
          <cell r="I52" t="str">
            <v>WA8 0RL</v>
          </cell>
          <cell r="J52">
            <v>37347</v>
          </cell>
        </row>
        <row r="53">
          <cell r="B53" t="str">
            <v>YES</v>
          </cell>
          <cell r="C53" t="str">
            <v>Slough Electricity Contracts Ltd</v>
          </cell>
          <cell r="D53">
            <v>35000</v>
          </cell>
          <cell r="E53" t="str">
            <v>Slough Utility Services Ltd/Slough Electricity Contracts Ltd</v>
          </cell>
          <cell r="F53" t="str">
            <v>R00001RBEN</v>
          </cell>
          <cell r="G53">
            <v>1</v>
          </cell>
          <cell r="H53" t="str">
            <v>342 Edinburgh Avenue
Slough
</v>
          </cell>
          <cell r="I53" t="str">
            <v>SL1 4TY</v>
          </cell>
          <cell r="J53">
            <v>37347</v>
          </cell>
        </row>
        <row r="54">
          <cell r="B54" t="str">
            <v>YES</v>
          </cell>
          <cell r="C54" t="str">
            <v>Tilbury Power Station</v>
          </cell>
          <cell r="D54">
            <v>1085000</v>
          </cell>
          <cell r="E54" t="str">
            <v>Innogy plc</v>
          </cell>
          <cell r="F54" t="str">
            <v>R00013RBEN</v>
          </cell>
          <cell r="G54">
            <v>1</v>
          </cell>
          <cell r="H54" t="str">
            <v>Fort Road, Tilbury, Essex</v>
          </cell>
          <cell r="I54" t="str">
            <v>RM18 8UJ</v>
          </cell>
          <cell r="J54">
            <v>37469</v>
          </cell>
          <cell r="K54">
            <v>37561</v>
          </cell>
        </row>
        <row r="55">
          <cell r="B55" t="str">
            <v>YES</v>
          </cell>
          <cell r="C55" t="str">
            <v>West Burton Power Station</v>
          </cell>
          <cell r="D55">
            <v>2040000</v>
          </cell>
          <cell r="E55" t="str">
            <v>West Burton Power Ltd</v>
          </cell>
          <cell r="F55" t="str">
            <v>R00017RBEN</v>
          </cell>
          <cell r="G55">
            <v>1</v>
          </cell>
          <cell r="H55" t="str">
            <v>West Burton Power Ltd, West Burton Power Station, Retford, Nottinghamshire</v>
          </cell>
          <cell r="I55" t="str">
            <v>DN22 9BL</v>
          </cell>
          <cell r="J55">
            <v>37653</v>
          </cell>
          <cell r="K55">
            <v>37653</v>
          </cell>
        </row>
        <row r="56">
          <cell r="B56" t="str">
            <v>YES</v>
          </cell>
          <cell r="C56" t="str">
            <v>Cockenzie Power Station</v>
          </cell>
          <cell r="D56">
            <v>1200000</v>
          </cell>
          <cell r="E56" t="str">
            <v>Scottish Power Generation Ltd</v>
          </cell>
          <cell r="F56" t="str">
            <v>R00004SBEN</v>
          </cell>
          <cell r="G56">
            <v>1</v>
          </cell>
          <cell r="H56" t="str">
            <v>Cockenzie Power Station, Prestonpaus</v>
          </cell>
          <cell r="I56" t="str">
            <v>EH32 9SD</v>
          </cell>
          <cell r="J56">
            <v>37895</v>
          </cell>
          <cell r="K56">
            <v>37889</v>
          </cell>
        </row>
        <row r="57">
          <cell r="B57" t="str">
            <v>YES</v>
          </cell>
          <cell r="C57" t="str">
            <v>Longannet Power Station</v>
          </cell>
          <cell r="D57">
            <v>2400000</v>
          </cell>
          <cell r="E57" t="str">
            <v>Scottish Power Generation Ltd</v>
          </cell>
          <cell r="F57" t="str">
            <v>R00001SBSC</v>
          </cell>
          <cell r="G57">
            <v>1</v>
          </cell>
          <cell r="H57" t="str">
            <v>Kincardine-on-Forth, By Alloa, Clackmannanshire, Scotland</v>
          </cell>
          <cell r="I57" t="str">
            <v>FK10 4AA</v>
          </cell>
          <cell r="J57">
            <v>37347</v>
          </cell>
        </row>
        <row r="58">
          <cell r="C58" t="str">
            <v>TOTAL NUMBER OF CCL STATIONS</v>
          </cell>
          <cell r="D58">
            <v>24</v>
          </cell>
          <cell r="G58">
            <v>0</v>
          </cell>
        </row>
        <row r="59">
          <cell r="C59" t="str">
            <v>TOTAL INSTALLED CCL GENERATING CAPACITY (kW)</v>
          </cell>
          <cell r="D59">
            <v>1319532</v>
          </cell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B63" t="str">
            <v>YES</v>
          </cell>
          <cell r="C63" t="str">
            <v>Holsworthy Biogas Company Project</v>
          </cell>
          <cell r="D63">
            <v>1560</v>
          </cell>
          <cell r="E63" t="str">
            <v>Holsworthy Biogas Ltd</v>
          </cell>
          <cell r="F63" t="str">
            <v>R00001RCEN</v>
          </cell>
          <cell r="G63">
            <v>1</v>
          </cell>
          <cell r="H63" t="str">
            <v>Holsworthy Biogas Company Project, Dobbles Land Ind Est, Holsworthy, Devon</v>
          </cell>
          <cell r="J63">
            <v>37347</v>
          </cell>
        </row>
        <row r="64">
          <cell r="B64" t="str">
            <v>YES</v>
          </cell>
          <cell r="C64" t="str">
            <v>Compact Power Avonmouth Plant</v>
          </cell>
          <cell r="D64">
            <v>225</v>
          </cell>
          <cell r="E64" t="str">
            <v>Compact Power Limited</v>
          </cell>
          <cell r="F64" t="str">
            <v>R00001RNEN</v>
          </cell>
          <cell r="G64">
            <v>1</v>
          </cell>
          <cell r="H64" t="str">
            <v>Avonmouth Refuse Transfer Station, Kingsweston Lane, Avonmouth, Bristol</v>
          </cell>
          <cell r="I64" t="str">
            <v>BS11 0YS</v>
          </cell>
          <cell r="J64">
            <v>37653</v>
          </cell>
          <cell r="K64">
            <v>37742</v>
          </cell>
        </row>
        <row r="65">
          <cell r="C65" t="str">
            <v>TOTAL NUMBER OF CCL STATIONS</v>
          </cell>
          <cell r="D65">
            <v>2</v>
          </cell>
          <cell r="G65">
            <v>0</v>
          </cell>
        </row>
        <row r="66">
          <cell r="C66" t="str">
            <v>TOTAL INSTALLED CCL GENERATING CAPACITY (kW)</v>
          </cell>
          <cell r="D66">
            <v>1785</v>
          </cell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B69" t="str">
            <v>YES</v>
          </cell>
          <cell r="C69" t="str">
            <v>Blackburn Hydro at Blackburn WWTW</v>
          </cell>
          <cell r="D69">
            <v>200</v>
          </cell>
          <cell r="E69" t="str">
            <v>United Utilities Water plc</v>
          </cell>
          <cell r="F69" t="str">
            <v>R00002RDEN</v>
          </cell>
          <cell r="G69">
            <v>1</v>
          </cell>
          <cell r="H69" t="str">
            <v>Cuerdale Lane
Salmesbury
Preston
</v>
          </cell>
          <cell r="I69" t="str">
            <v>PR5 0UY</v>
          </cell>
          <cell r="J69">
            <v>37347</v>
          </cell>
        </row>
        <row r="70">
          <cell r="B70" t="str">
            <v>YES</v>
          </cell>
          <cell r="C70" t="str">
            <v>Nantcol Works</v>
          </cell>
          <cell r="D70">
            <v>60</v>
          </cell>
          <cell r="E70" t="str">
            <v>David Cooke (Nantcol) Ltd</v>
          </cell>
          <cell r="F70" t="str">
            <v>R00001RDWA</v>
          </cell>
          <cell r="G70">
            <v>1</v>
          </cell>
          <cell r="H70" t="str">
            <v>Nantcol Works
Llanbedr
Gwynedd
</v>
          </cell>
          <cell r="I70" t="str">
            <v>LL45 2ND</v>
          </cell>
          <cell r="J70">
            <v>37347</v>
          </cell>
        </row>
        <row r="71">
          <cell r="B71" t="str">
            <v>YES</v>
          </cell>
          <cell r="C71" t="str">
            <v>Plas Yn Vivod Hydro Station</v>
          </cell>
          <cell r="D71">
            <v>13</v>
          </cell>
          <cell r="E71" t="str">
            <v>Plas Yn Vivod</v>
          </cell>
          <cell r="F71" t="str">
            <v>R00008RDWA</v>
          </cell>
          <cell r="G71">
            <v>1</v>
          </cell>
          <cell r="H71" t="str">
            <v>Llangollen, North Wales</v>
          </cell>
          <cell r="I71" t="str">
            <v>LL20 7LS</v>
          </cell>
          <cell r="J71">
            <v>37860</v>
          </cell>
        </row>
        <row r="72">
          <cell r="B72" t="str">
            <v>YES</v>
          </cell>
          <cell r="C72" t="str">
            <v>Wallbridge Mill</v>
          </cell>
          <cell r="D72">
            <v>10</v>
          </cell>
          <cell r="E72" t="str">
            <v>Martin Whitfield</v>
          </cell>
          <cell r="F72" t="str">
            <v>R00003RDEN</v>
          </cell>
          <cell r="G72">
            <v>1</v>
          </cell>
          <cell r="H72" t="str">
            <v>Wallbridge Mill, The Retreat, Frome, Somerset</v>
          </cell>
          <cell r="I72" t="str">
            <v>BA11 5JU</v>
          </cell>
          <cell r="J72">
            <v>37347</v>
          </cell>
          <cell r="K72">
            <v>37469</v>
          </cell>
        </row>
        <row r="73">
          <cell r="B73" t="str">
            <v>YES</v>
          </cell>
          <cell r="C73" t="str">
            <v>Worsthorne Hydro at Wordsthorne WTW</v>
          </cell>
          <cell r="D73">
            <v>87</v>
          </cell>
          <cell r="E73" t="str">
            <v>United Utilities Plc</v>
          </cell>
          <cell r="F73" t="str">
            <v>R00004RDEN</v>
          </cell>
          <cell r="G73">
            <v>1</v>
          </cell>
          <cell r="H73" t="str">
            <v>United Utilities, Worsthorne Water Treatment Works, Brownside Road, Worsthorne, Burnley </v>
          </cell>
          <cell r="I73" t="str">
            <v>BB10 3LP</v>
          </cell>
          <cell r="J73">
            <v>37622</v>
          </cell>
          <cell r="K73">
            <v>37712</v>
          </cell>
        </row>
        <row r="74">
          <cell r="B74" t="str">
            <v>YES</v>
          </cell>
          <cell r="C74" t="str">
            <v>Ardverikie</v>
          </cell>
          <cell r="D74">
            <v>1100</v>
          </cell>
          <cell r="E74" t="str">
            <v>Ardverikie Estates Ltd</v>
          </cell>
          <cell r="F74" t="str">
            <v>R00007SDSC</v>
          </cell>
          <cell r="G74">
            <v>1</v>
          </cell>
          <cell r="H74" t="str">
            <v>Ardverikie Power House
Kinlochlaggan
Newtonmore
Invernesshire
</v>
          </cell>
          <cell r="I74" t="str">
            <v>PH20 1BX</v>
          </cell>
          <cell r="J74">
            <v>37347</v>
          </cell>
        </row>
        <row r="75">
          <cell r="B75" t="str">
            <v>YES</v>
          </cell>
          <cell r="C75" t="str">
            <v>Ashfield Generator</v>
          </cell>
          <cell r="D75">
            <v>315</v>
          </cell>
          <cell r="E75" t="str">
            <v>CR Foster &amp; Partners</v>
          </cell>
          <cell r="F75" t="str">
            <v>R00001SDSC</v>
          </cell>
          <cell r="G75">
            <v>1</v>
          </cell>
          <cell r="H75" t="str">
            <v>Ashfield Farm
Achnamara
By Lochgilphead
Argyll
</v>
          </cell>
          <cell r="I75" t="str">
            <v>PA31 8PT</v>
          </cell>
          <cell r="J75">
            <v>37347</v>
          </cell>
        </row>
        <row r="76">
          <cell r="B76" t="str">
            <v>YES</v>
          </cell>
          <cell r="C76" t="str">
            <v>Balgonie Hydro Power Station</v>
          </cell>
          <cell r="D76">
            <v>650</v>
          </cell>
          <cell r="E76" t="str">
            <v>Dr A R Middleton/ Mairi Long</v>
          </cell>
          <cell r="F76" t="str">
            <v>R00011SDSC</v>
          </cell>
          <cell r="G76">
            <v>1</v>
          </cell>
          <cell r="H76" t="str">
            <v>Balgonie Hydro Power Station
Balgonie Castle
Markinch
Glenrothes
Fife
</v>
          </cell>
          <cell r="I76" t="str">
            <v>KY7 6HQ</v>
          </cell>
          <cell r="J76">
            <v>37347</v>
          </cell>
        </row>
        <row r="77">
          <cell r="B77" t="str">
            <v>YES</v>
          </cell>
          <cell r="C77" t="str">
            <v>Bridge of Tilt</v>
          </cell>
          <cell r="D77">
            <v>150</v>
          </cell>
          <cell r="E77" t="str">
            <v>Bridge of Tilt Co. Ltd</v>
          </cell>
          <cell r="F77" t="str">
            <v>R00017SDSC</v>
          </cell>
          <cell r="G77">
            <v>1</v>
          </cell>
          <cell r="H77" t="str">
            <v>c/o Lude Estate Office, Blair Atholl</v>
          </cell>
          <cell r="I77" t="str">
            <v>PH18 5TS</v>
          </cell>
          <cell r="J77">
            <v>37347</v>
          </cell>
        </row>
        <row r="78">
          <cell r="B78" t="str">
            <v>YES</v>
          </cell>
          <cell r="C78" t="str">
            <v>Burnhead Power Station</v>
          </cell>
          <cell r="D78">
            <v>550</v>
          </cell>
          <cell r="E78" t="str">
            <v>Fred Olsen Ltd</v>
          </cell>
          <cell r="F78" t="str">
            <v>R00018SDSC</v>
          </cell>
          <cell r="G78">
            <v>1</v>
          </cell>
          <cell r="H78" t="str">
            <v>Burnhead Power Station, Burnhead, Forrest Estate, Dalry, Castle Douglas</v>
          </cell>
          <cell r="I78" t="str">
            <v>DG7 3XS</v>
          </cell>
          <cell r="J78">
            <v>37347</v>
          </cell>
        </row>
        <row r="79">
          <cell r="B79" t="str">
            <v>YES</v>
          </cell>
          <cell r="C79" t="str">
            <v>Cauldron Linn</v>
          </cell>
          <cell r="D79">
            <v>436</v>
          </cell>
          <cell r="E79" t="str">
            <v>Blairhill Water Power Co. Ltd</v>
          </cell>
          <cell r="F79" t="str">
            <v>R00012SDSC</v>
          </cell>
          <cell r="G79">
            <v>1</v>
          </cell>
          <cell r="H79" t="str">
            <v>Blairhill
Rumbling Bridge
Kinross
</v>
          </cell>
          <cell r="J79">
            <v>37347</v>
          </cell>
        </row>
        <row r="80">
          <cell r="B80" t="str">
            <v>YES</v>
          </cell>
          <cell r="C80" t="str">
            <v>Clachbreck</v>
          </cell>
          <cell r="D80">
            <v>100</v>
          </cell>
          <cell r="E80" t="str">
            <v>Inver Farmers</v>
          </cell>
          <cell r="F80" t="str">
            <v>R00003SDSC</v>
          </cell>
          <cell r="G80">
            <v>1</v>
          </cell>
          <cell r="H80" t="str">
            <v>Ormsary
Lochgilphead
Argyll
</v>
          </cell>
          <cell r="I80" t="str">
            <v>PA31 8PE</v>
          </cell>
          <cell r="J80">
            <v>37347</v>
          </cell>
        </row>
        <row r="81">
          <cell r="B81" t="str">
            <v>YES</v>
          </cell>
          <cell r="C81" t="str">
            <v>Deanston HES</v>
          </cell>
          <cell r="D81">
            <v>420</v>
          </cell>
          <cell r="E81" t="str">
            <v>Hydro Energy Developments Ltd</v>
          </cell>
          <cell r="F81" t="str">
            <v>R00013SDSC</v>
          </cell>
          <cell r="G81">
            <v>1</v>
          </cell>
          <cell r="H81" t="str">
            <v>The Turbine House
Deanston Distillery
Doune
Perthshire
</v>
          </cell>
          <cell r="J81">
            <v>37347</v>
          </cell>
        </row>
        <row r="82">
          <cell r="B82" t="str">
            <v>YES</v>
          </cell>
          <cell r="C82" t="str">
            <v>Drimsynie Estate Power Station</v>
          </cell>
          <cell r="D82">
            <v>400</v>
          </cell>
          <cell r="E82" t="str">
            <v>Drimsynie Construction</v>
          </cell>
          <cell r="F82" t="str">
            <v>R00006SDSC</v>
          </cell>
          <cell r="G82">
            <v>1</v>
          </cell>
          <cell r="H82" t="str">
            <v>Lettermay
Drimsynie Estates
Lochgoilhead
Argyle
</v>
          </cell>
          <cell r="I82" t="str">
            <v>PA23 8AD</v>
          </cell>
          <cell r="J82">
            <v>37347</v>
          </cell>
        </row>
        <row r="83">
          <cell r="B83" t="str">
            <v>YES</v>
          </cell>
          <cell r="C83" t="str">
            <v>Eliock Hydro Electric Station</v>
          </cell>
          <cell r="D83">
            <v>560</v>
          </cell>
          <cell r="E83" t="str">
            <v>Eliock Hydro Electric Company Ltd</v>
          </cell>
          <cell r="F83" t="str">
            <v>R00004SDSC</v>
          </cell>
          <cell r="G83">
            <v>1</v>
          </cell>
          <cell r="H83" t="str">
            <v>Nr Eliock Sawmill
Sanquhar
Dumfriesshire
</v>
          </cell>
          <cell r="I83" t="str">
            <v>DG4 8LE</v>
          </cell>
          <cell r="J83">
            <v>37347</v>
          </cell>
        </row>
        <row r="84">
          <cell r="B84" t="str">
            <v>YES</v>
          </cell>
          <cell r="C84" t="str">
            <v>Fettykil Mills</v>
          </cell>
          <cell r="D84">
            <v>400</v>
          </cell>
          <cell r="E84" t="str">
            <v>Smith, Anderson and Co Ltd</v>
          </cell>
          <cell r="F84" t="str">
            <v>R00015SDSC</v>
          </cell>
          <cell r="G84">
            <v>1</v>
          </cell>
          <cell r="H84" t="str">
            <v>Fettykil Mills
Smith, Anderson and Co Ltd
Fettykil Mills
Leslie
Glenrothes
Fife
</v>
          </cell>
          <cell r="I84" t="str">
            <v>KY6 3AQ</v>
          </cell>
          <cell r="J84">
            <v>37347</v>
          </cell>
        </row>
        <row r="85">
          <cell r="B85" t="str">
            <v>YES</v>
          </cell>
          <cell r="C85" t="str">
            <v>Forebush Power Station</v>
          </cell>
          <cell r="D85">
            <v>650</v>
          </cell>
          <cell r="E85" t="str">
            <v>Fred Olsen Ltd</v>
          </cell>
          <cell r="F85" t="str">
            <v>R00020SDSC</v>
          </cell>
          <cell r="G85">
            <v>1</v>
          </cell>
          <cell r="H85" t="str">
            <v>Forebush Power Station, Forebush, Forrest Estate, Dalry, Castle Douglas</v>
          </cell>
          <cell r="I85" t="str">
            <v>DG7 3XS</v>
          </cell>
          <cell r="J85">
            <v>37347</v>
          </cell>
        </row>
        <row r="86">
          <cell r="B86" t="str">
            <v>YES</v>
          </cell>
          <cell r="C86" t="str">
            <v>Glenmore Power Station</v>
          </cell>
          <cell r="D86">
            <v>120</v>
          </cell>
          <cell r="E86" t="str">
            <v>Tullich Farms</v>
          </cell>
          <cell r="F86" t="str">
            <v>R00008SDSC</v>
          </cell>
          <cell r="G86">
            <v>1</v>
          </cell>
          <cell r="H86" t="str">
            <v>Tullich Farms
Kilmelford
Argyll
</v>
          </cell>
          <cell r="I86" t="str">
            <v>PA34 4XA</v>
          </cell>
          <cell r="J86">
            <v>37347</v>
          </cell>
        </row>
        <row r="87">
          <cell r="B87" t="str">
            <v>YES</v>
          </cell>
          <cell r="C87" t="str">
            <v>Glenlyon Estate</v>
          </cell>
          <cell r="D87">
            <v>170</v>
          </cell>
          <cell r="E87" t="str">
            <v>Lars Foghsgaard Glenlyon Estate</v>
          </cell>
          <cell r="F87" t="str">
            <v>R00016SDSC</v>
          </cell>
          <cell r="G87">
            <v>1</v>
          </cell>
          <cell r="H87" t="str">
            <v>Glenlyon Estate, Fortineall, Aberfeldy, Perthshire</v>
          </cell>
          <cell r="J87">
            <v>37347</v>
          </cell>
        </row>
        <row r="88">
          <cell r="B88" t="str">
            <v>YES</v>
          </cell>
          <cell r="C88" t="str">
            <v>Inver Estate</v>
          </cell>
          <cell r="D88">
            <v>29</v>
          </cell>
          <cell r="E88" t="str">
            <v>Inver Farmers</v>
          </cell>
          <cell r="F88" t="str">
            <v>R00022SDSC</v>
          </cell>
          <cell r="G88">
            <v>1</v>
          </cell>
          <cell r="H88" t="str">
            <v>Inver Estate, Isle of Jura, Argyll, Scotland</v>
          </cell>
          <cell r="J88">
            <v>37347</v>
          </cell>
          <cell r="K88">
            <v>37561</v>
          </cell>
        </row>
        <row r="89">
          <cell r="B89" t="str">
            <v>YES</v>
          </cell>
          <cell r="C89" t="str">
            <v>Knoydart Hydro</v>
          </cell>
          <cell r="D89">
            <v>280</v>
          </cell>
          <cell r="E89" t="str">
            <v>Knoydart Hydro Ltd</v>
          </cell>
          <cell r="F89" t="str">
            <v>R00023SDSC</v>
          </cell>
          <cell r="G89">
            <v>1</v>
          </cell>
          <cell r="H89" t="str">
            <v>Knoydart Hydro, Inverie, By Mallaig, Inverness-shire</v>
          </cell>
          <cell r="I89" t="str">
            <v>PH41 4PL</v>
          </cell>
          <cell r="J89">
            <v>37530</v>
          </cell>
          <cell r="K89">
            <v>37591</v>
          </cell>
        </row>
        <row r="90">
          <cell r="B90" t="str">
            <v>YES</v>
          </cell>
          <cell r="C90" t="str">
            <v>Mannoch Power Station</v>
          </cell>
          <cell r="D90">
            <v>257</v>
          </cell>
          <cell r="E90" t="str">
            <v>Fred Olsen Ltd</v>
          </cell>
          <cell r="F90" t="str">
            <v>R00019SDSC</v>
          </cell>
          <cell r="G90">
            <v>1</v>
          </cell>
          <cell r="H90" t="str">
            <v>Mannoch Power Station, Mannoch, Forrest Estate, Dalry, Castle Douglas</v>
          </cell>
          <cell r="I90" t="str">
            <v>DG7 3XS</v>
          </cell>
          <cell r="J90">
            <v>37347</v>
          </cell>
        </row>
        <row r="91">
          <cell r="B91" t="str">
            <v>YES</v>
          </cell>
          <cell r="C91" t="str">
            <v>Monzie Hydro Electric</v>
          </cell>
          <cell r="D91">
            <v>200</v>
          </cell>
          <cell r="E91" t="str">
            <v>Monzie Hydro Electric Partnership</v>
          </cell>
          <cell r="F91" t="str">
            <v>R00010SDSC</v>
          </cell>
          <cell r="G91">
            <v>1</v>
          </cell>
          <cell r="H91" t="str">
            <v>Monzie
Crieff
Perthshire
</v>
          </cell>
          <cell r="I91" t="str">
            <v>PH7 4HE</v>
          </cell>
          <cell r="J91">
            <v>37347</v>
          </cell>
        </row>
        <row r="92">
          <cell r="B92" t="str">
            <v>YES</v>
          </cell>
          <cell r="C92" t="str">
            <v>MRC Energy</v>
          </cell>
          <cell r="D92">
            <v>450</v>
          </cell>
          <cell r="E92" t="str">
            <v>MRC Energy Ltd</v>
          </cell>
          <cell r="F92" t="str">
            <v>R00009SDSC</v>
          </cell>
          <cell r="G92">
            <v>1</v>
          </cell>
          <cell r="H92" t="str">
            <v>The Marine Resource Centre
Barcaldine
Oban
Argyll
</v>
          </cell>
          <cell r="I92" t="str">
            <v>PA37 1SH</v>
          </cell>
          <cell r="J92">
            <v>37347</v>
          </cell>
        </row>
        <row r="93">
          <cell r="B93" t="str">
            <v>YES</v>
          </cell>
          <cell r="C93" t="str">
            <v>New Lanark Mills</v>
          </cell>
          <cell r="D93">
            <v>500</v>
          </cell>
          <cell r="E93" t="str">
            <v>New Lanark Conservation Trust</v>
          </cell>
          <cell r="F93" t="str">
            <v>R00002SDSC</v>
          </cell>
          <cell r="G93">
            <v>1</v>
          </cell>
          <cell r="H93" t="str">
            <v>New Lanark Mills
New Lanark
</v>
          </cell>
          <cell r="I93" t="str">
            <v>ML11 9DB</v>
          </cell>
          <cell r="J93">
            <v>37347</v>
          </cell>
        </row>
        <row r="94">
          <cell r="B94" t="str">
            <v>YES</v>
          </cell>
          <cell r="C94" t="str">
            <v>Ormsary</v>
          </cell>
          <cell r="D94">
            <v>785</v>
          </cell>
          <cell r="E94" t="str">
            <v>Ormsary Farmers</v>
          </cell>
          <cell r="F94" t="str">
            <v>R00005SDSC</v>
          </cell>
          <cell r="G94">
            <v>1</v>
          </cell>
          <cell r="H94" t="str">
            <v>Ormsary Estate
Ormsary
Lochgilphead
Argyll
</v>
          </cell>
          <cell r="I94" t="str">
            <v>PA31 8PE</v>
          </cell>
          <cell r="J94">
            <v>37347</v>
          </cell>
        </row>
        <row r="95">
          <cell r="B95" t="str">
            <v>YES</v>
          </cell>
          <cell r="C95" t="str">
            <v>Rothes Hydro Turbine</v>
          </cell>
          <cell r="D95">
            <v>165</v>
          </cell>
          <cell r="E95" t="str">
            <v>Tullis Russell Papermakers Ltd</v>
          </cell>
          <cell r="F95" t="str">
            <v>R00025SDSC</v>
          </cell>
          <cell r="G95">
            <v>1</v>
          </cell>
          <cell r="H95" t="str">
            <v>Tullis Russell Papermakers Ltd, Markinch, Glenrothes, Fife</v>
          </cell>
          <cell r="I95" t="str">
            <v>KY7 6PB</v>
          </cell>
          <cell r="J95">
            <v>37591</v>
          </cell>
          <cell r="K95">
            <v>37653</v>
          </cell>
        </row>
        <row r="96">
          <cell r="B96" t="str">
            <v>YES</v>
          </cell>
          <cell r="C96" t="str">
            <v>Stormontfield Hydro Station</v>
          </cell>
          <cell r="D96">
            <v>110</v>
          </cell>
          <cell r="E96" t="str">
            <v>TLS Hydro Power Ltd</v>
          </cell>
          <cell r="F96" t="str">
            <v>R00024SDSC</v>
          </cell>
          <cell r="G96">
            <v>1</v>
          </cell>
          <cell r="H96" t="str">
            <v>Stormontfield Hydro Station, Stormontfield, Perth</v>
          </cell>
          <cell r="I96" t="str">
            <v>PH2 6BJ</v>
          </cell>
          <cell r="J96">
            <v>37561</v>
          </cell>
          <cell r="K96">
            <v>37622</v>
          </cell>
        </row>
        <row r="97">
          <cell r="B97" t="str">
            <v>YES</v>
          </cell>
          <cell r="C97" t="str">
            <v>Twin Loch Hydro </v>
          </cell>
          <cell r="D97">
            <v>500</v>
          </cell>
          <cell r="E97" t="str">
            <v>C R Foster &amp; Partners</v>
          </cell>
          <cell r="F97" t="str">
            <v>R00050SDSC</v>
          </cell>
          <cell r="G97">
            <v>1</v>
          </cell>
          <cell r="H97" t="str">
            <v>Ashfield Farm, Achnamara, By Lochgilphead, Argyll, Scotland</v>
          </cell>
          <cell r="I97" t="str">
            <v>PA31 8PT</v>
          </cell>
          <cell r="J97">
            <v>37861</v>
          </cell>
        </row>
        <row r="98">
          <cell r="B98" t="str">
            <v>YES</v>
          </cell>
          <cell r="C98" t="str">
            <v>Victoria Falls Station</v>
          </cell>
          <cell r="D98">
            <v>1000</v>
          </cell>
          <cell r="E98" t="str">
            <v>Garbhaig Hydro Power Ltd</v>
          </cell>
          <cell r="F98" t="str">
            <v>R00014SDSC</v>
          </cell>
          <cell r="G98">
            <v>1</v>
          </cell>
          <cell r="H98" t="str">
            <v>Loch Garbhaig
Strattadale
Ross-shire
</v>
          </cell>
          <cell r="J98">
            <v>37347</v>
          </cell>
        </row>
        <row r="99">
          <cell r="B99" t="str">
            <v>YES</v>
          </cell>
          <cell r="C99" t="str">
            <v>West Cromwell Park, Almond Bank</v>
          </cell>
          <cell r="D99">
            <v>110</v>
          </cell>
          <cell r="E99" t="str">
            <v>Kestral Controls Ltd</v>
          </cell>
          <cell r="F99" t="str">
            <v>R00021SDSC</v>
          </cell>
          <cell r="G99">
            <v>1</v>
          </cell>
          <cell r="H99" t="str">
            <v>MOD Site no 6, West Cromwell Park, Almond Bank, Nr Perth</v>
          </cell>
          <cell r="J99">
            <v>37347</v>
          </cell>
          <cell r="K99">
            <v>37500</v>
          </cell>
        </row>
        <row r="100">
          <cell r="D100">
            <v>31</v>
          </cell>
          <cell r="G100">
            <v>0</v>
          </cell>
        </row>
        <row r="101">
          <cell r="D101">
            <v>10777</v>
          </cell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B104" t="str">
            <v>YES</v>
          </cell>
          <cell r="C104" t="str">
            <v>Afon Iwrch Hydro Power Station</v>
          </cell>
          <cell r="D104">
            <v>365</v>
          </cell>
          <cell r="E104" t="str">
            <v>Novera Energy Europe Ltd</v>
          </cell>
          <cell r="F104" t="str">
            <v>R00023REWA</v>
          </cell>
          <cell r="G104">
            <v>1</v>
          </cell>
          <cell r="H104" t="str">
            <v>Nant
Llanrhaeadr-ym-Monchnant
Powys
</v>
          </cell>
          <cell r="J104">
            <v>37347</v>
          </cell>
        </row>
        <row r="105">
          <cell r="B105" t="str">
            <v>YES</v>
          </cell>
          <cell r="C105" t="str">
            <v>Afon Ty-Cerig Hydro</v>
          </cell>
          <cell r="D105">
            <v>200</v>
          </cell>
          <cell r="E105" t="str">
            <v>Ty Cerig Dulas Limited</v>
          </cell>
          <cell r="F105" t="str">
            <v>R00084REWA</v>
          </cell>
          <cell r="G105">
            <v>1</v>
          </cell>
          <cell r="H105" t="str">
            <v>Ty Cerig, Rhydymain, Gwynedd</v>
          </cell>
          <cell r="I105" t="str">
            <v>SY20 9HR</v>
          </cell>
          <cell r="J105">
            <v>37742</v>
          </cell>
          <cell r="K105">
            <v>37773</v>
          </cell>
        </row>
        <row r="106">
          <cell r="B106" t="str">
            <v>YES</v>
          </cell>
          <cell r="C106" t="str">
            <v>Back Barrow Hydro</v>
          </cell>
          <cell r="D106">
            <v>396</v>
          </cell>
          <cell r="E106" t="str">
            <v>Lowwood Products Co. Ltd</v>
          </cell>
          <cell r="F106" t="str">
            <v>R00034REEN</v>
          </cell>
          <cell r="G106">
            <v>1</v>
          </cell>
          <cell r="H106" t="str">
            <v>River Leven, Back Barrow</v>
          </cell>
          <cell r="J106">
            <v>37347</v>
          </cell>
        </row>
        <row r="107">
          <cell r="B107" t="str">
            <v>YES</v>
          </cell>
          <cell r="C107" t="str">
            <v>Barton Hydro</v>
          </cell>
          <cell r="D107">
            <v>678</v>
          </cell>
          <cell r="E107" t="str">
            <v>United Utilites Green Energy Ltd</v>
          </cell>
          <cell r="F107" t="str">
            <v>R00015REEN</v>
          </cell>
          <cell r="G107">
            <v>1</v>
          </cell>
          <cell r="H107" t="str">
            <v>Davyhulme Locks
Davy Hulme
Eccles
Manchester
</v>
          </cell>
          <cell r="I107" t="str">
            <v>M30 0FG</v>
          </cell>
          <cell r="J107">
            <v>37347</v>
          </cell>
        </row>
        <row r="108">
          <cell r="B108" t="str">
            <v>YES</v>
          </cell>
          <cell r="C108" t="str">
            <v>Beeston Weir</v>
          </cell>
          <cell r="D108">
            <v>1676</v>
          </cell>
          <cell r="E108" t="str">
            <v>United Utilites Green Energy Ltd</v>
          </cell>
          <cell r="F108" t="str">
            <v>R00012REEN</v>
          </cell>
          <cell r="G108">
            <v>1</v>
          </cell>
          <cell r="H108" t="str">
            <v>River Trent
Beeston
Nottingham
</v>
          </cell>
          <cell r="J108">
            <v>37347</v>
          </cell>
        </row>
        <row r="109">
          <cell r="B109" t="str">
            <v>YES</v>
          </cell>
          <cell r="C109" t="str">
            <v>Belper Mill</v>
          </cell>
          <cell r="D109">
            <v>350</v>
          </cell>
          <cell r="E109" t="str">
            <v>Derwent Hydroelectric Power Ltd</v>
          </cell>
          <cell r="F109" t="str">
            <v>R00036REEN</v>
          </cell>
          <cell r="G109">
            <v>1</v>
          </cell>
          <cell r="H109" t="str">
            <v>Belper Mill, The Turbine House, East Mill, Bridge Street, Belper Derbyshire</v>
          </cell>
          <cell r="J109">
            <v>37347</v>
          </cell>
          <cell r="K109">
            <v>37469</v>
          </cell>
        </row>
        <row r="110">
          <cell r="B110" t="str">
            <v>YES</v>
          </cell>
          <cell r="C110" t="str">
            <v>Blantyre Mill</v>
          </cell>
          <cell r="D110">
            <v>570</v>
          </cell>
          <cell r="E110" t="str">
            <v>Innogy plc</v>
          </cell>
          <cell r="F110" t="str">
            <v>R00017RESC</v>
          </cell>
          <cell r="G110">
            <v>1</v>
          </cell>
          <cell r="H110" t="str">
            <v>Station Road
Blantyre
Glasgow
</v>
          </cell>
          <cell r="I110" t="str">
            <v>G72 9BX</v>
          </cell>
          <cell r="J110">
            <v>37347</v>
          </cell>
        </row>
        <row r="111">
          <cell r="B111" t="str">
            <v>YES</v>
          </cell>
          <cell r="C111" t="str">
            <v>Borrowash Mill</v>
          </cell>
          <cell r="D111">
            <v>180</v>
          </cell>
          <cell r="E111" t="str">
            <v>Derwent Hydroelectric Power Ltd</v>
          </cell>
          <cell r="F111" t="str">
            <v>R00021REEN</v>
          </cell>
          <cell r="G111">
            <v>1</v>
          </cell>
          <cell r="H111" t="str">
            <v>Station Road
Borrowash
Derbyshire
</v>
          </cell>
          <cell r="J111">
            <v>37347</v>
          </cell>
        </row>
        <row r="112">
          <cell r="B112" t="str">
            <v>YES</v>
          </cell>
          <cell r="C112" t="str">
            <v>Bottoms Reservoir Hydro</v>
          </cell>
          <cell r="D112">
            <v>160</v>
          </cell>
          <cell r="E112" t="str">
            <v>SHP Projects Ltd</v>
          </cell>
          <cell r="F112" t="str">
            <v>R00027REEN</v>
          </cell>
          <cell r="G112">
            <v>1</v>
          </cell>
          <cell r="H112" t="str">
            <v>Tintwhistle
Glossop
Derbyshire
</v>
          </cell>
          <cell r="J112">
            <v>37347</v>
          </cell>
        </row>
        <row r="113">
          <cell r="B113" t="str">
            <v>YES</v>
          </cell>
          <cell r="C113" t="str">
            <v>Burton Mill</v>
          </cell>
          <cell r="D113">
            <v>70</v>
          </cell>
          <cell r="E113" t="str">
            <v>Derwent HydroElectric Power Ltd</v>
          </cell>
          <cell r="F113" t="str">
            <v>R00022REEN</v>
          </cell>
          <cell r="G113">
            <v>1</v>
          </cell>
          <cell r="H113" t="str">
            <v>Newton Road
Winshill
East Staffordshire
</v>
          </cell>
          <cell r="J113">
            <v>37347</v>
          </cell>
        </row>
        <row r="114">
          <cell r="B114" t="str">
            <v>YES</v>
          </cell>
          <cell r="C114" t="str">
            <v>Caban Coch</v>
          </cell>
          <cell r="D114">
            <v>950</v>
          </cell>
          <cell r="E114" t="str">
            <v>United Utilites Green Energy Ltd</v>
          </cell>
          <cell r="F114" t="str">
            <v>R00016REWA</v>
          </cell>
          <cell r="G114">
            <v>1</v>
          </cell>
          <cell r="H114" t="str">
            <v>Glan Valley
Rhayader
Powys
</v>
          </cell>
          <cell r="I114" t="str">
            <v>LD6 5HL</v>
          </cell>
          <cell r="J114">
            <v>37347</v>
          </cell>
        </row>
        <row r="115">
          <cell r="B115" t="str">
            <v>YES</v>
          </cell>
          <cell r="C115" t="str">
            <v>Croesor Power Station</v>
          </cell>
          <cell r="D115">
            <v>505</v>
          </cell>
          <cell r="E115" t="str">
            <v>Innogy plc</v>
          </cell>
          <cell r="F115" t="str">
            <v>R00030REWA</v>
          </cell>
          <cell r="G115">
            <v>1</v>
          </cell>
          <cell r="H115" t="str">
            <v>Croesor Hydro Works
Croesor
Penrhyndeudraeth
North Wales
</v>
          </cell>
          <cell r="J115">
            <v>37347</v>
          </cell>
        </row>
        <row r="116">
          <cell r="B116" t="str">
            <v>YES</v>
          </cell>
          <cell r="C116" t="str">
            <v>Crownhill WTW Hydro</v>
          </cell>
          <cell r="D116">
            <v>400</v>
          </cell>
          <cell r="E116" t="str">
            <v>South West Water Ltd</v>
          </cell>
          <cell r="F116" t="str">
            <v>R00038REEN</v>
          </cell>
          <cell r="G116">
            <v>1</v>
          </cell>
          <cell r="H116" t="str">
            <v>Crownhill WTW Hydro, Lansdowne Road, Crownhill, Plymouth</v>
          </cell>
          <cell r="I116" t="str">
            <v>PL6 5ED</v>
          </cell>
          <cell r="J116">
            <v>37347</v>
          </cell>
          <cell r="K116">
            <v>37469</v>
          </cell>
        </row>
        <row r="117">
          <cell r="B117" t="str">
            <v>YES</v>
          </cell>
          <cell r="C117" t="str">
            <v>Cwm Dyli Power Station</v>
          </cell>
          <cell r="D117">
            <v>9900</v>
          </cell>
          <cell r="E117" t="str">
            <v>Innogy plc</v>
          </cell>
          <cell r="F117" t="str">
            <v>R00042REWA</v>
          </cell>
          <cell r="G117">
            <v>1</v>
          </cell>
          <cell r="H117" t="str">
            <v>Nant Gwynant, Beddgelert, North Wales</v>
          </cell>
          <cell r="I117" t="str">
            <v>LL55 4NW</v>
          </cell>
          <cell r="J117">
            <v>37622</v>
          </cell>
          <cell r="K117">
            <v>37622</v>
          </cell>
        </row>
        <row r="118">
          <cell r="B118" t="str">
            <v>YES</v>
          </cell>
          <cell r="C118" t="str">
            <v>Cwmorthin</v>
          </cell>
          <cell r="D118">
            <v>415</v>
          </cell>
          <cell r="E118" t="str">
            <v>United Utilites Green Energy Ltd</v>
          </cell>
          <cell r="F118" t="str">
            <v>R00013REWA</v>
          </cell>
          <cell r="G118">
            <v>1</v>
          </cell>
          <cell r="H118" t="str">
            <v>Tan Y Grisiau
Blaenau
Ffestiniog
Gwynned
</v>
          </cell>
          <cell r="J118">
            <v>37347</v>
          </cell>
        </row>
        <row r="119">
          <cell r="B119" t="str">
            <v>YES</v>
          </cell>
          <cell r="C119" t="str">
            <v>Cynwyd Power Station</v>
          </cell>
          <cell r="D119">
            <v>135</v>
          </cell>
          <cell r="E119" t="str">
            <v>Innogy Hydro</v>
          </cell>
          <cell r="F119" t="str">
            <v>R00032REWA</v>
          </cell>
          <cell r="G119">
            <v>1</v>
          </cell>
          <cell r="H119" t="str">
            <v>Waterfall Road
Cynwy
Corwen
</v>
          </cell>
          <cell r="J119">
            <v>37347</v>
          </cell>
        </row>
        <row r="120">
          <cell r="B120" t="str">
            <v>NO</v>
          </cell>
          <cell r="C120" t="str">
            <v>Dinas Power Station</v>
          </cell>
          <cell r="D120">
            <v>13500</v>
          </cell>
          <cell r="E120" t="str">
            <v>Powergen UK Plc</v>
          </cell>
          <cell r="F120" t="str">
            <v>R00005REWA</v>
          </cell>
          <cell r="G120">
            <v>0</v>
          </cell>
          <cell r="H120" t="str">
            <v>Dinas Power Station
Ponterwyd
Aberystwyth
Ceredigion
Wales
</v>
          </cell>
          <cell r="I120" t="str">
            <v>SY23 3AG</v>
          </cell>
          <cell r="J120">
            <v>37347</v>
          </cell>
        </row>
        <row r="121">
          <cell r="B121" t="str">
            <v>YES</v>
          </cell>
          <cell r="C121" t="str">
            <v>Dolanog Hydro</v>
          </cell>
          <cell r="D121">
            <v>178</v>
          </cell>
          <cell r="E121" t="str">
            <v>Dopower Ltd</v>
          </cell>
          <cell r="F121" t="str">
            <v>R00004REWA</v>
          </cell>
          <cell r="G121">
            <v>1</v>
          </cell>
          <cell r="H121" t="str">
            <v>The Mill
Dolanog
Welshpool
Powys
</v>
          </cell>
          <cell r="I121" t="str">
            <v>SY21 0LQ</v>
          </cell>
          <cell r="J121">
            <v>37347</v>
          </cell>
        </row>
        <row r="122">
          <cell r="B122" t="str">
            <v>NO</v>
          </cell>
          <cell r="C122" t="str">
            <v>Dolgarrog High-Head Power Station</v>
          </cell>
          <cell r="D122">
            <v>18400</v>
          </cell>
          <cell r="E122" t="str">
            <v>Innogy plc</v>
          </cell>
          <cell r="F122" t="str">
            <v>R00029REWA</v>
          </cell>
          <cell r="G122">
            <v>0</v>
          </cell>
          <cell r="H122" t="str">
            <v>Dolgarrog Power Station
Dolgarrog
Nr Conwy
</v>
          </cell>
          <cell r="I122" t="str">
            <v>LL32 8QE</v>
          </cell>
          <cell r="J122">
            <v>37347</v>
          </cell>
        </row>
        <row r="123">
          <cell r="B123" t="str">
            <v>NO</v>
          </cell>
          <cell r="C123" t="str">
            <v>Dolgarrog Low-Head Power Station</v>
          </cell>
          <cell r="D123">
            <v>14980</v>
          </cell>
          <cell r="E123" t="str">
            <v>Innogy plc</v>
          </cell>
          <cell r="F123" t="str">
            <v>R00006REWA</v>
          </cell>
          <cell r="G123">
            <v>0</v>
          </cell>
          <cell r="H123" t="str">
            <v>Dolgarrog Power Station
Dolgarrog
Nr Conwy
</v>
          </cell>
          <cell r="I123" t="str">
            <v>LL32 8QE</v>
          </cell>
          <cell r="J123">
            <v>37347</v>
          </cell>
        </row>
        <row r="124">
          <cell r="B124" t="str">
            <v>YES</v>
          </cell>
          <cell r="C124" t="str">
            <v>Dulyn Weir</v>
          </cell>
          <cell r="D124">
            <v>505</v>
          </cell>
          <cell r="E124" t="str">
            <v>Innogy Hydro</v>
          </cell>
          <cell r="F124" t="str">
            <v>R00018REWA</v>
          </cell>
          <cell r="G124">
            <v>1</v>
          </cell>
          <cell r="H124" t="str">
            <v>Tal-y-bont
Conwy
North Wales
</v>
          </cell>
          <cell r="J124">
            <v>37347</v>
          </cell>
        </row>
        <row r="125">
          <cell r="B125" t="str">
            <v>YES</v>
          </cell>
          <cell r="C125" t="str">
            <v>Elan Valley</v>
          </cell>
          <cell r="D125">
            <v>3113</v>
          </cell>
          <cell r="E125" t="str">
            <v>United Utilites Green Energy Ltd</v>
          </cell>
          <cell r="F125" t="str">
            <v>R00014REWA</v>
          </cell>
          <cell r="G125">
            <v>1</v>
          </cell>
          <cell r="H125" t="str">
            <v>Elan &amp; Claerwen Rivers
7-14km to the west of Rhayader
Powys
</v>
          </cell>
          <cell r="I125" t="str">
            <v>LD6 5HL</v>
          </cell>
          <cell r="J125">
            <v>37347</v>
          </cell>
        </row>
        <row r="126">
          <cell r="B126" t="str">
            <v>YES</v>
          </cell>
          <cell r="C126" t="str">
            <v>Errwood HES</v>
          </cell>
          <cell r="D126">
            <v>150</v>
          </cell>
          <cell r="E126" t="str">
            <v>Hydro Energy Developments Ltd</v>
          </cell>
          <cell r="F126" t="str">
            <v>R00008REEN</v>
          </cell>
          <cell r="G126">
            <v>1</v>
          </cell>
          <cell r="H126" t="str">
            <v>Errwood Reservoir Valve House
Longhill
Buxton
Derbyshire
</v>
          </cell>
          <cell r="J126">
            <v>37347</v>
          </cell>
        </row>
        <row r="127">
          <cell r="B127" t="str">
            <v>YES</v>
          </cell>
          <cell r="C127" t="str">
            <v>Ewden WTW</v>
          </cell>
          <cell r="D127">
            <v>275</v>
          </cell>
          <cell r="E127" t="str">
            <v>Yorkshire Water Services</v>
          </cell>
          <cell r="F127" t="str">
            <v>R00041REEN</v>
          </cell>
          <cell r="G127">
            <v>1</v>
          </cell>
          <cell r="H127" t="str">
            <v>Wharnecliffe Side, Sheffield, South Yorkshire</v>
          </cell>
          <cell r="I127" t="str">
            <v>S35 0BN</v>
          </cell>
          <cell r="J127">
            <v>37530</v>
          </cell>
          <cell r="K127">
            <v>37561</v>
          </cell>
        </row>
        <row r="128">
          <cell r="B128" t="str">
            <v>YES</v>
          </cell>
          <cell r="C128" t="str">
            <v>Ffestiniog</v>
          </cell>
          <cell r="D128">
            <v>760</v>
          </cell>
          <cell r="E128" t="str">
            <v>United Utilites Green Energy Ltd</v>
          </cell>
          <cell r="F128" t="str">
            <v>R00007REWA</v>
          </cell>
          <cell r="G128">
            <v>1</v>
          </cell>
          <cell r="H128" t="str">
            <v>Rhyd-uy-sam
Blaenau
Ffestiniog
Gwynned
</v>
          </cell>
          <cell r="J128">
            <v>37347</v>
          </cell>
        </row>
        <row r="129">
          <cell r="B129" t="str">
            <v>YES</v>
          </cell>
          <cell r="C129" t="str">
            <v>Garnedd Hydro Power Station</v>
          </cell>
          <cell r="D129">
            <v>560</v>
          </cell>
          <cell r="E129" t="str">
            <v>Garnedd Power Co Ltd</v>
          </cell>
          <cell r="F129" t="str">
            <v>R00025REWA</v>
          </cell>
          <cell r="G129">
            <v>1</v>
          </cell>
          <cell r="H129" t="str">
            <v>Roman Bridge
Dolloyddenlan
Gwynedd
</v>
          </cell>
          <cell r="I129" t="str">
            <v>LL25 0JQ</v>
          </cell>
          <cell r="J129">
            <v>37347</v>
          </cell>
        </row>
        <row r="130">
          <cell r="B130" t="str">
            <v>YES</v>
          </cell>
          <cell r="C130" t="str">
            <v>Glen Lyn Gorge</v>
          </cell>
          <cell r="D130">
            <v>300</v>
          </cell>
          <cell r="E130" t="str">
            <v>Glen Lyn Generations Ltd</v>
          </cell>
          <cell r="F130" t="str">
            <v>R00003REEN</v>
          </cell>
          <cell r="G130">
            <v>1</v>
          </cell>
          <cell r="H130" t="str">
            <v>Glen Lyn Gorge
Glen Lyn
Lynmouth
North Devon
</v>
          </cell>
          <cell r="I130" t="str">
            <v>EX35 6ER</v>
          </cell>
          <cell r="J130">
            <v>37347</v>
          </cell>
        </row>
        <row r="131">
          <cell r="B131" t="str">
            <v>YES</v>
          </cell>
          <cell r="C131" t="str">
            <v>Glenridding Hydro</v>
          </cell>
          <cell r="D131">
            <v>500</v>
          </cell>
          <cell r="E131" t="str">
            <v>United Utilites Green Energy Ltd</v>
          </cell>
          <cell r="F131" t="str">
            <v>R00011REEN</v>
          </cell>
          <cell r="G131">
            <v>1</v>
          </cell>
          <cell r="H131" t="str">
            <v>Gillside Farm
Penrith
Cumbria
</v>
          </cell>
          <cell r="J131">
            <v>37347</v>
          </cell>
        </row>
        <row r="132">
          <cell r="B132" t="str">
            <v>YES</v>
          </cell>
          <cell r="C132" t="str">
            <v>Lake Vyrnwy</v>
          </cell>
          <cell r="D132">
            <v>120</v>
          </cell>
          <cell r="E132" t="str">
            <v>Severn Trent Water Ltd</v>
          </cell>
          <cell r="F132" t="str">
            <v>R00033REEN</v>
          </cell>
          <cell r="G132">
            <v>1</v>
          </cell>
          <cell r="H132" t="str">
            <v>Severn Trent Water, Lake Vyrnwy, Llanwddyn, Oswestry</v>
          </cell>
          <cell r="I132" t="str">
            <v>SY10 0NA</v>
          </cell>
          <cell r="J132">
            <v>37347</v>
          </cell>
        </row>
        <row r="133">
          <cell r="B133" t="str">
            <v>YES</v>
          </cell>
          <cell r="C133" t="str">
            <v>Llyn Brianne Dam</v>
          </cell>
          <cell r="D133">
            <v>4375</v>
          </cell>
          <cell r="E133" t="str">
            <v>United Utilites Green Energy Ltd</v>
          </cell>
          <cell r="F133" t="str">
            <v>R00009REWA</v>
          </cell>
          <cell r="G133">
            <v>1</v>
          </cell>
          <cell r="H133" t="str">
            <v>16km north of Llandovery
</v>
          </cell>
          <cell r="I133" t="str">
            <v>SA20 0PG</v>
          </cell>
          <cell r="J133">
            <v>37347</v>
          </cell>
        </row>
        <row r="134">
          <cell r="B134" t="str">
            <v>YES</v>
          </cell>
          <cell r="C134" t="str">
            <v>Llyn Celyn</v>
          </cell>
          <cell r="D134">
            <v>4507</v>
          </cell>
          <cell r="E134" t="str">
            <v>United Utilites Green Energy Ltd</v>
          </cell>
          <cell r="F134" t="str">
            <v>R00010REWA</v>
          </cell>
          <cell r="G134">
            <v>1</v>
          </cell>
          <cell r="H134" t="str">
            <v>Celyn Reservoir
Nr Bala
Gwynedd
</v>
          </cell>
          <cell r="J134">
            <v>37347</v>
          </cell>
        </row>
        <row r="135">
          <cell r="B135" t="str">
            <v>YES</v>
          </cell>
          <cell r="C135" t="str">
            <v>Lodore Swiss Hotel</v>
          </cell>
          <cell r="D135">
            <v>220</v>
          </cell>
          <cell r="E135" t="str">
            <v>Hydro Energy Developments Ltd</v>
          </cell>
          <cell r="F135" t="str">
            <v>R00024REEN</v>
          </cell>
          <cell r="G135">
            <v>1</v>
          </cell>
          <cell r="H135" t="str">
            <v>Derwent Water
Keswick
</v>
          </cell>
          <cell r="J135">
            <v>37347</v>
          </cell>
        </row>
        <row r="136">
          <cell r="B136" t="str">
            <v>YES</v>
          </cell>
          <cell r="C136" t="str">
            <v>Mary Tavy Hydro Station</v>
          </cell>
          <cell r="D136">
            <v>2600</v>
          </cell>
          <cell r="E136" t="str">
            <v>South West Water Ltd</v>
          </cell>
          <cell r="F136" t="str">
            <v>R00085REEN</v>
          </cell>
          <cell r="G136">
            <v>1</v>
          </cell>
          <cell r="H136" t="str">
            <v>Mary Tavy, Tavistock</v>
          </cell>
          <cell r="I136" t="str">
            <v>PL19 9PR</v>
          </cell>
          <cell r="J136">
            <v>37841</v>
          </cell>
        </row>
        <row r="137">
          <cell r="B137" t="str">
            <v>YES</v>
          </cell>
          <cell r="C137" t="str">
            <v>Masson Mill</v>
          </cell>
          <cell r="D137">
            <v>240</v>
          </cell>
          <cell r="E137" t="str">
            <v>Mara Securities Ltd</v>
          </cell>
          <cell r="F137" t="str">
            <v>R00020REEN</v>
          </cell>
          <cell r="G137">
            <v>1</v>
          </cell>
          <cell r="H137" t="str">
            <v>Masson Mills
Matlock Bath
Derbyshire
</v>
          </cell>
          <cell r="J137">
            <v>37347</v>
          </cell>
        </row>
        <row r="138">
          <cell r="B138" t="str">
            <v>YES</v>
          </cell>
          <cell r="C138" t="str">
            <v>Milford Mill</v>
          </cell>
          <cell r="D138">
            <v>185</v>
          </cell>
          <cell r="E138" t="str">
            <v>Derwent Hydroelectric Power Ltd</v>
          </cell>
          <cell r="F138" t="str">
            <v>R00037REEN</v>
          </cell>
          <cell r="G138">
            <v>1</v>
          </cell>
          <cell r="H138" t="str">
            <v>Milford Mill, The Turbine House, Milford Mills, Derby Road, Milford, Derbyshire</v>
          </cell>
          <cell r="J138">
            <v>37347</v>
          </cell>
          <cell r="K138">
            <v>37469</v>
          </cell>
        </row>
        <row r="139">
          <cell r="B139" t="str">
            <v>YES</v>
          </cell>
          <cell r="C139" t="str">
            <v>Old Walls Hydro</v>
          </cell>
          <cell r="D139">
            <v>85</v>
          </cell>
          <cell r="E139" t="str">
            <v>Miles Robert Fursdon</v>
          </cell>
          <cell r="F139" t="str">
            <v>R00001REEN</v>
          </cell>
          <cell r="G139">
            <v>1</v>
          </cell>
          <cell r="H139" t="str">
            <v>Old Walls Farm
Ponsworthy
Newton Abbott
Devon
</v>
          </cell>
          <cell r="J139">
            <v>37347</v>
          </cell>
        </row>
        <row r="140">
          <cell r="B140" t="str">
            <v>YES</v>
          </cell>
          <cell r="C140" t="str">
            <v>Oswestry WTW</v>
          </cell>
          <cell r="D140">
            <v>400</v>
          </cell>
          <cell r="E140" t="str">
            <v>United Utilities Water plc</v>
          </cell>
          <cell r="F140" t="str">
            <v>R00019REEN</v>
          </cell>
          <cell r="G140">
            <v>1</v>
          </cell>
          <cell r="H140" t="str">
            <v>Broomhall Lane
Oswestry
Shropshire
</v>
          </cell>
          <cell r="J140">
            <v>37347</v>
          </cell>
        </row>
        <row r="141">
          <cell r="B141" t="str">
            <v>YES</v>
          </cell>
          <cell r="C141" t="str">
            <v>Pontsticill Water Treatment Works</v>
          </cell>
          <cell r="D141">
            <v>375</v>
          </cell>
          <cell r="E141" t="str">
            <v>United Utilities Green Energy Ltd</v>
          </cell>
          <cell r="F141" t="str">
            <v>R00031REWA</v>
          </cell>
          <cell r="G141">
            <v>1</v>
          </cell>
          <cell r="H141" t="str">
            <v>Pontsticill Resevoir and Dam
</v>
          </cell>
          <cell r="J141">
            <v>37347</v>
          </cell>
        </row>
        <row r="142">
          <cell r="B142" t="str">
            <v>YES</v>
          </cell>
          <cell r="C142" t="str">
            <v>Rhodeswood Hydro</v>
          </cell>
          <cell r="D142">
            <v>250</v>
          </cell>
          <cell r="E142" t="str">
            <v>SHP Projects Ltd</v>
          </cell>
          <cell r="F142" t="str">
            <v>R00026REEN</v>
          </cell>
          <cell r="G142">
            <v>1</v>
          </cell>
          <cell r="H142" t="str">
            <v>Rhodeswood Hydro
Tintwhistle
Derbyshire
</v>
          </cell>
          <cell r="J142">
            <v>37347</v>
          </cell>
        </row>
        <row r="143">
          <cell r="B143" t="str">
            <v>YES</v>
          </cell>
          <cell r="C143" t="str">
            <v>Roadford Reservoir Hydro Station</v>
          </cell>
          <cell r="D143">
            <v>975</v>
          </cell>
          <cell r="E143" t="str">
            <v>South West Water Ltd</v>
          </cell>
          <cell r="F143" t="str">
            <v>R00039REEN</v>
          </cell>
          <cell r="G143">
            <v>1</v>
          </cell>
          <cell r="H143" t="str">
            <v>Roadford Reservoir Hydro Station, Broadwoodwidger</v>
          </cell>
          <cell r="I143" t="str">
            <v>PL16 0SW</v>
          </cell>
          <cell r="J143">
            <v>37347</v>
          </cell>
          <cell r="K143">
            <v>37469</v>
          </cell>
        </row>
        <row r="144">
          <cell r="B144" t="str">
            <v>YES</v>
          </cell>
          <cell r="C144" t="str">
            <v>Staveley Mill Yard</v>
          </cell>
          <cell r="D144">
            <v>100</v>
          </cell>
          <cell r="E144" t="str">
            <v>David Brockbank</v>
          </cell>
          <cell r="F144" t="str">
            <v>R00035REEN</v>
          </cell>
          <cell r="G144">
            <v>1</v>
          </cell>
          <cell r="H144" t="str">
            <v>Staveley Mill Yard, Staveley, Kendal, Cumbria</v>
          </cell>
          <cell r="I144" t="str">
            <v>LA8 9LS</v>
          </cell>
          <cell r="J144">
            <v>37347</v>
          </cell>
        </row>
        <row r="145">
          <cell r="B145" t="str">
            <v>YES</v>
          </cell>
          <cell r="C145" t="str">
            <v>Torside Reservoir Hydro</v>
          </cell>
          <cell r="D145">
            <v>245</v>
          </cell>
          <cell r="E145" t="str">
            <v>SNP Projects</v>
          </cell>
          <cell r="F145" t="str">
            <v>R00028REEN</v>
          </cell>
          <cell r="G145">
            <v>1</v>
          </cell>
          <cell r="H145" t="str">
            <v>Tintwhistle
Glossop
Derbyshire
</v>
          </cell>
          <cell r="J145">
            <v>37347</v>
          </cell>
        </row>
        <row r="146">
          <cell r="B146" t="str">
            <v>YES</v>
          </cell>
          <cell r="C146" t="str">
            <v>Trelubbas</v>
          </cell>
          <cell r="D146">
            <v>200</v>
          </cell>
          <cell r="E146" t="str">
            <v>Western Hydro Ltd</v>
          </cell>
          <cell r="F146" t="str">
            <v>R00002REEN</v>
          </cell>
          <cell r="G146">
            <v>1</v>
          </cell>
          <cell r="H146" t="str">
            <v>Trelubbas Wartha
Trennak
Helston
Cornwall
</v>
          </cell>
          <cell r="I146" t="str">
            <v>TR13 0LR</v>
          </cell>
          <cell r="J146">
            <v>37347</v>
          </cell>
        </row>
        <row r="147">
          <cell r="B147" t="str">
            <v>YES</v>
          </cell>
          <cell r="C147" t="str">
            <v>Tyn Y Cornel Hydro</v>
          </cell>
          <cell r="D147">
            <v>120</v>
          </cell>
          <cell r="E147" t="str">
            <v>Dulas Ltd</v>
          </cell>
          <cell r="F147" t="str">
            <v>R00040REWA</v>
          </cell>
          <cell r="G147">
            <v>1</v>
          </cell>
          <cell r="H147" t="str">
            <v>Maes Glas, Mallwyd, Machynlleth, Powys</v>
          </cell>
          <cell r="J147">
            <v>37438</v>
          </cell>
          <cell r="K147">
            <v>37561</v>
          </cell>
        </row>
        <row r="148">
          <cell r="B148" t="str">
            <v>YES</v>
          </cell>
          <cell r="C148" t="str">
            <v>Acharn Hydro</v>
          </cell>
          <cell r="D148">
            <v>380</v>
          </cell>
          <cell r="E148" t="str">
            <v>Acharn Hydro Ltd</v>
          </cell>
          <cell r="F148" t="str">
            <v>R00002SESC</v>
          </cell>
          <cell r="G148">
            <v>1</v>
          </cell>
          <cell r="H148" t="str">
            <v>Remony Estate
Acharn
Aberfeldy
Perthshire
</v>
          </cell>
          <cell r="I148" t="str">
            <v>PH15 2HR</v>
          </cell>
          <cell r="J148">
            <v>37347</v>
          </cell>
        </row>
        <row r="149">
          <cell r="B149" t="str">
            <v>NO</v>
          </cell>
          <cell r="C149" t="str">
            <v>Aigas Power Station</v>
          </cell>
          <cell r="D149">
            <v>10000</v>
          </cell>
          <cell r="E149" t="str">
            <v>SSE Generation Ltd</v>
          </cell>
          <cell r="F149" t="str">
            <v>R00028SESC</v>
          </cell>
          <cell r="G149">
            <v>0</v>
          </cell>
          <cell r="H149" t="str">
            <v>By Beauly, Inverness-shire</v>
          </cell>
          <cell r="I149" t="str">
            <v>IV4 7AE</v>
          </cell>
          <cell r="J149">
            <v>37700</v>
          </cell>
          <cell r="K149">
            <v>37712</v>
          </cell>
        </row>
        <row r="150">
          <cell r="B150" t="str">
            <v>YES</v>
          </cell>
          <cell r="C150" t="str">
            <v>Ardtornish Estate-River Rannoch Hydro Scheme</v>
          </cell>
          <cell r="D150">
            <v>657</v>
          </cell>
          <cell r="E150" t="str">
            <v>Ardtornish Estate Company Ltd</v>
          </cell>
          <cell r="F150" t="str">
            <v>R00013SESC</v>
          </cell>
          <cell r="G150">
            <v>1</v>
          </cell>
          <cell r="H150" t="str">
            <v>Ardtornish Estate - River Rannoch Hydro Scheme
Morvern
Oban
Argyll
</v>
          </cell>
          <cell r="I150" t="str">
            <v>PA34 5UZ</v>
          </cell>
          <cell r="J150">
            <v>37347</v>
          </cell>
        </row>
        <row r="151">
          <cell r="B151" t="str">
            <v>YES</v>
          </cell>
          <cell r="C151" t="str">
            <v>Auchtertyre Hydro Station</v>
          </cell>
          <cell r="D151">
            <v>600</v>
          </cell>
          <cell r="E151" t="str">
            <v>Innogy Plc</v>
          </cell>
          <cell r="F151" t="str">
            <v>R00010SESC</v>
          </cell>
          <cell r="G151">
            <v>1</v>
          </cell>
          <cell r="H151" t="str">
            <v>Auchtertyre Hydro Station
Alt Gleann Chalchin
Auchtertyre
Tyndrum
Scotland
</v>
          </cell>
          <cell r="J151">
            <v>37347</v>
          </cell>
        </row>
        <row r="152">
          <cell r="B152" t="str">
            <v>YES</v>
          </cell>
          <cell r="C152" t="str">
            <v>Blarghour Hydro Station</v>
          </cell>
          <cell r="D152">
            <v>475</v>
          </cell>
          <cell r="E152" t="str">
            <v>Blaghour Power Company Ltd</v>
          </cell>
          <cell r="F152" t="str">
            <v>R00006SESC</v>
          </cell>
          <cell r="G152">
            <v>1</v>
          </cell>
          <cell r="H152" t="str">
            <v>Blarghour Farm
By Dalmally
Argyll
</v>
          </cell>
          <cell r="I152" t="str">
            <v>PA33 1BW</v>
          </cell>
          <cell r="J152">
            <v>37347</v>
          </cell>
        </row>
        <row r="153">
          <cell r="B153" t="str">
            <v>NO</v>
          </cell>
          <cell r="C153" t="str">
            <v>Bonnington</v>
          </cell>
          <cell r="D153">
            <v>11000</v>
          </cell>
          <cell r="E153" t="str">
            <v>Scottish Power Generation UK</v>
          </cell>
          <cell r="F153" t="str">
            <v>R00054SESC</v>
          </cell>
          <cell r="G153">
            <v>0</v>
          </cell>
          <cell r="H153" t="str">
            <v>, Scotland</v>
          </cell>
          <cell r="I153" t="str">
            <v>ML11 9TB</v>
          </cell>
          <cell r="J153">
            <v>37653</v>
          </cell>
          <cell r="K153">
            <v>37742</v>
          </cell>
        </row>
        <row r="154">
          <cell r="B154" t="str">
            <v>NO</v>
          </cell>
          <cell r="C154" t="str">
            <v>Ceannacroc Power Station</v>
          </cell>
          <cell r="D154">
            <v>20000</v>
          </cell>
          <cell r="E154" t="str">
            <v>SSE Generation Ltd</v>
          </cell>
          <cell r="F154" t="str">
            <v>R00057SESC</v>
          </cell>
          <cell r="G154">
            <v>0</v>
          </cell>
          <cell r="H154" t="str">
            <v>Ceannacroc Power Station, Invermoriston, By Fort Augustus, Inverness-shire</v>
          </cell>
          <cell r="I154" t="str">
            <v>IV3 6YN</v>
          </cell>
          <cell r="J154">
            <v>37712</v>
          </cell>
          <cell r="K154">
            <v>37773</v>
          </cell>
        </row>
        <row r="155">
          <cell r="B155" t="str">
            <v>YES</v>
          </cell>
          <cell r="C155" t="str">
            <v>Clatto Treatment Works</v>
          </cell>
          <cell r="D155">
            <v>350</v>
          </cell>
          <cell r="E155" t="str">
            <v>Scottish Water</v>
          </cell>
          <cell r="F155" t="str">
            <v>R00017SESC</v>
          </cell>
          <cell r="G155">
            <v>1</v>
          </cell>
          <cell r="H155" t="str">
            <v>Clatto Treatment Works, Dalmahoy Drive, Dundee</v>
          </cell>
          <cell r="J155">
            <v>37347</v>
          </cell>
          <cell r="K155">
            <v>37469</v>
          </cell>
        </row>
        <row r="156">
          <cell r="B156" t="str">
            <v>NO</v>
          </cell>
          <cell r="C156" t="str">
            <v>Cluanie Dam</v>
          </cell>
          <cell r="D156">
            <v>320</v>
          </cell>
          <cell r="E156" t="str">
            <v>SSE Generation Ltd</v>
          </cell>
          <cell r="F156" t="str">
            <v>R00025SESC</v>
          </cell>
          <cell r="G156">
            <v>0</v>
          </cell>
          <cell r="H156" t="str">
            <v>Loch Cluanie, Dalchreichart, Invermoriston, Inverness-shire</v>
          </cell>
          <cell r="J156">
            <v>37670</v>
          </cell>
          <cell r="K156">
            <v>37681</v>
          </cell>
        </row>
        <row r="157">
          <cell r="B157" t="str">
            <v>NO</v>
          </cell>
          <cell r="C157" t="str">
            <v>Clunie Dam</v>
          </cell>
          <cell r="D157">
            <v>175</v>
          </cell>
          <cell r="E157" t="str">
            <v>SSE Generation Ltd</v>
          </cell>
          <cell r="F157" t="str">
            <v>R00030SESC</v>
          </cell>
          <cell r="G157">
            <v>0</v>
          </cell>
          <cell r="H157" t="str">
            <v>Pitlochry, Perthshire</v>
          </cell>
          <cell r="I157" t="str">
            <v>PH16  </v>
          </cell>
          <cell r="J157">
            <v>37681</v>
          </cell>
          <cell r="K157">
            <v>37712</v>
          </cell>
        </row>
        <row r="158">
          <cell r="B158" t="str">
            <v>YES</v>
          </cell>
          <cell r="C158" t="str">
            <v>Cuileig Power Station</v>
          </cell>
          <cell r="D158">
            <v>3300</v>
          </cell>
          <cell r="E158" t="str">
            <v>SSE Generation Ltd</v>
          </cell>
          <cell r="F158" t="str">
            <v>R00011SESC</v>
          </cell>
          <cell r="G158">
            <v>1</v>
          </cell>
          <cell r="H158" t="str">
            <v>Cuileig Power Station
Loch Broom
Ullapool
Wester Ross
Scotland
</v>
          </cell>
          <cell r="J158">
            <v>37347</v>
          </cell>
        </row>
        <row r="159">
          <cell r="B159" t="str">
            <v>YES</v>
          </cell>
          <cell r="C159" t="str">
            <v>Duror</v>
          </cell>
          <cell r="D159">
            <v>690</v>
          </cell>
          <cell r="E159" t="str">
            <v>United Utilites Green Energy Ltd</v>
          </cell>
          <cell r="F159" t="str">
            <v>R00009SESC</v>
          </cell>
          <cell r="G159">
            <v>1</v>
          </cell>
          <cell r="H159" t="str">
            <v>Glen Duror
Auchendarrodk
By Ballachulish
Lochaber District
Inverness-shire
</v>
          </cell>
          <cell r="J159">
            <v>37347</v>
          </cell>
        </row>
        <row r="160">
          <cell r="B160" t="str">
            <v>YES</v>
          </cell>
          <cell r="C160" t="str">
            <v>Garry Gualach Hydro Station</v>
          </cell>
          <cell r="D160">
            <v>780</v>
          </cell>
          <cell r="E160" t="str">
            <v>Innogy Plc</v>
          </cell>
          <cell r="F160" t="str">
            <v>R00032SESC</v>
          </cell>
          <cell r="G160">
            <v>1</v>
          </cell>
          <cell r="H160" t="str">
            <v>Garry Gualach Hydro Station, Invergarry, Fort Augustus, Invernesshire</v>
          </cell>
          <cell r="I160" t="str">
            <v>PH35 4HR</v>
          </cell>
          <cell r="J160">
            <v>37653</v>
          </cell>
          <cell r="K160">
            <v>37742</v>
          </cell>
        </row>
        <row r="161">
          <cell r="B161" t="str">
            <v>YES</v>
          </cell>
          <cell r="C161" t="str">
            <v>Gaur Power Station</v>
          </cell>
          <cell r="D161">
            <v>7900</v>
          </cell>
          <cell r="E161" t="str">
            <v>SSE Generation Ltd</v>
          </cell>
          <cell r="F161" t="str">
            <v>R00023SESC</v>
          </cell>
          <cell r="G161">
            <v>1</v>
          </cell>
          <cell r="H161" t="str">
            <v>Killiechonan, Bridge of Gaur, Perthshire</v>
          </cell>
          <cell r="I161" t="str">
            <v>PH17 2QB</v>
          </cell>
          <cell r="J161">
            <v>37653</v>
          </cell>
          <cell r="K161">
            <v>37653</v>
          </cell>
        </row>
        <row r="162">
          <cell r="B162" t="str">
            <v>YES</v>
          </cell>
          <cell r="C162" t="str">
            <v>Gisla Power Station</v>
          </cell>
          <cell r="D162">
            <v>720</v>
          </cell>
          <cell r="E162" t="str">
            <v>SSE Generation Ltd</v>
          </cell>
          <cell r="F162" t="str">
            <v>R00004SESC</v>
          </cell>
          <cell r="G162">
            <v>1</v>
          </cell>
          <cell r="H162" t="str">
            <v>Roag
Near Stornoway
Isle of Lewis
</v>
          </cell>
          <cell r="I162" t="str">
            <v>IV5 19X</v>
          </cell>
          <cell r="J162">
            <v>37347</v>
          </cell>
        </row>
        <row r="163">
          <cell r="B163" t="str">
            <v>YES</v>
          </cell>
          <cell r="C163" t="str">
            <v>Glenglass Hydro Ltd</v>
          </cell>
          <cell r="D163">
            <v>916</v>
          </cell>
          <cell r="E163" t="str">
            <v>Glenglass Hydro Ltd</v>
          </cell>
          <cell r="F163" t="str">
            <v>R00014SESC</v>
          </cell>
          <cell r="G163">
            <v>1</v>
          </cell>
          <cell r="H163" t="str">
            <v>Glenglass Hydro Ltd
River Glass (Allt Graad)
Novar Estate
Evanton
Ross-shire
Scotland
</v>
          </cell>
          <cell r="I163" t="str">
            <v>IV16 9XL</v>
          </cell>
          <cell r="J163">
            <v>37347</v>
          </cell>
        </row>
        <row r="164">
          <cell r="B164" t="str">
            <v>YES</v>
          </cell>
          <cell r="C164" t="str">
            <v>Glen Tarbert</v>
          </cell>
          <cell r="D164">
            <v>850</v>
          </cell>
          <cell r="E164" t="str">
            <v>Innogy Plc</v>
          </cell>
          <cell r="F164" t="str">
            <v>R00008SESC</v>
          </cell>
          <cell r="G164">
            <v>1</v>
          </cell>
          <cell r="H164" t="str">
            <v>Glen Tarbert
Glean Feith A'Mean
Glen Tarbert Hydro Station
Strontain
Lochaber
Scotland
</v>
          </cell>
          <cell r="J164">
            <v>37347</v>
          </cell>
        </row>
        <row r="165">
          <cell r="B165" t="str">
            <v>NO</v>
          </cell>
          <cell r="C165" t="str">
            <v>Invergarry Power Station</v>
          </cell>
          <cell r="D165">
            <v>19975</v>
          </cell>
          <cell r="E165" t="str">
            <v>SSE Generation Ltd</v>
          </cell>
          <cell r="F165" t="str">
            <v>R00065SESC</v>
          </cell>
          <cell r="G165">
            <v>0</v>
          </cell>
          <cell r="H165" t="str">
            <v>Invergarry, Inverness-shire</v>
          </cell>
          <cell r="I165" t="str">
            <v>PH32 4LU</v>
          </cell>
          <cell r="J165">
            <v>37834</v>
          </cell>
          <cell r="K165">
            <v>37888</v>
          </cell>
        </row>
        <row r="166">
          <cell r="B166" t="str">
            <v>NO</v>
          </cell>
          <cell r="C166" t="str">
            <v>Kilmorack Power Station</v>
          </cell>
          <cell r="D166">
            <v>10000</v>
          </cell>
          <cell r="E166" t="str">
            <v>SSE Generation Ltd</v>
          </cell>
          <cell r="F166" t="str">
            <v>R00029SESC</v>
          </cell>
          <cell r="G166">
            <v>0</v>
          </cell>
          <cell r="H166" t="str">
            <v>By Beauly, Inverness-shire</v>
          </cell>
          <cell r="I166" t="str">
            <v>IV4 7AL</v>
          </cell>
          <cell r="J166">
            <v>37702</v>
          </cell>
          <cell r="K166">
            <v>37712</v>
          </cell>
        </row>
        <row r="167">
          <cell r="B167" t="str">
            <v>NO</v>
          </cell>
          <cell r="C167" t="str">
            <v>Kinlochleven Hydro Power Station</v>
          </cell>
          <cell r="D167">
            <v>19500</v>
          </cell>
          <cell r="E167" t="str">
            <v>Alcan Primary Metal - Europe</v>
          </cell>
          <cell r="F167" t="str">
            <v>R00016SESC</v>
          </cell>
          <cell r="G167">
            <v>0</v>
          </cell>
          <cell r="H167" t="str">
            <v>Kinlochleven Hydro Power Station
Alcan Smelting &amp; Power UK
Kinlochleven Hydro Power Station
Kinlochleven
Argyll
Scotland
</v>
          </cell>
          <cell r="I167" t="str">
            <v>PH50 4SF</v>
          </cell>
          <cell r="J167">
            <v>37347</v>
          </cell>
        </row>
        <row r="168">
          <cell r="B168" t="str">
            <v>YES</v>
          </cell>
          <cell r="C168" t="str">
            <v>Little Wyvis</v>
          </cell>
          <cell r="D168">
            <v>680</v>
          </cell>
          <cell r="E168" t="str">
            <v>Wyvis Plant &amp; Power Ltd</v>
          </cell>
          <cell r="F168" t="str">
            <v>R00012SESC</v>
          </cell>
          <cell r="G168">
            <v>1</v>
          </cell>
          <cell r="H168" t="str">
            <v>Little Wyvis
Glensgiach
Strathpeffer
Ross-shire
Scotland
</v>
          </cell>
          <cell r="I168" t="str">
            <v>IV23 2PG</v>
          </cell>
          <cell r="J168">
            <v>37347</v>
          </cell>
        </row>
        <row r="169">
          <cell r="B169" t="str">
            <v>YES</v>
          </cell>
          <cell r="C169" t="str">
            <v>Loch Ericht Power Station</v>
          </cell>
          <cell r="D169">
            <v>2200</v>
          </cell>
          <cell r="E169" t="str">
            <v>SSE Generation Ltd</v>
          </cell>
          <cell r="F169" t="str">
            <v>R00020SESC</v>
          </cell>
          <cell r="G169">
            <v>1</v>
          </cell>
          <cell r="H169" t="str">
            <v>Loch Ericht, By Kinloch Rannoch, Pitlochry, Perthshire</v>
          </cell>
          <cell r="J169">
            <v>37591</v>
          </cell>
          <cell r="K169">
            <v>37653</v>
          </cell>
        </row>
        <row r="170">
          <cell r="B170" t="str">
            <v>YES</v>
          </cell>
          <cell r="C170" t="str">
            <v>Loch Poll</v>
          </cell>
          <cell r="D170">
            <v>225</v>
          </cell>
          <cell r="E170" t="str">
            <v>Highland Light &amp; Power Ltd</v>
          </cell>
          <cell r="F170" t="str">
            <v>R00015SESC</v>
          </cell>
          <cell r="G170">
            <v>1</v>
          </cell>
          <cell r="H170" t="str">
            <v>Loch Poll Hydro Station
Loch Poll Hydro Project
Assynt
Scotland
</v>
          </cell>
          <cell r="J170">
            <v>37347</v>
          </cell>
        </row>
        <row r="171">
          <cell r="B171" t="str">
            <v>NO</v>
          </cell>
          <cell r="C171" t="str">
            <v>Loch Turret</v>
          </cell>
          <cell r="D171">
            <v>1950</v>
          </cell>
          <cell r="E171" t="str">
            <v>Scottish Water</v>
          </cell>
          <cell r="F171" t="str">
            <v>R00059SESC</v>
          </cell>
          <cell r="G171">
            <v>0</v>
          </cell>
          <cell r="H171" t="str">
            <v>Glen Turret, Crieff, Perthshire</v>
          </cell>
          <cell r="I171" t="str">
            <v>PH7 4LD</v>
          </cell>
          <cell r="J171">
            <v>37773</v>
          </cell>
          <cell r="K171">
            <v>37803</v>
          </cell>
        </row>
        <row r="172">
          <cell r="B172" t="str">
            <v>NO</v>
          </cell>
          <cell r="C172" t="str">
            <v>Luichart Dam</v>
          </cell>
          <cell r="D172">
            <v>85</v>
          </cell>
          <cell r="E172" t="str">
            <v>SSE Generation Ltd</v>
          </cell>
          <cell r="F172" t="str">
            <v>R00026SESC</v>
          </cell>
          <cell r="G172">
            <v>0</v>
          </cell>
          <cell r="H172" t="str">
            <v>By Loch Luichart, Contin, Ross-shire</v>
          </cell>
          <cell r="I172" t="str">
            <v>IV14</v>
          </cell>
          <cell r="J172">
            <v>37681</v>
          </cell>
          <cell r="K172">
            <v>37712</v>
          </cell>
        </row>
        <row r="173">
          <cell r="B173" t="str">
            <v>YES</v>
          </cell>
          <cell r="C173" t="str">
            <v>Lussa Power Station</v>
          </cell>
          <cell r="D173">
            <v>1200</v>
          </cell>
          <cell r="E173" t="str">
            <v>SSE Generation Ltd</v>
          </cell>
          <cell r="F173" t="str">
            <v>R00018SESC</v>
          </cell>
          <cell r="G173">
            <v>1</v>
          </cell>
          <cell r="H173" t="str">
            <v>Lussa Power Station, Peninver, Campbeltown, Argyll</v>
          </cell>
          <cell r="J173">
            <v>37438</v>
          </cell>
          <cell r="K173">
            <v>37500</v>
          </cell>
        </row>
        <row r="174">
          <cell r="B174" t="str">
            <v>YES</v>
          </cell>
          <cell r="C174" t="str">
            <v>Meig Dam</v>
          </cell>
          <cell r="D174">
            <v>76</v>
          </cell>
          <cell r="E174" t="str">
            <v>SSE Generation Ltd</v>
          </cell>
          <cell r="F174" t="str">
            <v>R00027SESC</v>
          </cell>
          <cell r="G174">
            <v>1</v>
          </cell>
          <cell r="H174" t="str">
            <v>Scatwell, Muir of Ord, Ross-shire</v>
          </cell>
          <cell r="J174">
            <v>37681</v>
          </cell>
          <cell r="K174">
            <v>37712</v>
          </cell>
        </row>
        <row r="175">
          <cell r="B175" t="str">
            <v>NO</v>
          </cell>
          <cell r="C175" t="str">
            <v>Mossford Power Station </v>
          </cell>
          <cell r="D175">
            <v>18600</v>
          </cell>
          <cell r="E175" t="str">
            <v>SSE Generation Ltd</v>
          </cell>
          <cell r="F175" t="str">
            <v>R00022SESC</v>
          </cell>
          <cell r="G175">
            <v>0</v>
          </cell>
          <cell r="H175" t="str">
            <v>Loch Luichart, By Garve, Inverness-shire</v>
          </cell>
          <cell r="I175" t="str">
            <v>IV23 2PZ</v>
          </cell>
          <cell r="J175">
            <v>37653</v>
          </cell>
          <cell r="K175">
            <v>37653</v>
          </cell>
        </row>
        <row r="176">
          <cell r="B176" t="str">
            <v>NO</v>
          </cell>
          <cell r="C176" t="str">
            <v>Nant Power Station</v>
          </cell>
          <cell r="D176">
            <v>15000</v>
          </cell>
          <cell r="E176" t="str">
            <v>SSE Generation Ltd</v>
          </cell>
          <cell r="F176" t="str">
            <v>R00003SESC</v>
          </cell>
          <cell r="G176">
            <v>0</v>
          </cell>
          <cell r="H176" t="str">
            <v>Kilchrenan
By Taynuilt
Argyll
Scotland
</v>
          </cell>
          <cell r="I176" t="str">
            <v>PA35 1HD</v>
          </cell>
          <cell r="J176">
            <v>37347</v>
          </cell>
        </row>
        <row r="177">
          <cell r="B177" t="str">
            <v>NO</v>
          </cell>
          <cell r="C177" t="str">
            <v>Orrin Dam</v>
          </cell>
          <cell r="D177">
            <v>256</v>
          </cell>
          <cell r="E177" t="str">
            <v>SSE Generation Ltd</v>
          </cell>
          <cell r="F177" t="str">
            <v>R00031SESC</v>
          </cell>
          <cell r="G177">
            <v>0</v>
          </cell>
          <cell r="H177" t="str">
            <v>By Contin, Inverness-shire</v>
          </cell>
          <cell r="I177" t="str">
            <v>IV6</v>
          </cell>
          <cell r="J177">
            <v>37653</v>
          </cell>
          <cell r="K177">
            <v>37712</v>
          </cell>
        </row>
        <row r="178">
          <cell r="B178" t="str">
            <v>NO</v>
          </cell>
          <cell r="C178" t="str">
            <v>Orrin Power Station</v>
          </cell>
          <cell r="D178">
            <v>18000</v>
          </cell>
          <cell r="E178" t="str">
            <v>SSE Generation Ltd</v>
          </cell>
          <cell r="F178" t="str">
            <v>R00056SESC</v>
          </cell>
          <cell r="G178">
            <v>0</v>
          </cell>
          <cell r="H178" t="str">
            <v>Orrin Power Station, By Loch Achonnachie, Urray, Near Muir of Ord, Ross-shire</v>
          </cell>
          <cell r="I178" t="str">
            <v>IV6</v>
          </cell>
          <cell r="J178">
            <v>37712</v>
          </cell>
          <cell r="K178">
            <v>37773</v>
          </cell>
        </row>
        <row r="179">
          <cell r="B179" t="str">
            <v>NO</v>
          </cell>
          <cell r="C179" t="str">
            <v>Pitlochry Power Station</v>
          </cell>
          <cell r="D179">
            <v>15000</v>
          </cell>
          <cell r="E179" t="str">
            <v>SSE Generation Ltd</v>
          </cell>
          <cell r="F179" t="str">
            <v>R00007SESC</v>
          </cell>
          <cell r="G179">
            <v>0</v>
          </cell>
          <cell r="H179" t="str">
            <v>Pitlochry Power Station
Pitlochry
Perthshire
Scotland
</v>
          </cell>
          <cell r="I179" t="str">
            <v>PH16 5ND</v>
          </cell>
          <cell r="J179">
            <v>37347</v>
          </cell>
        </row>
        <row r="180">
          <cell r="B180" t="str">
            <v>NO</v>
          </cell>
          <cell r="C180" t="str">
            <v>Quoich Power Station</v>
          </cell>
          <cell r="D180">
            <v>18050</v>
          </cell>
          <cell r="E180" t="str">
            <v>SSE Generation Ltd</v>
          </cell>
          <cell r="F180" t="str">
            <v>R0061SESC</v>
          </cell>
          <cell r="G180">
            <v>0</v>
          </cell>
          <cell r="H180" t="str">
            <v>Tomdum, By Loch Garry, Nr Fort Augustus, Inverness-shire, Scotland.</v>
          </cell>
          <cell r="I180" t="str">
            <v>IV3</v>
          </cell>
          <cell r="J180">
            <v>37841</v>
          </cell>
        </row>
        <row r="181">
          <cell r="B181" t="str">
            <v>NO</v>
          </cell>
          <cell r="C181" t="str">
            <v>St Fillans Power Station</v>
          </cell>
          <cell r="D181">
            <v>16830</v>
          </cell>
          <cell r="E181" t="str">
            <v>SSE Generation Ltd</v>
          </cell>
          <cell r="F181" t="str">
            <v>R00019SESC</v>
          </cell>
          <cell r="G181">
            <v>0</v>
          </cell>
          <cell r="H181" t="str">
            <v>St Fillans, Perthshire, Scotland</v>
          </cell>
          <cell r="I181" t="str">
            <v>PH6 2NG</v>
          </cell>
          <cell r="J181">
            <v>37500</v>
          </cell>
          <cell r="K181">
            <v>37530</v>
          </cell>
        </row>
        <row r="182">
          <cell r="B182" t="str">
            <v>YES</v>
          </cell>
          <cell r="C182" t="str">
            <v>Salmon Inn</v>
          </cell>
          <cell r="D182">
            <v>300</v>
          </cell>
          <cell r="E182" t="str">
            <v>Scottish Water</v>
          </cell>
          <cell r="F182" t="str">
            <v>R00001SESC</v>
          </cell>
          <cell r="G182">
            <v>1</v>
          </cell>
          <cell r="H182" t="str">
            <v>Salmon Inn Road
Falkirk
</v>
          </cell>
          <cell r="J182">
            <v>37347</v>
          </cell>
        </row>
        <row r="183">
          <cell r="B183" t="str">
            <v>NO</v>
          </cell>
          <cell r="C183" t="str">
            <v>Shin Diversion Dam</v>
          </cell>
          <cell r="D183">
            <v>100</v>
          </cell>
          <cell r="E183" t="str">
            <v>SSE Generation Ltd</v>
          </cell>
          <cell r="F183" t="str">
            <v>R00021SESC</v>
          </cell>
          <cell r="G183">
            <v>0</v>
          </cell>
          <cell r="H183" t="str">
            <v>Shin Diversion Dam, Inveran, By Larig, Sutherland</v>
          </cell>
          <cell r="I183" t="str">
            <v>IV27</v>
          </cell>
          <cell r="J183">
            <v>37622</v>
          </cell>
          <cell r="K183">
            <v>37653</v>
          </cell>
        </row>
        <row r="184">
          <cell r="B184" t="str">
            <v>NO</v>
          </cell>
          <cell r="C184" t="str">
            <v>Shin Power Station</v>
          </cell>
          <cell r="D184">
            <v>9310</v>
          </cell>
          <cell r="E184" t="str">
            <v>SSE Generation Ltd</v>
          </cell>
          <cell r="F184" t="str">
            <v>R00058SESC</v>
          </cell>
          <cell r="G184">
            <v>0</v>
          </cell>
          <cell r="H184" t="str">
            <v>Invernan, By Lairg, Sutherland</v>
          </cell>
          <cell r="I184" t="str">
            <v>IV27 4EY</v>
          </cell>
          <cell r="J184">
            <v>37773</v>
          </cell>
          <cell r="K184">
            <v>37833</v>
          </cell>
        </row>
        <row r="185">
          <cell r="B185" t="str">
            <v>YES</v>
          </cell>
          <cell r="C185" t="str">
            <v>Tobermory Power Station</v>
          </cell>
          <cell r="D185">
            <v>280</v>
          </cell>
          <cell r="E185" t="str">
            <v>SSE Generation Ltd</v>
          </cell>
          <cell r="F185" t="str">
            <v>R00060SESC</v>
          </cell>
          <cell r="G185">
            <v>1</v>
          </cell>
          <cell r="H185" t="str">
            <v>Tobermory, Isle of Mull, Argyll</v>
          </cell>
          <cell r="I185" t="str">
            <v>PA75</v>
          </cell>
          <cell r="J185">
            <v>37742</v>
          </cell>
          <cell r="K185">
            <v>37803</v>
          </cell>
        </row>
        <row r="186">
          <cell r="B186" t="str">
            <v>NO</v>
          </cell>
          <cell r="C186" t="str">
            <v>Torr Achilty Power Station</v>
          </cell>
          <cell r="D186">
            <v>15000</v>
          </cell>
          <cell r="E186" t="str">
            <v>SSE Generation Ltd</v>
          </cell>
          <cell r="F186" t="str">
            <v>R00055SESC</v>
          </cell>
          <cell r="G186">
            <v>0</v>
          </cell>
          <cell r="H186" t="str">
            <v>Urray, Muir of Ord, Ross-Shire</v>
          </cell>
          <cell r="I186" t="str">
            <v>IV6 7QF</v>
          </cell>
          <cell r="J186">
            <v>37712</v>
          </cell>
          <cell r="K186">
            <v>37742</v>
          </cell>
        </row>
        <row r="187">
          <cell r="B187" t="str">
            <v>YES</v>
          </cell>
          <cell r="C187" t="str">
            <v>Trinafour Power Station</v>
          </cell>
          <cell r="D187">
            <v>550</v>
          </cell>
          <cell r="E187" t="str">
            <v>SSE Generation Ltd</v>
          </cell>
          <cell r="F187" t="str">
            <v>R00005SESC</v>
          </cell>
          <cell r="G187">
            <v>1</v>
          </cell>
          <cell r="H187" t="str">
            <v>By Calvine
Pitlochry
Perthshire
</v>
          </cell>
          <cell r="J187">
            <v>37347</v>
          </cell>
        </row>
        <row r="188">
          <cell r="B188" t="str">
            <v>NO</v>
          </cell>
          <cell r="C188" t="str">
            <v>Quoich Dam </v>
          </cell>
          <cell r="D188">
            <v>320</v>
          </cell>
          <cell r="E188" t="str">
            <v>SSE Generation Ltd</v>
          </cell>
          <cell r="F188" t="str">
            <v>R00024SESC</v>
          </cell>
          <cell r="G188">
            <v>0</v>
          </cell>
          <cell r="H188" t="str">
            <v>Tomdoun, By Loch Garry, Fort Augustus, Inverness-shire</v>
          </cell>
          <cell r="J188">
            <v>37622</v>
          </cell>
          <cell r="K188">
            <v>37653</v>
          </cell>
        </row>
        <row r="189">
          <cell r="D189">
            <v>61</v>
          </cell>
          <cell r="G189">
            <v>0</v>
          </cell>
        </row>
        <row r="190">
          <cell r="D190">
            <v>61417</v>
          </cell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B193" t="str">
            <v>YES</v>
          </cell>
          <cell r="C193" t="str">
            <v>Allerton Park - NFFO 4</v>
          </cell>
          <cell r="D193">
            <v>1048</v>
          </cell>
          <cell r="E193" t="str">
            <v>Waste Recycling Group</v>
          </cell>
          <cell r="F193" t="str">
            <v>R00206RJEN</v>
          </cell>
          <cell r="G193">
            <v>1</v>
          </cell>
          <cell r="H193" t="str">
            <v>Waste Recycling Group, Waste to Energy Plant, Allerton Park Landfill Site, Nr Nnaresborough, North Yorkshire</v>
          </cell>
          <cell r="I193" t="str">
            <v>HG5 0SD</v>
          </cell>
          <cell r="J193">
            <v>37530</v>
          </cell>
          <cell r="K193">
            <v>37530</v>
          </cell>
        </row>
        <row r="194">
          <cell r="B194" t="str">
            <v>YES</v>
          </cell>
          <cell r="C194" t="str">
            <v>Allerton Park - NFFO 5</v>
          </cell>
          <cell r="D194">
            <v>1048</v>
          </cell>
          <cell r="E194" t="str">
            <v>Waste Recycling Group</v>
          </cell>
          <cell r="F194" t="str">
            <v>R00207RJEN</v>
          </cell>
          <cell r="G194">
            <v>1</v>
          </cell>
          <cell r="H194" t="str">
            <v>Waste Recycling Group, Waste to Energy Plant, Allerton Park Landfill Site, Nr Nnaresborough, North Yorkshire</v>
          </cell>
          <cell r="I194" t="str">
            <v>HG5 0SD</v>
          </cell>
          <cell r="J194">
            <v>37530</v>
          </cell>
          <cell r="K194">
            <v>37530</v>
          </cell>
        </row>
        <row r="195">
          <cell r="B195" t="str">
            <v>YES</v>
          </cell>
          <cell r="C195" t="str">
            <v>Ardley Power Plant</v>
          </cell>
          <cell r="D195">
            <v>1976</v>
          </cell>
          <cell r="E195" t="str">
            <v>Viridor Waste Management</v>
          </cell>
          <cell r="F195" t="str">
            <v>R00129RJEN</v>
          </cell>
          <cell r="G195">
            <v>1</v>
          </cell>
          <cell r="H195" t="str">
            <v>Ardley
Oxford
Oxfordshire
</v>
          </cell>
          <cell r="J195">
            <v>37347</v>
          </cell>
        </row>
        <row r="196">
          <cell r="B196" t="str">
            <v>YES</v>
          </cell>
          <cell r="C196" t="str">
            <v>Arlesey</v>
          </cell>
          <cell r="D196">
            <v>1150</v>
          </cell>
          <cell r="E196" t="str">
            <v>Shanks Waste Services Ltd</v>
          </cell>
          <cell r="F196" t="str">
            <v>R00153RJEN</v>
          </cell>
          <cell r="G196">
            <v>1</v>
          </cell>
          <cell r="H196" t="str">
            <v>Arlesley High Street
Arlesley
</v>
          </cell>
          <cell r="J196">
            <v>37347</v>
          </cell>
        </row>
        <row r="197">
          <cell r="B197" t="str">
            <v>YES</v>
          </cell>
          <cell r="C197" t="str">
            <v>Arlesey Phase II</v>
          </cell>
          <cell r="D197">
            <v>1150</v>
          </cell>
          <cell r="E197" t="str">
            <v>Shanks Waste Services Ltd</v>
          </cell>
          <cell r="F197" t="str">
            <v>R00027RJEN</v>
          </cell>
          <cell r="G197">
            <v>1</v>
          </cell>
          <cell r="H197" t="str">
            <v>Arlesley High Street
Arlesley
</v>
          </cell>
          <cell r="J197">
            <v>37347</v>
          </cell>
        </row>
        <row r="198">
          <cell r="B198" t="str">
            <v>YES</v>
          </cell>
          <cell r="C198" t="str">
            <v>Arpley Landfill Site</v>
          </cell>
          <cell r="D198">
            <v>16400</v>
          </cell>
          <cell r="E198" t="str">
            <v>Novera Energy Europe Ltd</v>
          </cell>
          <cell r="F198" t="str">
            <v>R00173RJEN</v>
          </cell>
          <cell r="G198">
            <v>1</v>
          </cell>
          <cell r="H198" t="str">
            <v>Forest Way
Off Liverpool Rd
Sankey Bridges
Warrington
</v>
          </cell>
          <cell r="I198" t="str">
            <v>WA4 6YZ</v>
          </cell>
          <cell r="J198">
            <v>37347</v>
          </cell>
        </row>
        <row r="199">
          <cell r="B199" t="str">
            <v>YES</v>
          </cell>
          <cell r="C199" t="str">
            <v>Atlas Power</v>
          </cell>
          <cell r="D199">
            <v>1030</v>
          </cell>
          <cell r="E199" t="str">
            <v>Natural Power Ltd</v>
          </cell>
          <cell r="F199" t="str">
            <v>R00083RJEN</v>
          </cell>
          <cell r="G199">
            <v>1</v>
          </cell>
          <cell r="H199" t="str">
            <v>Blackley New Road
Elland
Huddersfield
West Yorkshire
</v>
          </cell>
          <cell r="J199">
            <v>37347</v>
          </cell>
        </row>
        <row r="200">
          <cell r="B200" t="str">
            <v>YES</v>
          </cell>
          <cell r="C200" t="str">
            <v>Attlebridge</v>
          </cell>
          <cell r="D200">
            <v>1200</v>
          </cell>
          <cell r="E200" t="str">
            <v>United Utilites Green Energy Ltd</v>
          </cell>
          <cell r="F200" t="str">
            <v>R00133RJEN</v>
          </cell>
          <cell r="G200">
            <v>1</v>
          </cell>
          <cell r="H200" t="str">
            <v>Attlebridge Landfill Site
Reepham Road
Attlebridge
Norwich
</v>
          </cell>
          <cell r="J200">
            <v>37347</v>
          </cell>
        </row>
        <row r="201">
          <cell r="B201" t="str">
            <v>YES</v>
          </cell>
          <cell r="C201" t="str">
            <v>Aveley</v>
          </cell>
          <cell r="D201">
            <v>3952</v>
          </cell>
          <cell r="E201" t="str">
            <v>Aveley Methane Ltd</v>
          </cell>
          <cell r="F201" t="str">
            <v>R00049RJEN</v>
          </cell>
          <cell r="G201">
            <v>1</v>
          </cell>
          <cell r="H201" t="str">
            <v>Sandy Lane
Aveley
Essex
</v>
          </cell>
          <cell r="I201" t="str">
            <v>RM15 4RU</v>
          </cell>
          <cell r="J201">
            <v>37347</v>
          </cell>
        </row>
        <row r="202">
          <cell r="B202" t="str">
            <v>YES</v>
          </cell>
          <cell r="C202" t="str">
            <v>Aveley - NFFO 5</v>
          </cell>
          <cell r="D202">
            <v>2006</v>
          </cell>
          <cell r="E202" t="str">
            <v>Waste Recycling Group Plc.</v>
          </cell>
          <cell r="F202" t="str">
            <v>R00140RJEN</v>
          </cell>
          <cell r="G202">
            <v>1</v>
          </cell>
          <cell r="H202" t="str">
            <v>Aveley Landfill Site
Sandy Lane
Aveley
Essex
</v>
          </cell>
          <cell r="I202" t="str">
            <v>RM15 4HL</v>
          </cell>
          <cell r="J202">
            <v>37347</v>
          </cell>
        </row>
        <row r="203">
          <cell r="B203" t="str">
            <v>YES</v>
          </cell>
          <cell r="C203" t="str">
            <v>Aveley Landfill</v>
          </cell>
          <cell r="D203">
            <v>3840</v>
          </cell>
          <cell r="E203" t="str">
            <v>Waste Recycling Group (Central) Ltd</v>
          </cell>
          <cell r="F203" t="str">
            <v>R00006RJEN</v>
          </cell>
          <cell r="G203">
            <v>1</v>
          </cell>
          <cell r="H203" t="str">
            <v>Sandy Lane
Aveley
Essex
</v>
          </cell>
          <cell r="J203">
            <v>37347</v>
          </cell>
        </row>
        <row r="204">
          <cell r="B204" t="str">
            <v>YES</v>
          </cell>
          <cell r="C204" t="str">
            <v>Beddingham "A" Power Plant</v>
          </cell>
          <cell r="D204">
            <v>2008</v>
          </cell>
          <cell r="E204" t="str">
            <v>Viridor Waste Management</v>
          </cell>
          <cell r="F204" t="str">
            <v>R00128RJEN</v>
          </cell>
          <cell r="G204">
            <v>1</v>
          </cell>
          <cell r="H204" t="str">
            <v>Beddingham Landfill
Near Lewes
East Sussex
</v>
          </cell>
          <cell r="I204" t="str">
            <v>BN8 6RJ</v>
          </cell>
          <cell r="J204">
            <v>37347</v>
          </cell>
        </row>
        <row r="205">
          <cell r="B205" t="str">
            <v>YES</v>
          </cell>
          <cell r="C205" t="str">
            <v>Beddingham "B" Power Plant</v>
          </cell>
          <cell r="D205">
            <v>1189</v>
          </cell>
          <cell r="E205" t="str">
            <v>Viridor Waste Management</v>
          </cell>
          <cell r="F205" t="str">
            <v>R00127RJEN</v>
          </cell>
          <cell r="G205">
            <v>1</v>
          </cell>
          <cell r="H205" t="str">
            <v>Beddingham Landfill
Near Lewes
East Sussex
</v>
          </cell>
          <cell r="I205" t="str">
            <v>BN8 6RJ</v>
          </cell>
          <cell r="J205">
            <v>37347</v>
          </cell>
        </row>
        <row r="206">
          <cell r="B206" t="str">
            <v>YES</v>
          </cell>
          <cell r="C206" t="str">
            <v>Beenham Landfill</v>
          </cell>
          <cell r="D206">
            <v>1003</v>
          </cell>
          <cell r="E206" t="str">
            <v>Summerleaze RE-Generation Ltd</v>
          </cell>
          <cell r="F206" t="str">
            <v>R00035RJEN</v>
          </cell>
          <cell r="G206">
            <v>1</v>
          </cell>
          <cell r="H206" t="str">
            <v>Beenham
Near Reading
Berkshire
</v>
          </cell>
          <cell r="I206" t="str">
            <v>RG7 5LR</v>
          </cell>
          <cell r="J206">
            <v>37347</v>
          </cell>
        </row>
        <row r="207">
          <cell r="B207" t="str">
            <v>YES</v>
          </cell>
          <cell r="C207" t="str">
            <v>Beighton Landfill Gas Project</v>
          </cell>
          <cell r="D207">
            <v>1003</v>
          </cell>
          <cell r="E207" t="str">
            <v>Beighton Energy</v>
          </cell>
          <cell r="F207" t="str">
            <v>R00118RJEN</v>
          </cell>
          <cell r="G207">
            <v>1</v>
          </cell>
          <cell r="H207" t="str">
            <v>Woodhouse Road
Beighton
Sheffield
</v>
          </cell>
          <cell r="J207">
            <v>37347</v>
          </cell>
        </row>
        <row r="208">
          <cell r="B208" t="str">
            <v>YES</v>
          </cell>
          <cell r="C208" t="str">
            <v>Bellhouse Farm</v>
          </cell>
          <cell r="D208">
            <v>2850</v>
          </cell>
          <cell r="E208" t="str">
            <v>Bellhouse Energy</v>
          </cell>
          <cell r="F208" t="str">
            <v>R00119RJEN</v>
          </cell>
          <cell r="G208">
            <v>1</v>
          </cell>
          <cell r="H208" t="str">
            <v>Church Lane
Stanway
Colchester
</v>
          </cell>
          <cell r="J208">
            <v>37347</v>
          </cell>
        </row>
        <row r="209">
          <cell r="B209" t="str">
            <v>YES</v>
          </cell>
          <cell r="C209" t="str">
            <v>Betton Abbots Landfill Site</v>
          </cell>
          <cell r="D209">
            <v>1300</v>
          </cell>
          <cell r="E209" t="str">
            <v>Natural Power Ltd</v>
          </cell>
          <cell r="F209" t="str">
            <v>R00438RJEN</v>
          </cell>
          <cell r="G209">
            <v>1</v>
          </cell>
          <cell r="H209" t="str">
            <v>Cross Houses, Shrewsbury, England</v>
          </cell>
          <cell r="I209" t="str">
            <v>SY5 6JD</v>
          </cell>
          <cell r="J209">
            <v>37803</v>
          </cell>
          <cell r="K209">
            <v>37833</v>
          </cell>
        </row>
        <row r="210">
          <cell r="B210" t="str">
            <v>YES</v>
          </cell>
          <cell r="C210" t="str">
            <v>Bidston Moss Landfill</v>
          </cell>
          <cell r="D210">
            <v>2500</v>
          </cell>
          <cell r="E210" t="str">
            <v>Bidstone Methane</v>
          </cell>
          <cell r="F210" t="str">
            <v>R00042RJEN</v>
          </cell>
          <cell r="G210">
            <v>1</v>
          </cell>
          <cell r="H210" t="str">
            <v>Bidston
Birkenhead
</v>
          </cell>
          <cell r="J210">
            <v>37347</v>
          </cell>
        </row>
        <row r="211">
          <cell r="B211" t="str">
            <v>YES</v>
          </cell>
          <cell r="C211" t="str">
            <v>Billinge Hill Quarry Landfill</v>
          </cell>
          <cell r="D211">
            <v>980</v>
          </cell>
          <cell r="E211" t="str">
            <v>Bidstone Methane</v>
          </cell>
          <cell r="F211" t="str">
            <v>R00045RJEN</v>
          </cell>
          <cell r="G211">
            <v>1</v>
          </cell>
          <cell r="H211" t="str">
            <v>Rainford Road
Billinge
St Helens
Merseyside
</v>
          </cell>
          <cell r="J211">
            <v>37347</v>
          </cell>
        </row>
        <row r="212">
          <cell r="B212" t="str">
            <v>YES</v>
          </cell>
          <cell r="C212" t="str">
            <v>Billinge Hill Quarry Landfill NFFO 4</v>
          </cell>
          <cell r="D212">
            <v>1025</v>
          </cell>
          <cell r="E212" t="str">
            <v>Bidstone Methane</v>
          </cell>
          <cell r="F212" t="str">
            <v>R00046RJEN</v>
          </cell>
          <cell r="G212">
            <v>1</v>
          </cell>
          <cell r="H212" t="str">
            <v>Rainford Road
Billinge
St Helens
Merseyside
</v>
          </cell>
          <cell r="J212">
            <v>37347</v>
          </cell>
        </row>
        <row r="213">
          <cell r="B213" t="str">
            <v>YES</v>
          </cell>
          <cell r="C213" t="str">
            <v>Blackborough End</v>
          </cell>
          <cell r="D213">
            <v>1888</v>
          </cell>
          <cell r="E213" t="str">
            <v>Blackborough End Energy Ltd</v>
          </cell>
          <cell r="F213" t="str">
            <v>R00058RJEN</v>
          </cell>
          <cell r="G213">
            <v>1</v>
          </cell>
          <cell r="H213" t="str">
            <v>Blackborough End Landfill Site, Mill Drove
Blackborough End
Kings Lynn
Norfolk
</v>
          </cell>
          <cell r="J213">
            <v>37347</v>
          </cell>
        </row>
        <row r="214">
          <cell r="B214" t="str">
            <v>YES</v>
          </cell>
          <cell r="C214" t="str">
            <v>Bletchley Phase II</v>
          </cell>
          <cell r="D214">
            <v>2300</v>
          </cell>
          <cell r="E214" t="str">
            <v>Shanks Waste Services Ltd</v>
          </cell>
          <cell r="F214" t="str">
            <v>R00139RJEN</v>
          </cell>
          <cell r="G214">
            <v>1</v>
          </cell>
          <cell r="H214" t="str">
            <v>Bletchley Landfill
Bletchley Road
Newton Longville
Milton Keynes
</v>
          </cell>
          <cell r="I214" t="str">
            <v>MK17 0AB</v>
          </cell>
          <cell r="J214">
            <v>37347</v>
          </cell>
        </row>
        <row r="215">
          <cell r="B215" t="str">
            <v>YES</v>
          </cell>
          <cell r="C215" t="str">
            <v>Bolam Landfill Gas Project</v>
          </cell>
          <cell r="D215">
            <v>1030</v>
          </cell>
          <cell r="E215" t="str">
            <v>Bolam Energy Ltd</v>
          </cell>
          <cell r="F215" t="str">
            <v>R00190RJEN</v>
          </cell>
          <cell r="G215">
            <v>1</v>
          </cell>
          <cell r="H215" t="str">
            <v>Bolam Landfill Site, Bolam Village, Nr Bishop Auckland, County Durham</v>
          </cell>
          <cell r="I215" t="str">
            <v>DL2 2UP</v>
          </cell>
          <cell r="J215">
            <v>37347</v>
          </cell>
        </row>
        <row r="216">
          <cell r="B216" t="str">
            <v>YES</v>
          </cell>
          <cell r="C216" t="str">
            <v>Bootham Lane</v>
          </cell>
          <cell r="D216">
            <v>1251</v>
          </cell>
          <cell r="E216" t="str">
            <v>United Utilities Green Energy Ltd</v>
          </cell>
          <cell r="F216" t="str">
            <v>R00134RJEN</v>
          </cell>
          <cell r="G216">
            <v>1</v>
          </cell>
          <cell r="H216" t="str">
            <v>Dunscroft
Doncaster
</v>
          </cell>
          <cell r="J216">
            <v>37347</v>
          </cell>
        </row>
        <row r="217">
          <cell r="B217" t="str">
            <v>YES</v>
          </cell>
          <cell r="C217" t="str">
            <v>Boston Generation Project</v>
          </cell>
          <cell r="D217">
            <v>1330</v>
          </cell>
          <cell r="E217" t="str">
            <v>United Utilities Green Energy Ltd</v>
          </cell>
          <cell r="F217" t="str">
            <v>R00110RJEN</v>
          </cell>
          <cell r="G217">
            <v>1</v>
          </cell>
          <cell r="H217" t="str">
            <v>Slippery Gowt Farm
Boston
Lancashire
</v>
          </cell>
          <cell r="J217">
            <v>37347</v>
          </cell>
        </row>
        <row r="218">
          <cell r="B218" t="str">
            <v>YES</v>
          </cell>
          <cell r="C218" t="str">
            <v>Bradgate</v>
          </cell>
          <cell r="D218">
            <v>2640</v>
          </cell>
          <cell r="E218" t="str">
            <v>Wastenotts Ltd</v>
          </cell>
          <cell r="F218" t="str">
            <v>R00005RJEN</v>
          </cell>
          <cell r="G218">
            <v>1</v>
          </cell>
          <cell r="H218" t="str">
            <v>Bradgate Landfill Site
Markfield
Leicestershire
</v>
          </cell>
          <cell r="J218">
            <v>37347</v>
          </cell>
        </row>
        <row r="219">
          <cell r="B219" t="str">
            <v>YES</v>
          </cell>
          <cell r="C219" t="str">
            <v>Bramford</v>
          </cell>
          <cell r="D219">
            <v>880</v>
          </cell>
          <cell r="E219" t="str">
            <v>United Utilities Green Energy Ltd</v>
          </cell>
          <cell r="F219" t="str">
            <v>R00111RJEN</v>
          </cell>
          <cell r="G219">
            <v>1</v>
          </cell>
          <cell r="H219" t="str">
            <v>Bramford Landfill Site
Somersham Road
Bramford
Ipswich
</v>
          </cell>
          <cell r="J219">
            <v>37347</v>
          </cell>
        </row>
        <row r="220">
          <cell r="B220" t="str">
            <v>YES</v>
          </cell>
          <cell r="C220" t="str">
            <v>Bramshill</v>
          </cell>
          <cell r="D220">
            <v>1006</v>
          </cell>
          <cell r="E220" t="str">
            <v>Onyx Hampshire Ltd</v>
          </cell>
          <cell r="F220" t="str">
            <v>R00186RJEN</v>
          </cell>
          <cell r="G220">
            <v>1</v>
          </cell>
          <cell r="H220" t="str">
            <v>Plough Lane, Bramshill, Eversley</v>
          </cell>
          <cell r="J220">
            <v>37347</v>
          </cell>
        </row>
        <row r="221">
          <cell r="B221" t="str">
            <v>YES</v>
          </cell>
          <cell r="C221" t="str">
            <v>Brazier Methane Conversion Plant</v>
          </cell>
          <cell r="D221">
            <v>4000</v>
          </cell>
          <cell r="E221" t="str">
            <v>EDL Operations (Brazier) Ltd</v>
          </cell>
          <cell r="F221" t="str">
            <v>R00101RJEN</v>
          </cell>
          <cell r="G221">
            <v>1</v>
          </cell>
          <cell r="H221" t="str">
            <v>Westmill Road
Ware
Hertfordshire
</v>
          </cell>
          <cell r="J221">
            <v>37347</v>
          </cell>
        </row>
        <row r="222">
          <cell r="B222" t="str">
            <v>YES</v>
          </cell>
          <cell r="C222" t="str">
            <v>Bretby</v>
          </cell>
          <cell r="D222">
            <v>982</v>
          </cell>
          <cell r="E222" t="str">
            <v>United Utilities Green Energy Ltd</v>
          </cell>
          <cell r="F222" t="str">
            <v>R00112RJEN</v>
          </cell>
          <cell r="G222">
            <v>1</v>
          </cell>
          <cell r="H222" t="str">
            <v>Main Street
Newhall
Derbyshire
</v>
          </cell>
          <cell r="J222">
            <v>37347</v>
          </cell>
        </row>
        <row r="223">
          <cell r="B223" t="str">
            <v>YES</v>
          </cell>
          <cell r="C223" t="str">
            <v>Bretby 2</v>
          </cell>
          <cell r="D223">
            <v>1290</v>
          </cell>
          <cell r="E223" t="str">
            <v>United Utilities Green Energy Ltd</v>
          </cell>
          <cell r="F223" t="str">
            <v>R00113RJEN</v>
          </cell>
          <cell r="G223">
            <v>1</v>
          </cell>
          <cell r="H223" t="str">
            <v>Main Street
Newhall
Derbyshire
</v>
          </cell>
          <cell r="I223" t="str">
            <v>DE11 0TP</v>
          </cell>
          <cell r="J223">
            <v>37347</v>
          </cell>
        </row>
        <row r="224">
          <cell r="B224" t="str">
            <v>YES</v>
          </cell>
          <cell r="C224" t="str">
            <v>Brixworth</v>
          </cell>
          <cell r="D224">
            <v>600</v>
          </cell>
          <cell r="E224" t="str">
            <v>United Utilities Green Energy Ltd</v>
          </cell>
          <cell r="F224" t="str">
            <v>R00114RJEN</v>
          </cell>
          <cell r="G224">
            <v>1</v>
          </cell>
          <cell r="H224" t="str">
            <v>Scalwell Lane
Brixworth
Northamptonshire
</v>
          </cell>
          <cell r="I224" t="str">
            <v>NN1 2HZ</v>
          </cell>
          <cell r="J224">
            <v>37347</v>
          </cell>
        </row>
        <row r="225">
          <cell r="B225" t="str">
            <v>YES</v>
          </cell>
          <cell r="C225" t="str">
            <v>Brogborough Phase III</v>
          </cell>
          <cell r="D225">
            <v>6728</v>
          </cell>
          <cell r="E225" t="str">
            <v>Shanks Waste Services Ltd</v>
          </cell>
          <cell r="F225" t="str">
            <v>R00034RJEN</v>
          </cell>
          <cell r="G225">
            <v>1</v>
          </cell>
          <cell r="H225" t="str">
            <v>Brogborough Landfill Site
Woburn Road
Brogborough
Bedford
Bedfordshire
</v>
          </cell>
          <cell r="J225">
            <v>37347</v>
          </cell>
        </row>
        <row r="226">
          <cell r="B226" t="str">
            <v>YES</v>
          </cell>
          <cell r="C226" t="str">
            <v>Brogborough Phase IV</v>
          </cell>
          <cell r="D226">
            <v>2300</v>
          </cell>
          <cell r="E226" t="str">
            <v>Shanks Waste Services Ltd</v>
          </cell>
          <cell r="F226" t="str">
            <v>R00028RJEN</v>
          </cell>
          <cell r="G226">
            <v>1</v>
          </cell>
          <cell r="H226" t="str">
            <v>Brogborough Landfill Site
Woburn Road
Brogborough
Bedford
Bedfordshire
</v>
          </cell>
          <cell r="J226">
            <v>37347</v>
          </cell>
        </row>
        <row r="227">
          <cell r="B227" t="str">
            <v>YES</v>
          </cell>
          <cell r="C227" t="str">
            <v>Brogborough Power Station (Phase I &amp; II)</v>
          </cell>
          <cell r="D227">
            <v>11128</v>
          </cell>
          <cell r="E227" t="str">
            <v>Shanks Waste Services Ltd</v>
          </cell>
          <cell r="F227" t="str">
            <v>R00030RJEN</v>
          </cell>
          <cell r="G227">
            <v>1</v>
          </cell>
          <cell r="H227" t="str">
            <v>Brogborough Landfill Site
Woburn Road
Brogborough
Bedford
Bedfordshire
</v>
          </cell>
          <cell r="J227">
            <v>37347</v>
          </cell>
        </row>
        <row r="228">
          <cell r="B228" t="str">
            <v>YES</v>
          </cell>
          <cell r="C228" t="str">
            <v>Bromborough Dock Landfill Site</v>
          </cell>
          <cell r="D228">
            <v>3075</v>
          </cell>
          <cell r="E228" t="str">
            <v>UK Waste Management Ltd c/o Biffa Environmental Technology</v>
          </cell>
          <cell r="F228" t="str">
            <v>R00162RJEN</v>
          </cell>
          <cell r="G228">
            <v>1</v>
          </cell>
          <cell r="H228" t="str">
            <v>Dock Road South
Bromborough
</v>
          </cell>
          <cell r="J228">
            <v>37347</v>
          </cell>
        </row>
        <row r="229">
          <cell r="B229" t="str">
            <v>YES</v>
          </cell>
          <cell r="C229" t="str">
            <v>Brookhurst Wood Gas to Energy</v>
          </cell>
          <cell r="D229">
            <v>3090</v>
          </cell>
          <cell r="E229" t="str">
            <v>UK Waste Management Ltd c/o Biffa Environmental Technology</v>
          </cell>
          <cell r="F229" t="str">
            <v>R00179RJEN</v>
          </cell>
          <cell r="G229">
            <v>1</v>
          </cell>
          <cell r="H229" t="str">
            <v>Langhurstwood Road
Warnham
West Sussex
</v>
          </cell>
          <cell r="J229">
            <v>37347</v>
          </cell>
        </row>
        <row r="230">
          <cell r="B230" t="str">
            <v>YES</v>
          </cell>
          <cell r="C230" t="str">
            <v>Brookhurst 2</v>
          </cell>
          <cell r="D230">
            <v>2096</v>
          </cell>
          <cell r="E230" t="str">
            <v>Biffa Waste Services Ltd</v>
          </cell>
          <cell r="F230" t="str">
            <v>R00209RJEN</v>
          </cell>
          <cell r="G230">
            <v>1</v>
          </cell>
          <cell r="H230" t="str">
            <v>Brookhurst Wood Landfill Site, Langhurstwood Road, Warnham, West Sussex</v>
          </cell>
          <cell r="I230" t="str">
            <v>RH12 4QD</v>
          </cell>
          <cell r="J230">
            <v>37561</v>
          </cell>
          <cell r="K230">
            <v>37561</v>
          </cell>
        </row>
        <row r="231">
          <cell r="B231" t="str">
            <v>YES</v>
          </cell>
          <cell r="C231" t="str">
            <v>Bryn Pica Landfill</v>
          </cell>
          <cell r="D231">
            <v>2650</v>
          </cell>
          <cell r="E231" t="str">
            <v>United Utilities Green Energy Limited</v>
          </cell>
          <cell r="F231" t="str">
            <v>R00445RJWA</v>
          </cell>
          <cell r="G231">
            <v>1</v>
          </cell>
          <cell r="H231" t="str">
            <v>Llwydcoed, Aberdove</v>
          </cell>
          <cell r="I231" t="str">
            <v>CF44 0BX</v>
          </cell>
          <cell r="J231">
            <v>37834</v>
          </cell>
          <cell r="K231">
            <v>37887</v>
          </cell>
        </row>
        <row r="232">
          <cell r="B232" t="str">
            <v>YES</v>
          </cell>
          <cell r="C232" t="str">
            <v>Bryn Posteg Landfill Site</v>
          </cell>
          <cell r="D232">
            <v>1025</v>
          </cell>
          <cell r="E232" t="str">
            <v>Sundorne Products (Llanidloes) Ltd</v>
          </cell>
          <cell r="F232" t="str">
            <v>R00211RJWA</v>
          </cell>
          <cell r="G232">
            <v>1</v>
          </cell>
          <cell r="H232" t="str">
            <v>Bryn Posteg Landfill Site, Nr Llanidloes, Wales</v>
          </cell>
          <cell r="J232">
            <v>37591</v>
          </cell>
          <cell r="K232">
            <v>37591</v>
          </cell>
        </row>
        <row r="233">
          <cell r="B233" t="str">
            <v>YES</v>
          </cell>
          <cell r="C233" t="str">
            <v>Burnt Stump</v>
          </cell>
          <cell r="D233">
            <v>1920</v>
          </cell>
          <cell r="E233" t="str">
            <v>Wastenotts Ltd</v>
          </cell>
          <cell r="F233" t="str">
            <v>R00001RJEN</v>
          </cell>
          <cell r="G233">
            <v>1</v>
          </cell>
          <cell r="H233" t="str">
            <v>Ollerton Road
Nottingham
Nottinghamshire
</v>
          </cell>
          <cell r="J233">
            <v>37347</v>
          </cell>
        </row>
        <row r="234">
          <cell r="B234" t="str">
            <v>YES</v>
          </cell>
          <cell r="C234" t="str">
            <v>Burnt Stump NFFO 5</v>
          </cell>
          <cell r="D234">
            <v>1003</v>
          </cell>
          <cell r="E234" t="str">
            <v>Wastenotts Ltd</v>
          </cell>
          <cell r="F234" t="str">
            <v>R00002RJEN</v>
          </cell>
          <cell r="G234">
            <v>1</v>
          </cell>
          <cell r="H234" t="str">
            <v>Ollerton Road
Nottingham
Nottinghamshire
</v>
          </cell>
          <cell r="J234">
            <v>37347</v>
          </cell>
        </row>
        <row r="235">
          <cell r="B235" t="str">
            <v>YES</v>
          </cell>
          <cell r="C235" t="str">
            <v>Butchersfield</v>
          </cell>
          <cell r="D235">
            <v>2964</v>
          </cell>
          <cell r="E235" t="str">
            <v>Natural Power Ltd</v>
          </cell>
          <cell r="F235" t="str">
            <v>R00070RJEN</v>
          </cell>
          <cell r="G235">
            <v>1</v>
          </cell>
          <cell r="H235" t="str">
            <v>Rixton Old Hall
Manchester Old Road
Rixton
</v>
          </cell>
          <cell r="J235">
            <v>37347</v>
          </cell>
        </row>
        <row r="236">
          <cell r="B236" t="str">
            <v>YES</v>
          </cell>
          <cell r="C236" t="str">
            <v>Calne</v>
          </cell>
          <cell r="D236">
            <v>2000</v>
          </cell>
          <cell r="E236" t="str">
            <v>Viridor Waste Exeter Ltd</v>
          </cell>
          <cell r="F236" t="str">
            <v>R00432RJEN</v>
          </cell>
          <cell r="G236">
            <v>1</v>
          </cell>
          <cell r="H236" t="str">
            <v>Sand Pit Road, Calne, wiltshire</v>
          </cell>
          <cell r="I236" t="str">
            <v>SN11 8TF</v>
          </cell>
          <cell r="J236">
            <v>37803</v>
          </cell>
          <cell r="K236">
            <v>37773</v>
          </cell>
        </row>
        <row r="237">
          <cell r="B237" t="str">
            <v>YES</v>
          </cell>
          <cell r="C237" t="str">
            <v>Calvert Phase I</v>
          </cell>
          <cell r="D237">
            <v>2828</v>
          </cell>
          <cell r="E237" t="str">
            <v>Shanks Waste Services Ltd</v>
          </cell>
          <cell r="F237" t="str">
            <v>R00060RJEN</v>
          </cell>
          <cell r="G237">
            <v>1</v>
          </cell>
          <cell r="H237" t="str">
            <v>Calvert Landfill Site
Brackley Lane
Calvert
</v>
          </cell>
          <cell r="I237" t="str">
            <v>MK18 2EN</v>
          </cell>
          <cell r="J237">
            <v>37347</v>
          </cell>
        </row>
        <row r="238">
          <cell r="B238" t="str">
            <v>YES</v>
          </cell>
          <cell r="C238" t="str">
            <v>Calvert Phase II - A</v>
          </cell>
          <cell r="D238">
            <v>12100</v>
          </cell>
          <cell r="E238" t="str">
            <v>Shanks Waste Services Ltd</v>
          </cell>
          <cell r="F238" t="str">
            <v>R00213RJEN</v>
          </cell>
          <cell r="G238">
            <v>1</v>
          </cell>
          <cell r="H238" t="str">
            <v>Brackley Lane, Calvert</v>
          </cell>
          <cell r="I238" t="str">
            <v>MK18 2EN</v>
          </cell>
          <cell r="J238">
            <v>37591</v>
          </cell>
        </row>
        <row r="239">
          <cell r="B239" t="str">
            <v>YES</v>
          </cell>
          <cell r="C239" t="str">
            <v>Chadderton Gas to Energy</v>
          </cell>
          <cell r="D239">
            <v>2050</v>
          </cell>
          <cell r="E239" t="str">
            <v>UK Waste Management Ltd c/o Biffa Environmental Technology</v>
          </cell>
          <cell r="F239" t="str">
            <v>R00159RJEN</v>
          </cell>
          <cell r="G239">
            <v>1</v>
          </cell>
          <cell r="H239" t="str">
            <v>Greenside Way, off Greengate
Middleton
</v>
          </cell>
          <cell r="J239">
            <v>37347</v>
          </cell>
        </row>
        <row r="240">
          <cell r="B240" t="str">
            <v>YES</v>
          </cell>
          <cell r="C240" t="str">
            <v>Chapel Farm Landfill</v>
          </cell>
          <cell r="D240">
            <v>1000</v>
          </cell>
          <cell r="E240" t="str">
            <v>United Utilities Green Energy Ltd</v>
          </cell>
          <cell r="F240" t="str">
            <v>R00115RJEN</v>
          </cell>
          <cell r="G240">
            <v>1</v>
          </cell>
          <cell r="H240" t="str">
            <v>Off A419
Nr Blundson
Swindon
Wiltshire
</v>
          </cell>
          <cell r="J240">
            <v>37347</v>
          </cell>
        </row>
        <row r="241">
          <cell r="B241" t="str">
            <v>YES</v>
          </cell>
          <cell r="C241" t="str">
            <v>Chavey Power</v>
          </cell>
          <cell r="D241">
            <v>1030</v>
          </cell>
          <cell r="E241" t="str">
            <v>Natural Power Ltd</v>
          </cell>
          <cell r="F241" t="str">
            <v>R00078RJEN</v>
          </cell>
          <cell r="G241">
            <v>1</v>
          </cell>
          <cell r="H241" t="str">
            <v>London Road
Bracknell
Berkshire
</v>
          </cell>
          <cell r="J241">
            <v>37347</v>
          </cell>
        </row>
        <row r="242">
          <cell r="B242" t="str">
            <v>YES</v>
          </cell>
          <cell r="C242" t="str">
            <v>Chelson Meadow 2</v>
          </cell>
          <cell r="D242">
            <v>1003</v>
          </cell>
          <cell r="E242" t="str">
            <v>Chelson Meadow Energy Ltd</v>
          </cell>
          <cell r="F242" t="str">
            <v>R00117RJEN</v>
          </cell>
          <cell r="G242">
            <v>1</v>
          </cell>
          <cell r="H242" t="str">
            <v>Laira Bridge Road
Plymouth
</v>
          </cell>
          <cell r="J242">
            <v>37347</v>
          </cell>
        </row>
        <row r="243">
          <cell r="B243" t="str">
            <v>YES</v>
          </cell>
          <cell r="C243" t="str">
            <v>Chelson Meadow Gas to Energy</v>
          </cell>
          <cell r="D243">
            <v>2006</v>
          </cell>
          <cell r="E243" t="str">
            <v>Chelson Meadow Energy Ltd</v>
          </cell>
          <cell r="F243" t="str">
            <v>R00116RJEN</v>
          </cell>
          <cell r="G243">
            <v>1</v>
          </cell>
          <cell r="H243" t="str">
            <v>Laira Bridge Road
Plymouth
</v>
          </cell>
          <cell r="J243">
            <v>37347</v>
          </cell>
        </row>
        <row r="244">
          <cell r="B244" t="str">
            <v>YES</v>
          </cell>
          <cell r="C244" t="str">
            <v>Chester Road Landfill Site</v>
          </cell>
          <cell r="D244">
            <v>300</v>
          </cell>
          <cell r="E244" t="str">
            <v>Natural Power Ltd</v>
          </cell>
          <cell r="F244" t="str">
            <v>R00093RJEN</v>
          </cell>
          <cell r="G244">
            <v>1</v>
          </cell>
          <cell r="H244" t="str">
            <v>Chester Road Waste Collection Depot
Stretford
</v>
          </cell>
          <cell r="I244" t="str">
            <v>M32 0RL</v>
          </cell>
          <cell r="J244">
            <v>37347</v>
          </cell>
        </row>
        <row r="245">
          <cell r="B245" t="str">
            <v>YES</v>
          </cell>
          <cell r="C245" t="str">
            <v>Clifton Hall</v>
          </cell>
          <cell r="D245">
            <v>2000</v>
          </cell>
          <cell r="E245" t="str">
            <v>Biffa Waste Services Ltd</v>
          </cell>
          <cell r="F245" t="str">
            <v>R00214RJEN</v>
          </cell>
          <cell r="G245">
            <v>1</v>
          </cell>
          <cell r="H245" t="str">
            <v>Clifton Hall Landfill Site, Lumns Lane, Clifton, Swinton, Manchester</v>
          </cell>
          <cell r="I245" t="str">
            <v>M27 8LN</v>
          </cell>
          <cell r="J245">
            <v>37653</v>
          </cell>
          <cell r="K245">
            <v>37653</v>
          </cell>
        </row>
        <row r="246">
          <cell r="B246" t="str">
            <v>YES</v>
          </cell>
          <cell r="C246" t="str">
            <v>Colsterworth Landfill Gas Project</v>
          </cell>
          <cell r="D246">
            <v>2620</v>
          </cell>
          <cell r="E246" t="str">
            <v>Colsterworth Endergy Ltd</v>
          </cell>
          <cell r="F246" t="str">
            <v>R00120RJEN</v>
          </cell>
          <cell r="G246">
            <v>1</v>
          </cell>
          <cell r="H246" t="str">
            <v>Stainby Road
Colsterworth
Lincolnshire
</v>
          </cell>
          <cell r="J246">
            <v>37347</v>
          </cell>
        </row>
        <row r="247">
          <cell r="B247" t="str">
            <v>YES</v>
          </cell>
          <cell r="C247" t="str">
            <v>Compton Basset Landfill</v>
          </cell>
          <cell r="D247">
            <v>2125</v>
          </cell>
          <cell r="E247" t="str">
            <v>United Utilities Green Energy Ltd</v>
          </cell>
          <cell r="F247" t="str">
            <v>R00178RJEN</v>
          </cell>
          <cell r="G247">
            <v>1</v>
          </cell>
          <cell r="H247" t="str">
            <v>Old Camp Farm
Compton Bassett
Nr Calne
Wiltshire
</v>
          </cell>
          <cell r="I247" t="str">
            <v>SN11 8RB</v>
          </cell>
          <cell r="J247">
            <v>37347</v>
          </cell>
        </row>
        <row r="248">
          <cell r="B248" t="str">
            <v>YES</v>
          </cell>
          <cell r="C248" t="str">
            <v>Connon Bridge Landfill Gas Project</v>
          </cell>
          <cell r="D248">
            <v>1006</v>
          </cell>
          <cell r="E248" t="str">
            <v>Connon Bridge Energy Ltd</v>
          </cell>
          <cell r="F248" t="str">
            <v>R00183RJEN</v>
          </cell>
          <cell r="G248">
            <v>1</v>
          </cell>
          <cell r="H248" t="str">
            <v>East Taphouse
Liskeard
Cornwall
</v>
          </cell>
          <cell r="I248" t="str">
            <v>PL14 4NP</v>
          </cell>
          <cell r="J248">
            <v>37347</v>
          </cell>
        </row>
        <row r="249">
          <cell r="B249" t="str">
            <v>YES</v>
          </cell>
          <cell r="C249" t="str">
            <v>Cormongers Lane</v>
          </cell>
          <cell r="D249">
            <v>1850</v>
          </cell>
          <cell r="E249" t="str">
            <v>Biogeneration Ltd c/o BiffaWaste Services Ltd</v>
          </cell>
          <cell r="F249" t="str">
            <v>R00165RJEN</v>
          </cell>
          <cell r="G249">
            <v>1</v>
          </cell>
          <cell r="H249" t="str">
            <v>Redhill
Redhill
Surrey
</v>
          </cell>
          <cell r="J249">
            <v>37347</v>
          </cell>
        </row>
        <row r="250">
          <cell r="B250" t="str">
            <v>YES</v>
          </cell>
          <cell r="C250" t="str">
            <v>Costessey Landfill Gas Project</v>
          </cell>
          <cell r="D250">
            <v>950</v>
          </cell>
          <cell r="E250" t="str">
            <v>Combined Landfill Projects Ltd</v>
          </cell>
          <cell r="F250" t="str">
            <v>R00121RJEN</v>
          </cell>
          <cell r="G250">
            <v>1</v>
          </cell>
          <cell r="H250" t="str">
            <v>Longwater Industrial Estate
Dereham Rd
Norwich
</v>
          </cell>
          <cell r="J250">
            <v>37347</v>
          </cell>
        </row>
        <row r="251">
          <cell r="B251" t="str">
            <v>YES</v>
          </cell>
          <cell r="C251" t="str">
            <v>Costessey  2 Landfill Power Generation</v>
          </cell>
          <cell r="D251">
            <v>2200</v>
          </cell>
          <cell r="E251" t="str">
            <v>Costessey Energy Limited</v>
          </cell>
          <cell r="F251" t="str">
            <v>R00220RJEN</v>
          </cell>
          <cell r="G251">
            <v>1</v>
          </cell>
          <cell r="H251" t="str">
            <v>Longwater Industrial Estate
Dereham Rd
Norwich
</v>
          </cell>
          <cell r="I251" t="str">
            <v>NR5 0TL</v>
          </cell>
          <cell r="J251">
            <v>37712</v>
          </cell>
          <cell r="K251">
            <v>37742</v>
          </cell>
        </row>
        <row r="252">
          <cell r="B252" t="str">
            <v>YES</v>
          </cell>
          <cell r="C252" t="str">
            <v>Cotesbach Landfill Gas Project</v>
          </cell>
          <cell r="D252">
            <v>3570</v>
          </cell>
          <cell r="E252" t="str">
            <v>Cotesbach Energy Ltd</v>
          </cell>
          <cell r="F252" t="str">
            <v>R00055RJEN</v>
          </cell>
          <cell r="G252">
            <v>1</v>
          </cell>
          <cell r="H252" t="str">
            <v>Gibbet Lane
Shawell
Near Lutterworth
Leicestershire
</v>
          </cell>
          <cell r="J252">
            <v>37347</v>
          </cell>
        </row>
        <row r="253">
          <cell r="B253" t="str">
            <v>YES</v>
          </cell>
          <cell r="C253" t="str">
            <v>Crich</v>
          </cell>
          <cell r="D253">
            <v>500</v>
          </cell>
          <cell r="E253" t="str">
            <v>Natural Power Ltd</v>
          </cell>
          <cell r="F253" t="str">
            <v>R00074RJEN</v>
          </cell>
          <cell r="G253">
            <v>1</v>
          </cell>
          <cell r="H253" t="str">
            <v>Crich Landfill Site
Roes Lane
Crich
Matlock
Derbyshire
</v>
          </cell>
          <cell r="I253" t="str">
            <v>DE4 5FR</v>
          </cell>
          <cell r="J253">
            <v>37347</v>
          </cell>
        </row>
        <row r="254">
          <cell r="B254" t="str">
            <v>YES</v>
          </cell>
          <cell r="C254" t="str">
            <v>Danes Moss</v>
          </cell>
          <cell r="D254">
            <v>1967</v>
          </cell>
          <cell r="E254" t="str">
            <v>Gengas Ltd</v>
          </cell>
          <cell r="F254" t="str">
            <v>R00051RJEN</v>
          </cell>
          <cell r="G254">
            <v>1</v>
          </cell>
          <cell r="H254" t="str">
            <v>Congleton Road
Near Gawsworth
3km south of Macclesfield
</v>
          </cell>
          <cell r="J254">
            <v>37347</v>
          </cell>
        </row>
        <row r="255">
          <cell r="B255" t="str">
            <v>YES</v>
          </cell>
          <cell r="C255" t="str">
            <v>Danes Moss 2</v>
          </cell>
          <cell r="D255">
            <v>2096</v>
          </cell>
          <cell r="E255" t="str">
            <v>Novera Energy Europe Ltd</v>
          </cell>
          <cell r="F255" t="str">
            <v>R00215RJEN</v>
          </cell>
          <cell r="G255">
            <v>1</v>
          </cell>
          <cell r="H255" t="str">
            <v>Danes Moss Landfill, Congleston Road, Nr Gawsworth, Macclesfield</v>
          </cell>
          <cell r="I255" t="str">
            <v>SK11 9QP</v>
          </cell>
          <cell r="J255">
            <v>37712</v>
          </cell>
          <cell r="K255">
            <v>37653</v>
          </cell>
        </row>
        <row r="256">
          <cell r="B256" t="str">
            <v>YES</v>
          </cell>
          <cell r="C256" t="str">
            <v>Daneshill Landfill Gas Site</v>
          </cell>
          <cell r="D256">
            <v>937</v>
          </cell>
          <cell r="E256" t="str">
            <v>United Utilities Green Energy Ltd</v>
          </cell>
          <cell r="F256" t="str">
            <v>R00010RJEN</v>
          </cell>
          <cell r="G256">
            <v>1</v>
          </cell>
          <cell r="H256" t="str">
            <v>Daneshill Road
Lound
Retford
Nottinghamshire
</v>
          </cell>
          <cell r="J256">
            <v>37347</v>
          </cell>
        </row>
        <row r="257">
          <cell r="B257" t="str">
            <v>YES</v>
          </cell>
          <cell r="C257" t="str">
            <v>Darrington - North</v>
          </cell>
          <cell r="D257">
            <v>4000</v>
          </cell>
          <cell r="E257" t="str">
            <v>Waste Recycling Group</v>
          </cell>
          <cell r="F257" t="str">
            <v>R00142RJEN</v>
          </cell>
          <cell r="G257">
            <v>1</v>
          </cell>
          <cell r="H257" t="str">
            <v>Waste Recycling Group
Darrington Landfill Site
Darrington Leys
Cridling Stubbs
Knottingly
Yorkshire
</v>
          </cell>
          <cell r="I257" t="str">
            <v>WF11 0AH</v>
          </cell>
          <cell r="J257">
            <v>37347</v>
          </cell>
        </row>
        <row r="258">
          <cell r="B258" t="str">
            <v>YES</v>
          </cell>
          <cell r="C258" t="str">
            <v>Deep Moor Landfill</v>
          </cell>
          <cell r="D258">
            <v>2006</v>
          </cell>
          <cell r="E258" t="str">
            <v>Summerleaze RE-Generation Ltd</v>
          </cell>
          <cell r="F258" t="str">
            <v>R00018RJEN</v>
          </cell>
          <cell r="G258">
            <v>1</v>
          </cell>
          <cell r="H258" t="str">
            <v>High Bullen
Near Torrington
Devon
</v>
          </cell>
          <cell r="I258" t="str">
            <v>EX38 7JA</v>
          </cell>
          <cell r="J258">
            <v>37347</v>
          </cell>
        </row>
        <row r="259">
          <cell r="B259" t="str">
            <v>YES</v>
          </cell>
          <cell r="C259" t="str">
            <v>Dimmer Landfill Gas Generation (1)</v>
          </cell>
          <cell r="D259">
            <v>2500</v>
          </cell>
          <cell r="E259" t="str">
            <v>Gengas Ltd</v>
          </cell>
          <cell r="F259" t="str">
            <v>R00131RJEN</v>
          </cell>
          <cell r="G259">
            <v>1</v>
          </cell>
          <cell r="H259" t="str">
            <v>Dimmer
near Castle Cary
Somerset
</v>
          </cell>
          <cell r="J259">
            <v>37347</v>
          </cell>
        </row>
        <row r="260">
          <cell r="B260" t="str">
            <v>YES</v>
          </cell>
          <cell r="C260" t="str">
            <v>Dimmer Landfill Site (2)</v>
          </cell>
          <cell r="D260">
            <v>2006</v>
          </cell>
          <cell r="E260" t="str">
            <v>Gengas Ltd</v>
          </cell>
          <cell r="F260" t="str">
            <v>R00132RJEN</v>
          </cell>
          <cell r="G260">
            <v>1</v>
          </cell>
          <cell r="H260" t="str">
            <v>Dimmer
near Castle Cary
Somerset
</v>
          </cell>
          <cell r="J260">
            <v>37347</v>
          </cell>
        </row>
        <row r="261">
          <cell r="B261" t="str">
            <v>YES</v>
          </cell>
          <cell r="C261" t="str">
            <v>Distington Landfill</v>
          </cell>
          <cell r="D261">
            <v>1520</v>
          </cell>
          <cell r="E261" t="str">
            <v>Summerleaze RE-Generation Ltd</v>
          </cell>
          <cell r="F261" t="str">
            <v>R00019RJEN</v>
          </cell>
          <cell r="G261">
            <v>1</v>
          </cell>
          <cell r="H261" t="str">
            <v>Pitwood Road
Lillyhall Industrial Estate
Lillyhall
Workington
Cumbria
</v>
          </cell>
          <cell r="I261" t="str">
            <v>CA15 4JY</v>
          </cell>
          <cell r="J261">
            <v>37347</v>
          </cell>
        </row>
        <row r="262">
          <cell r="B262" t="str">
            <v>YES</v>
          </cell>
          <cell r="C262" t="str">
            <v>Docksway</v>
          </cell>
          <cell r="D262">
            <v>2000</v>
          </cell>
          <cell r="E262" t="str">
            <v>United Utilities Green Energy Ltd</v>
          </cell>
          <cell r="F262" t="str">
            <v>R00012RJWA</v>
          </cell>
          <cell r="G262">
            <v>1</v>
          </cell>
          <cell r="H262" t="str">
            <v>Docksway
Newport
South Wales
</v>
          </cell>
          <cell r="J262">
            <v>37347</v>
          </cell>
        </row>
        <row r="263">
          <cell r="B263" t="str">
            <v>YES</v>
          </cell>
          <cell r="C263" t="str">
            <v>Dogsthorpe</v>
          </cell>
          <cell r="D263">
            <v>1976</v>
          </cell>
          <cell r="E263" t="str">
            <v>Shanks Chemical Services Ltd</v>
          </cell>
          <cell r="F263" t="str">
            <v>R00059RJEN</v>
          </cell>
          <cell r="G263">
            <v>1</v>
          </cell>
          <cell r="H263" t="str">
            <v>Dogsthorpe Landfill Site
Welland Road
Peterborough
Cambs.
</v>
          </cell>
          <cell r="J263">
            <v>37347</v>
          </cell>
        </row>
        <row r="264">
          <cell r="B264" t="str">
            <v>YES</v>
          </cell>
          <cell r="C264" t="str">
            <v>Edgefield Hall Farm</v>
          </cell>
          <cell r="D264">
            <v>630</v>
          </cell>
          <cell r="E264" t="str">
            <v>Buyinfo Ltd</v>
          </cell>
          <cell r="F264" t="str">
            <v>R00062RJEN</v>
          </cell>
          <cell r="G264">
            <v>1</v>
          </cell>
          <cell r="H264" t="str">
            <v>Edgefield
Melton Constable
Norfolk
</v>
          </cell>
          <cell r="J264">
            <v>37347</v>
          </cell>
        </row>
        <row r="265">
          <cell r="B265" t="str">
            <v>YES</v>
          </cell>
          <cell r="C265" t="str">
            <v>Edwin Richards</v>
          </cell>
          <cell r="D265">
            <v>1920</v>
          </cell>
          <cell r="E265" t="str">
            <v>Waste Recycling Group Plc</v>
          </cell>
          <cell r="F265" t="str">
            <v>R00191RJEN</v>
          </cell>
          <cell r="G265">
            <v>1</v>
          </cell>
          <cell r="H265" t="str">
            <v>Portway road, Rowley Regis, Warley</v>
          </cell>
          <cell r="J265">
            <v>37347</v>
          </cell>
        </row>
        <row r="266">
          <cell r="B266" t="str">
            <v>YES</v>
          </cell>
          <cell r="C266" t="str">
            <v>Ellington Road</v>
          </cell>
          <cell r="D266">
            <v>988</v>
          </cell>
          <cell r="E266" t="str">
            <v>Sita Holding Uk Ltd</v>
          </cell>
          <cell r="F266" t="str">
            <v>R00068RJEN</v>
          </cell>
          <cell r="G266">
            <v>1</v>
          </cell>
          <cell r="H266" t="str">
            <v>Newmoor
Ashington
Northumberlan
</v>
          </cell>
          <cell r="J266">
            <v>37347</v>
          </cell>
        </row>
        <row r="267">
          <cell r="B267" t="str">
            <v>YES</v>
          </cell>
          <cell r="C267" t="str">
            <v>Elstow</v>
          </cell>
          <cell r="D267">
            <v>1800</v>
          </cell>
          <cell r="E267" t="str">
            <v>United Utilities Green Energy Ltd</v>
          </cell>
          <cell r="F267" t="str">
            <v>R00014RJEN</v>
          </cell>
          <cell r="G267">
            <v>1</v>
          </cell>
          <cell r="H267" t="str">
            <v>Elstow Landfill Site
Elstow
Bedford
Bedfordshire
</v>
          </cell>
          <cell r="I267" t="str">
            <v>MK42 9YP</v>
          </cell>
          <cell r="J267">
            <v>37347</v>
          </cell>
        </row>
        <row r="268">
          <cell r="B268" t="str">
            <v>YES</v>
          </cell>
          <cell r="C268" t="str">
            <v>Enderby Warren Phase I</v>
          </cell>
          <cell r="D268">
            <v>1978</v>
          </cell>
          <cell r="E268" t="str">
            <v>United Utilities Green Energy Ltd.</v>
          </cell>
          <cell r="F268" t="str">
            <v>R00013RJEN</v>
          </cell>
          <cell r="G268">
            <v>1</v>
          </cell>
          <cell r="H268" t="str">
            <v>Enderby, Leicestershire</v>
          </cell>
          <cell r="I268" t="str">
            <v>LE9 5AL</v>
          </cell>
          <cell r="J268">
            <v>37347</v>
          </cell>
        </row>
        <row r="269">
          <cell r="B269" t="str">
            <v>YES</v>
          </cell>
          <cell r="C269" t="str">
            <v>Enderby Warren Phase II</v>
          </cell>
          <cell r="D269">
            <v>3000</v>
          </cell>
          <cell r="E269" t="str">
            <v>United Utilities Green Energy Ltd</v>
          </cell>
          <cell r="F269" t="str">
            <v>R00011RJEN</v>
          </cell>
          <cell r="G269">
            <v>1</v>
          </cell>
          <cell r="H269" t="str">
            <v>Mill Hill
Enderby Warren
Enderby
Leicestershire
</v>
          </cell>
          <cell r="I269" t="str">
            <v>LE9 5AL</v>
          </cell>
          <cell r="J269">
            <v>37347</v>
          </cell>
        </row>
        <row r="270">
          <cell r="B270" t="str">
            <v>YES</v>
          </cell>
          <cell r="C270" t="str">
            <v>Feltwell (1) </v>
          </cell>
          <cell r="D270">
            <v>1003</v>
          </cell>
          <cell r="E270" t="str">
            <v>Feltwell Energy Ltd</v>
          </cell>
          <cell r="F270" t="str">
            <v>R00435RJEN</v>
          </cell>
          <cell r="G270">
            <v>1</v>
          </cell>
          <cell r="H270" t="str">
            <v>The Oakery, Lodge Road, Feltwell, Thetford, Norfolk</v>
          </cell>
          <cell r="I270" t="str">
            <v>IP26 4DR</v>
          </cell>
          <cell r="J270">
            <v>37803</v>
          </cell>
          <cell r="K270">
            <v>37803</v>
          </cell>
        </row>
        <row r="271">
          <cell r="B271" t="str">
            <v>YES</v>
          </cell>
          <cell r="C271" t="str">
            <v>Feltwell (2)</v>
          </cell>
          <cell r="D271">
            <v>1050</v>
          </cell>
          <cell r="E271" t="str">
            <v>Feltwell Energy Ltd</v>
          </cell>
          <cell r="F271" t="str">
            <v>R00439RJEN</v>
          </cell>
          <cell r="G271">
            <v>1</v>
          </cell>
          <cell r="H271" t="str">
            <v>The Oakery, Lodge Road, Feltwell, Thetford, Norfolk</v>
          </cell>
          <cell r="I271" t="str">
            <v>IP26 4DR</v>
          </cell>
          <cell r="J271">
            <v>37803</v>
          </cell>
          <cell r="K271">
            <v>37833</v>
          </cell>
        </row>
        <row r="272">
          <cell r="B272" t="str">
            <v>YES</v>
          </cell>
          <cell r="C272" t="str">
            <v>Ferry Road</v>
          </cell>
          <cell r="D272">
            <v>1000</v>
          </cell>
          <cell r="E272" t="str">
            <v>United Utilities Green Energy Ltd</v>
          </cell>
          <cell r="F272" t="str">
            <v>R00015RJWA</v>
          </cell>
          <cell r="G272">
            <v>1</v>
          </cell>
          <cell r="H272" t="str">
            <v>Ferry Road
Cardiff
</v>
          </cell>
          <cell r="I272" t="str">
            <v>CF11 7DW</v>
          </cell>
          <cell r="J272">
            <v>37347</v>
          </cell>
        </row>
        <row r="273">
          <cell r="B273" t="str">
            <v>YES</v>
          </cell>
          <cell r="C273" t="str">
            <v>Flusco Landfill</v>
          </cell>
          <cell r="D273">
            <v>822</v>
          </cell>
          <cell r="E273" t="str">
            <v>Summerleaze RE-Generation Ltd</v>
          </cell>
          <cell r="F273" t="str">
            <v>R00216RJEN</v>
          </cell>
          <cell r="G273">
            <v>1</v>
          </cell>
          <cell r="H273" t="str">
            <v>New Beggin, Penrith, Cumbria</v>
          </cell>
          <cell r="J273">
            <v>37681</v>
          </cell>
          <cell r="K273">
            <v>37653</v>
          </cell>
        </row>
        <row r="274">
          <cell r="B274" t="str">
            <v>YES</v>
          </cell>
          <cell r="C274" t="str">
            <v>Foxhall</v>
          </cell>
          <cell r="D274">
            <v>1200</v>
          </cell>
          <cell r="E274" t="str">
            <v>United Utilities Green Energy Ltd</v>
          </cell>
          <cell r="F274" t="str">
            <v>R00016RJEN</v>
          </cell>
          <cell r="G274">
            <v>1</v>
          </cell>
          <cell r="H274" t="str">
            <v>Foxhall Road
Ipswich
</v>
          </cell>
          <cell r="J274">
            <v>37347</v>
          </cell>
        </row>
        <row r="275">
          <cell r="B275" t="str">
            <v>YES</v>
          </cell>
          <cell r="C275" t="str">
            <v>Gamblethorpe Landfill</v>
          </cell>
          <cell r="D275">
            <v>2100</v>
          </cell>
          <cell r="E275" t="str">
            <v>Power Plant Services Ltd</v>
          </cell>
          <cell r="F275" t="str">
            <v>R00080RJEN</v>
          </cell>
          <cell r="G275">
            <v>1</v>
          </cell>
          <cell r="H275" t="str">
            <v>Newsham Green Road
Swillingdon
Leeds
</v>
          </cell>
          <cell r="J275">
            <v>37347</v>
          </cell>
        </row>
        <row r="276">
          <cell r="B276" t="str">
            <v>YES</v>
          </cell>
          <cell r="C276" t="str">
            <v>Glapwell</v>
          </cell>
          <cell r="D276">
            <v>1251</v>
          </cell>
          <cell r="E276" t="str">
            <v>United Utilities Green Energy Ltd</v>
          </cell>
          <cell r="F276" t="str">
            <v>R00148RJEN</v>
          </cell>
          <cell r="G276">
            <v>1</v>
          </cell>
          <cell r="H276" t="str">
            <v>Pallerton Lane
Glapwell
Derbyshire
</v>
          </cell>
          <cell r="J276">
            <v>37347</v>
          </cell>
        </row>
        <row r="277">
          <cell r="B277" t="str">
            <v>YES</v>
          </cell>
          <cell r="C277" t="str">
            <v>Godmanchester</v>
          </cell>
          <cell r="D277">
            <v>2300</v>
          </cell>
          <cell r="E277" t="str">
            <v>Natural Power Ltd</v>
          </cell>
          <cell r="F277" t="str">
            <v>R00218RJEN</v>
          </cell>
          <cell r="G277">
            <v>1</v>
          </cell>
          <cell r="H277" t="str">
            <v>Cow Lane, Godmanchester, Cambridgeshire</v>
          </cell>
          <cell r="I277" t="str">
            <v>PE18 8EJ</v>
          </cell>
          <cell r="J277">
            <v>37712</v>
          </cell>
          <cell r="K277">
            <v>37681</v>
          </cell>
        </row>
        <row r="278">
          <cell r="B278" t="str">
            <v>YES</v>
          </cell>
          <cell r="C278" t="str">
            <v>Gowy</v>
          </cell>
          <cell r="D278">
            <v>3102</v>
          </cell>
          <cell r="E278" t="str">
            <v>Gengas Ltd</v>
          </cell>
          <cell r="F278" t="str">
            <v>R00048RJEN</v>
          </cell>
          <cell r="G278">
            <v>1</v>
          </cell>
          <cell r="H278" t="str">
            <v>Ince Lane(B5132)
Wimbolds Trafford
Near Chester
</v>
          </cell>
          <cell r="J278">
            <v>37347</v>
          </cell>
        </row>
        <row r="279">
          <cell r="B279" t="str">
            <v>YES</v>
          </cell>
          <cell r="C279" t="str">
            <v>Gowy NFFO3</v>
          </cell>
          <cell r="D279">
            <v>1976</v>
          </cell>
          <cell r="E279" t="str">
            <v>Gengas Ltd</v>
          </cell>
          <cell r="F279" t="str">
            <v>R00047RJEN</v>
          </cell>
          <cell r="G279">
            <v>1</v>
          </cell>
          <cell r="H279" t="str">
            <v>Ince Lane(B5132)
Wimbolds Trafford
Near Chester
</v>
          </cell>
          <cell r="J279">
            <v>37347</v>
          </cell>
        </row>
        <row r="280">
          <cell r="B280" t="str">
            <v>YES</v>
          </cell>
          <cell r="C280" t="str">
            <v>Granville</v>
          </cell>
          <cell r="D280">
            <v>1440</v>
          </cell>
          <cell r="E280" t="str">
            <v>Natural Power Ltd</v>
          </cell>
          <cell r="F280" t="str">
            <v>R00084RJEN</v>
          </cell>
          <cell r="G280">
            <v>1</v>
          </cell>
          <cell r="H280" t="str">
            <v>Grange Lane
Redhill
Telford
</v>
          </cell>
          <cell r="J280">
            <v>37347</v>
          </cell>
        </row>
        <row r="281">
          <cell r="B281" t="str">
            <v>YES</v>
          </cell>
          <cell r="C281" t="str">
            <v>Harewood Whin</v>
          </cell>
          <cell r="D281">
            <v>3036</v>
          </cell>
          <cell r="E281" t="str">
            <v>Natural Power Ltd</v>
          </cell>
          <cell r="F281" t="str">
            <v>R00076RJEN</v>
          </cell>
          <cell r="G281">
            <v>1</v>
          </cell>
          <cell r="H281" t="str">
            <v>Rufforth
Near York
</v>
          </cell>
          <cell r="J281">
            <v>37347</v>
          </cell>
        </row>
        <row r="282">
          <cell r="B282" t="str">
            <v>YES</v>
          </cell>
          <cell r="C282" t="str">
            <v>Harn Hill Quarry</v>
          </cell>
          <cell r="D282">
            <v>2684</v>
          </cell>
          <cell r="E282" t="str">
            <v>Natural Power Ltd</v>
          </cell>
          <cell r="F282" t="str">
            <v>R00075RJEN</v>
          </cell>
          <cell r="G282">
            <v>1</v>
          </cell>
          <cell r="H282" t="str">
            <v>Aust Road
Olvaston
Near Bristol
</v>
          </cell>
          <cell r="J282">
            <v>37347</v>
          </cell>
        </row>
        <row r="283">
          <cell r="B283" t="str">
            <v>YES</v>
          </cell>
          <cell r="C283" t="str">
            <v>Heathfield "A" Power Plant</v>
          </cell>
          <cell r="D283">
            <v>1998</v>
          </cell>
          <cell r="E283" t="str">
            <v>Viridor Waste Management</v>
          </cell>
          <cell r="F283" t="str">
            <v>R00126RJEN</v>
          </cell>
          <cell r="G283">
            <v>1</v>
          </cell>
          <cell r="H283" t="str">
            <v>John Acres Lane
Fosterville
Newton Abbott
Devon
</v>
          </cell>
          <cell r="J283">
            <v>37347</v>
          </cell>
        </row>
        <row r="284">
          <cell r="B284" t="str">
            <v>YES</v>
          </cell>
          <cell r="C284" t="str">
            <v>Heathfield "C" Power Plant</v>
          </cell>
          <cell r="D284">
            <v>2378</v>
          </cell>
          <cell r="E284" t="str">
            <v>Viridor Waste Management</v>
          </cell>
          <cell r="F284" t="str">
            <v>R00125RJEN</v>
          </cell>
          <cell r="G284">
            <v>1</v>
          </cell>
          <cell r="H284" t="str">
            <v>John Acres Lane
Fosterville
Newton Abbott
Devon
</v>
          </cell>
          <cell r="J284">
            <v>37347</v>
          </cell>
        </row>
        <row r="285">
          <cell r="B285" t="str">
            <v>YES</v>
          </cell>
          <cell r="C285" t="str">
            <v>Hempsted Landfill</v>
          </cell>
          <cell r="D285">
            <v>4675</v>
          </cell>
          <cell r="E285" t="str">
            <v>Summerleaze RE-Generation Ltd</v>
          </cell>
          <cell r="F285" t="str">
            <v>R00036RJEN</v>
          </cell>
          <cell r="G285">
            <v>1</v>
          </cell>
          <cell r="H285" t="str">
            <v>Hempsted Lane
Gloucester
Gloucs.
</v>
          </cell>
          <cell r="J285">
            <v>37347</v>
          </cell>
        </row>
        <row r="286">
          <cell r="B286" t="str">
            <v>YES</v>
          </cell>
          <cell r="C286" t="str">
            <v>High Heavens Landfill</v>
          </cell>
          <cell r="D286">
            <v>2000</v>
          </cell>
          <cell r="E286" t="str">
            <v>United Utilities Green Energy Ltd</v>
          </cell>
          <cell r="F286" t="str">
            <v>R00149RJEN</v>
          </cell>
          <cell r="G286">
            <v>1</v>
          </cell>
          <cell r="H286" t="str">
            <v>Clay Lane
Booker
High Wycombe
Buckinghamshire
</v>
          </cell>
          <cell r="J286">
            <v>37347</v>
          </cell>
        </row>
        <row r="287">
          <cell r="B287" t="str">
            <v>YES</v>
          </cell>
          <cell r="C287" t="str">
            <v>Highmoor Landfill</v>
          </cell>
          <cell r="D287">
            <v>2096</v>
          </cell>
          <cell r="E287" t="str">
            <v>Summerleaze RE-Generation Ltd</v>
          </cell>
          <cell r="F287" t="str">
            <v>R00208RJEN</v>
          </cell>
          <cell r="G287">
            <v>1</v>
          </cell>
          <cell r="H287" t="str">
            <v>Highmoor Landfill, Doctor Lane, Scouthead, Oldham</v>
          </cell>
          <cell r="I287" t="str">
            <v>OS4 3SA</v>
          </cell>
          <cell r="J287">
            <v>37591</v>
          </cell>
          <cell r="K287">
            <v>37561</v>
          </cell>
        </row>
        <row r="288">
          <cell r="B288" t="str">
            <v>YES</v>
          </cell>
          <cell r="C288" t="str">
            <v>Hill &amp; Moor Landfill</v>
          </cell>
          <cell r="D288">
            <v>5060</v>
          </cell>
          <cell r="E288" t="str">
            <v>Summerleaze RE-Generation Ltd</v>
          </cell>
          <cell r="F288" t="str">
            <v>R00032RJEN</v>
          </cell>
          <cell r="G288">
            <v>1</v>
          </cell>
          <cell r="H288" t="str">
            <v>Throckmorton Road
Lower Moor
Pershore
Worcs.
</v>
          </cell>
          <cell r="I288" t="str">
            <v>WR10 2PW</v>
          </cell>
          <cell r="J288">
            <v>37347</v>
          </cell>
        </row>
        <row r="289">
          <cell r="B289" t="str">
            <v>YES</v>
          </cell>
          <cell r="C289" t="str">
            <v>Himley Wood</v>
          </cell>
          <cell r="D289">
            <v>1850</v>
          </cell>
          <cell r="E289" t="str">
            <v>Biogeneration Ltd</v>
          </cell>
          <cell r="F289" t="str">
            <v>R00168RJEN</v>
          </cell>
          <cell r="G289">
            <v>1</v>
          </cell>
          <cell r="H289" t="str">
            <v>Lower Gornall
Dudley
West Midlands
</v>
          </cell>
          <cell r="J289">
            <v>37347</v>
          </cell>
        </row>
        <row r="290">
          <cell r="B290" t="str">
            <v>YES</v>
          </cell>
          <cell r="C290" t="str">
            <v>Holiday Moss</v>
          </cell>
          <cell r="D290">
            <v>3075</v>
          </cell>
          <cell r="E290" t="str">
            <v>UK Waste Management Ltd c/o Biffa Environmental Technology</v>
          </cell>
          <cell r="F290" t="str">
            <v>R00181RJEN</v>
          </cell>
          <cell r="G290">
            <v>1</v>
          </cell>
          <cell r="H290" t="str">
            <v>Reeds Brow
Rainford
St Helens
Merseyside
</v>
          </cell>
          <cell r="J290">
            <v>37347</v>
          </cell>
        </row>
        <row r="291">
          <cell r="B291" t="str">
            <v>YES</v>
          </cell>
          <cell r="C291" t="str">
            <v>Holiday Moss Gas to Energy II</v>
          </cell>
          <cell r="D291">
            <v>1003</v>
          </cell>
          <cell r="E291" t="str">
            <v>UK Waste Management Ltd c/o Biffa Environmental Technology</v>
          </cell>
          <cell r="F291" t="str">
            <v>R00180RJEN</v>
          </cell>
          <cell r="G291">
            <v>1</v>
          </cell>
          <cell r="H291" t="str">
            <v>Reeds Brow
Rainford
Merseyside
</v>
          </cell>
          <cell r="J291">
            <v>37347</v>
          </cell>
        </row>
        <row r="292">
          <cell r="B292" t="str">
            <v>YES</v>
          </cell>
          <cell r="C292" t="str">
            <v>Honley Wood </v>
          </cell>
          <cell r="D292">
            <v>1048</v>
          </cell>
          <cell r="E292" t="str">
            <v>Novera Energy Europe</v>
          </cell>
          <cell r="F292" t="str">
            <v>R00433RJEN</v>
          </cell>
          <cell r="G292">
            <v>1</v>
          </cell>
          <cell r="H292" t="str">
            <v>Honley Wood Landfill, Off Meltham Road, Honley, Huddersfield, Yorkshire</v>
          </cell>
          <cell r="I292" t="str">
            <v>HD4 7DQ</v>
          </cell>
          <cell r="J292">
            <v>37742</v>
          </cell>
          <cell r="K292">
            <v>37773</v>
          </cell>
        </row>
        <row r="293">
          <cell r="B293" t="str">
            <v>YES</v>
          </cell>
          <cell r="C293" t="str">
            <v>Horton Power Plant</v>
          </cell>
          <cell r="D293">
            <v>1976</v>
          </cell>
          <cell r="E293" t="str">
            <v>Viridor Waste Management</v>
          </cell>
          <cell r="F293" t="str">
            <v>R00124RJEN</v>
          </cell>
          <cell r="G293">
            <v>1</v>
          </cell>
          <cell r="H293" t="str">
            <v>Horton Power Plant
Small Dole
West Sussex
</v>
          </cell>
          <cell r="J293">
            <v>37347</v>
          </cell>
        </row>
        <row r="294">
          <cell r="B294" t="str">
            <v>YES</v>
          </cell>
          <cell r="C294" t="str">
            <v>Howden Clough Road</v>
          </cell>
          <cell r="D294">
            <v>1850</v>
          </cell>
          <cell r="E294" t="str">
            <v>Biogeneration Ltd</v>
          </cell>
          <cell r="F294" t="str">
            <v>R00166RJEN</v>
          </cell>
          <cell r="G294">
            <v>1</v>
          </cell>
          <cell r="H294" t="str">
            <v>Biffa Landfill Site
Howden Clough Road
Morley
Leeds
</v>
          </cell>
          <cell r="J294">
            <v>37347</v>
          </cell>
        </row>
        <row r="295">
          <cell r="B295" t="str">
            <v>YES</v>
          </cell>
          <cell r="C295" t="str">
            <v>Humberfield</v>
          </cell>
          <cell r="D295">
            <v>3144</v>
          </cell>
          <cell r="E295" t="str">
            <v>Waste Recycling Group</v>
          </cell>
          <cell r="F295" t="str">
            <v>R00441RJEN</v>
          </cell>
          <cell r="G295">
            <v>1</v>
          </cell>
          <cell r="H295" t="str">
            <v>Waste to Energy Plant, Humberfield Landfill Site, Ferriby Road, Hessle, North Humberfield.</v>
          </cell>
          <cell r="I295" t="str">
            <v>HU13 0JE</v>
          </cell>
          <cell r="J295">
            <v>37841</v>
          </cell>
        </row>
        <row r="296">
          <cell r="B296" t="str">
            <v>YES</v>
          </cell>
          <cell r="C296" t="str">
            <v>Immingham Landfill</v>
          </cell>
          <cell r="D296">
            <v>1006</v>
          </cell>
          <cell r="E296" t="str">
            <v>Winterton Power Ltd</v>
          </cell>
          <cell r="F296" t="str">
            <v>R00103RJEN</v>
          </cell>
          <cell r="G296">
            <v>1</v>
          </cell>
          <cell r="H296" t="str">
            <v>Queens Road
Immingham
South Humberside
</v>
          </cell>
          <cell r="J296">
            <v>37347</v>
          </cell>
        </row>
        <row r="297">
          <cell r="B297" t="str">
            <v>YES</v>
          </cell>
          <cell r="C297" t="str">
            <v>Immingham</v>
          </cell>
          <cell r="D297">
            <v>2006</v>
          </cell>
          <cell r="E297" t="str">
            <v>Waste Recycling Group</v>
          </cell>
          <cell r="F297" t="str">
            <v>R00443RJEN</v>
          </cell>
          <cell r="G297">
            <v>1</v>
          </cell>
          <cell r="H297" t="str">
            <v>Waste to Energy Plant, Immingham Landfill Site, Queens Road, Immingham, North Lincs</v>
          </cell>
          <cell r="I297" t="str">
            <v>DN40 1QR</v>
          </cell>
          <cell r="J297">
            <v>37841</v>
          </cell>
        </row>
        <row r="298">
          <cell r="B298" t="str">
            <v>YES</v>
          </cell>
          <cell r="C298" t="str">
            <v>Ince Moss </v>
          </cell>
          <cell r="D298">
            <v>668</v>
          </cell>
          <cell r="E298" t="str">
            <v>Wimpey Mainsprint Joint Venture</v>
          </cell>
          <cell r="F298" t="str">
            <v>R00195RJEN</v>
          </cell>
          <cell r="G298">
            <v>1</v>
          </cell>
          <cell r="H298" t="str">
            <v>Ince Moss, Cemetry Road, Lower Ince, Wigan, Lancashire</v>
          </cell>
          <cell r="J298">
            <v>37347</v>
          </cell>
          <cell r="K298">
            <v>37469</v>
          </cell>
        </row>
        <row r="299">
          <cell r="B299" t="str">
            <v>YES</v>
          </cell>
          <cell r="C299" t="str">
            <v>Judkins Landfill Site</v>
          </cell>
          <cell r="D299">
            <v>2880</v>
          </cell>
          <cell r="E299" t="str">
            <v>Waste Recycling Group (Central) Ltd</v>
          </cell>
          <cell r="F299" t="str">
            <v>R00052RJEN</v>
          </cell>
          <cell r="G299">
            <v>1</v>
          </cell>
          <cell r="H299" t="str">
            <v>Tuttle Hill
Nuneaton
Warwickshire
</v>
          </cell>
          <cell r="J299">
            <v>37347</v>
          </cell>
        </row>
        <row r="300">
          <cell r="B300" t="str">
            <v>YES</v>
          </cell>
          <cell r="C300" t="str">
            <v>Judkins/Tuttle Hill Landfill</v>
          </cell>
          <cell r="D300">
            <v>1236</v>
          </cell>
          <cell r="E300" t="str">
            <v>Waste Recycling Group (Central) Ltd</v>
          </cell>
          <cell r="F300" t="str">
            <v>R00008RJEN</v>
          </cell>
          <cell r="G300">
            <v>1</v>
          </cell>
          <cell r="H300" t="str">
            <v>Tuttle Hill
Nuneaton
Warwickshire
</v>
          </cell>
          <cell r="J300">
            <v>37347</v>
          </cell>
        </row>
        <row r="301">
          <cell r="B301" t="str">
            <v>YES</v>
          </cell>
          <cell r="C301" t="str">
            <v>Kibblesworth Landfill</v>
          </cell>
          <cell r="D301">
            <v>3000</v>
          </cell>
          <cell r="E301" t="str">
            <v>Sita Holding Uk Ltd</v>
          </cell>
          <cell r="F301" t="str">
            <v>R00079RJEN</v>
          </cell>
          <cell r="G301">
            <v>1</v>
          </cell>
          <cell r="H301" t="str">
            <v>Greenford Lane
Lamesley
Birtley
Co. Durham
</v>
          </cell>
          <cell r="J301">
            <v>37347</v>
          </cell>
        </row>
        <row r="302">
          <cell r="B302" t="str">
            <v>YES</v>
          </cell>
          <cell r="C302" t="str">
            <v>Kilsby Landfill</v>
          </cell>
          <cell r="D302">
            <v>1000</v>
          </cell>
          <cell r="E302" t="str">
            <v>RMC Environmental Services Ltd</v>
          </cell>
          <cell r="F302" t="str">
            <v>R00189RJEN</v>
          </cell>
          <cell r="G302">
            <v>1</v>
          </cell>
          <cell r="H302" t="str">
            <v>Grove Farm, Kilsby, Northhampton</v>
          </cell>
          <cell r="J302">
            <v>37347</v>
          </cell>
        </row>
        <row r="303">
          <cell r="B303" t="str">
            <v>YES</v>
          </cell>
          <cell r="C303" t="str">
            <v>Lackford Landfill</v>
          </cell>
          <cell r="D303">
            <v>1250</v>
          </cell>
          <cell r="E303" t="str">
            <v>Gengas Ltd</v>
          </cell>
          <cell r="F303" t="str">
            <v>R00039RJEN</v>
          </cell>
          <cell r="G303">
            <v>1</v>
          </cell>
          <cell r="H303" t="str">
            <v>Bury Road
Lackford
Bury St Edmonds
Suffolk
</v>
          </cell>
          <cell r="J303">
            <v>37347</v>
          </cell>
        </row>
        <row r="304">
          <cell r="B304" t="str">
            <v>YES</v>
          </cell>
          <cell r="C304" t="str">
            <v>Lamby Way</v>
          </cell>
          <cell r="D304">
            <v>3000</v>
          </cell>
          <cell r="E304" t="str">
            <v>United Utilities Green Energy Ltd</v>
          </cell>
          <cell r="F304" t="str">
            <v>R00150RJWA</v>
          </cell>
          <cell r="G304">
            <v>1</v>
          </cell>
          <cell r="H304" t="str">
            <v>Lamby Way
Cardiff
</v>
          </cell>
          <cell r="I304" t="str">
            <v>CF3 2EQ</v>
          </cell>
          <cell r="J304">
            <v>37347</v>
          </cell>
        </row>
        <row r="305">
          <cell r="B305" t="str">
            <v>YES</v>
          </cell>
          <cell r="C305" t="str">
            <v>L'Field Stewartby</v>
          </cell>
          <cell r="D305">
            <v>12328</v>
          </cell>
          <cell r="E305" t="str">
            <v>Shanks Waste Services Ltd</v>
          </cell>
          <cell r="F305" t="str">
            <v>R00026RJEN</v>
          </cell>
          <cell r="G305">
            <v>1</v>
          </cell>
          <cell r="H305" t="str">
            <v>L'Field Landfill Site
Green Lane
Stewartby
</v>
          </cell>
          <cell r="J305">
            <v>37347</v>
          </cell>
        </row>
        <row r="306">
          <cell r="B306" t="str">
            <v>YES</v>
          </cell>
          <cell r="C306" t="str">
            <v>Lidsey Landfill</v>
          </cell>
          <cell r="D306">
            <v>2012</v>
          </cell>
          <cell r="E306" t="str">
            <v>Summerleaze RE-Generation Ltd</v>
          </cell>
          <cell r="F306" t="str">
            <v>R00188RJEN</v>
          </cell>
          <cell r="G306">
            <v>1</v>
          </cell>
          <cell r="H306" t="str">
            <v>Headhone Farm, Lidsey, Bognor Regis, West Sussex</v>
          </cell>
          <cell r="I306" t="str">
            <v>PO22 9PL</v>
          </cell>
          <cell r="J306">
            <v>37347</v>
          </cell>
        </row>
        <row r="307">
          <cell r="B307" t="str">
            <v>YES</v>
          </cell>
          <cell r="C307" t="str">
            <v>Lincoln Landfill Site</v>
          </cell>
          <cell r="D307">
            <v>2050</v>
          </cell>
          <cell r="E307" t="str">
            <v>Natural Power Ltd</v>
          </cell>
          <cell r="F307" t="str">
            <v>R00072RJEN</v>
          </cell>
          <cell r="G307">
            <v>1</v>
          </cell>
          <cell r="H307" t="str">
            <v>Whisby Road
North Hykham
Lincoln
</v>
          </cell>
          <cell r="J307">
            <v>37347</v>
          </cell>
        </row>
        <row r="308">
          <cell r="B308" t="str">
            <v>YES</v>
          </cell>
          <cell r="C308" t="str">
            <v>Ling Hall Landfill (Generation Phase 1)</v>
          </cell>
          <cell r="D308">
            <v>1003</v>
          </cell>
          <cell r="E308" t="str">
            <v>Summerleaze E-Generation Ltd</v>
          </cell>
          <cell r="F308" t="str">
            <v>R00031RJEN</v>
          </cell>
          <cell r="G308">
            <v>1</v>
          </cell>
          <cell r="H308" t="str">
            <v>Coalpit Lane
Lawford heath
Rugby
</v>
          </cell>
          <cell r="I308" t="str">
            <v>CV23 9HH</v>
          </cell>
          <cell r="J308">
            <v>37347</v>
          </cell>
        </row>
        <row r="309">
          <cell r="B309" t="str">
            <v>YES</v>
          </cell>
          <cell r="C309" t="str">
            <v>Ling Hall Landfill (Generation Phase 2)</v>
          </cell>
          <cell r="D309">
            <v>1048</v>
          </cell>
          <cell r="E309" t="str">
            <v>Summerleaze RE-Generation Ltd</v>
          </cell>
          <cell r="F309" t="str">
            <v>R00202RJEN</v>
          </cell>
          <cell r="G309">
            <v>1</v>
          </cell>
          <cell r="H309" t="str">
            <v>Coalpit Lane
Lawford heath
Rugby
</v>
          </cell>
          <cell r="I309" t="str">
            <v>CV23 9HH</v>
          </cell>
          <cell r="J309">
            <v>37530</v>
          </cell>
          <cell r="K309">
            <v>37530</v>
          </cell>
        </row>
        <row r="310">
          <cell r="B310" t="str">
            <v>YES</v>
          </cell>
          <cell r="C310" t="str">
            <v>Llandulas Landfill Site</v>
          </cell>
          <cell r="D310">
            <v>2880</v>
          </cell>
          <cell r="E310" t="str">
            <v>3C Waste Ltd</v>
          </cell>
          <cell r="F310" t="str">
            <v>R00009RJEN</v>
          </cell>
          <cell r="G310">
            <v>1</v>
          </cell>
          <cell r="H310" t="str">
            <v>Llandulas
Abergale
Clwyd
</v>
          </cell>
          <cell r="J310">
            <v>37347</v>
          </cell>
        </row>
        <row r="311">
          <cell r="B311" t="str">
            <v>YES</v>
          </cell>
          <cell r="C311" t="str">
            <v>Lount Landfill site</v>
          </cell>
          <cell r="D311">
            <v>1150</v>
          </cell>
          <cell r="E311" t="str">
            <v>Natural Power Ltd</v>
          </cell>
          <cell r="F311" t="str">
            <v>R00437RJEN</v>
          </cell>
          <cell r="G311">
            <v>1</v>
          </cell>
          <cell r="H311" t="str">
            <v>Midland Land Reclamation Ltd, Nottingham Road, Lount, Nr Asby De La Zouch, Leicestershire</v>
          </cell>
          <cell r="I311" t="str">
            <v>LE6 5RS</v>
          </cell>
          <cell r="J311">
            <v>37803</v>
          </cell>
          <cell r="K311">
            <v>37803</v>
          </cell>
        </row>
        <row r="312">
          <cell r="B312" t="str">
            <v>YES</v>
          </cell>
          <cell r="C312" t="str">
            <v>Lune Power</v>
          </cell>
          <cell r="D312">
            <v>2000</v>
          </cell>
          <cell r="E312" t="str">
            <v>Natural Power Ltd</v>
          </cell>
          <cell r="F312" t="str">
            <v>R00085RJEN</v>
          </cell>
          <cell r="G312">
            <v>1</v>
          </cell>
          <cell r="H312" t="str">
            <v>Ovangle Road
White Lund
Lancaster
</v>
          </cell>
          <cell r="J312">
            <v>37347</v>
          </cell>
        </row>
        <row r="313">
          <cell r="B313" t="str">
            <v>YES</v>
          </cell>
          <cell r="C313" t="str">
            <v>Manywells Quarry</v>
          </cell>
          <cell r="D313">
            <v>1030</v>
          </cell>
          <cell r="E313" t="str">
            <v>Natural Power Ltd</v>
          </cell>
          <cell r="F313" t="str">
            <v>R00194RJEN</v>
          </cell>
          <cell r="G313">
            <v>1</v>
          </cell>
          <cell r="H313" t="str">
            <v>Manywells Quarry, Cullingworth, Bradford, West Yorkshire</v>
          </cell>
          <cell r="J313">
            <v>37347</v>
          </cell>
          <cell r="K313">
            <v>37469</v>
          </cell>
        </row>
        <row r="314">
          <cell r="B314" t="str">
            <v>YES</v>
          </cell>
          <cell r="C314" t="str">
            <v>March Landfill Gas Project</v>
          </cell>
          <cell r="D314">
            <v>1003</v>
          </cell>
          <cell r="E314" t="str">
            <v>March Energy Ltd</v>
          </cell>
          <cell r="F314" t="str">
            <v>R00054RJEN</v>
          </cell>
          <cell r="G314">
            <v>1</v>
          </cell>
          <cell r="H314" t="str">
            <v>March Landfill Site
Hundred Road
Cambridgeshire
</v>
          </cell>
          <cell r="I314" t="str">
            <v>PE15 8ON</v>
          </cell>
          <cell r="J314">
            <v>37347</v>
          </cell>
        </row>
        <row r="315">
          <cell r="B315" t="str">
            <v>YES</v>
          </cell>
          <cell r="C315" t="str">
            <v>Marchington Landfill</v>
          </cell>
          <cell r="D315">
            <v>598</v>
          </cell>
          <cell r="E315" t="str">
            <v>Summerleaze E-Generation Ltd</v>
          </cell>
          <cell r="F315" t="str">
            <v>R00033RJEN</v>
          </cell>
          <cell r="G315">
            <v>1</v>
          </cell>
          <cell r="H315" t="str">
            <v>Moreton Lane
Draycott in the Clay
near Sudbury
Derbyshire
</v>
          </cell>
          <cell r="J315">
            <v>37347</v>
          </cell>
        </row>
        <row r="316">
          <cell r="B316" t="str">
            <v>YES</v>
          </cell>
          <cell r="C316" t="str">
            <v>Masons Power Plant</v>
          </cell>
          <cell r="D316">
            <v>2220</v>
          </cell>
          <cell r="E316" t="str">
            <v>Viridor Waste Management</v>
          </cell>
          <cell r="F316" t="str">
            <v>R00130RJEN</v>
          </cell>
          <cell r="G316">
            <v>1</v>
          </cell>
          <cell r="H316" t="str">
            <v>Masons Landfill
Great Blakenham
Claydon
Ipswich
</v>
          </cell>
          <cell r="J316">
            <v>37347</v>
          </cell>
        </row>
        <row r="317">
          <cell r="B317" t="str">
            <v>YES</v>
          </cell>
          <cell r="C317" t="str">
            <v>Maw Green</v>
          </cell>
          <cell r="D317">
            <v>1976</v>
          </cell>
          <cell r="E317" t="str">
            <v>Gengas Ltd</v>
          </cell>
          <cell r="F317" t="str">
            <v>R00050RJEN</v>
          </cell>
          <cell r="G317">
            <v>1</v>
          </cell>
          <cell r="H317" t="str">
            <v>Maw Green Road
Coppenhall
Crewe
Cheshire
</v>
          </cell>
          <cell r="J317">
            <v>37347</v>
          </cell>
        </row>
        <row r="318">
          <cell r="B318" t="str">
            <v>YES</v>
          </cell>
          <cell r="C318" t="str">
            <v>Maw Green 2</v>
          </cell>
          <cell r="D318">
            <v>2012</v>
          </cell>
          <cell r="E318" t="str">
            <v>Novera Energy Europe Ltd</v>
          </cell>
          <cell r="F318" t="str">
            <v>R00210RJEN</v>
          </cell>
          <cell r="G318">
            <v>1</v>
          </cell>
          <cell r="H318" t="str">
            <v>Maw Green Road, Coppenhall, Crewe, Cheshire</v>
          </cell>
          <cell r="I318" t="str">
            <v>CW1 1NG</v>
          </cell>
          <cell r="J318">
            <v>37622</v>
          </cell>
          <cell r="K318">
            <v>37561</v>
          </cell>
        </row>
        <row r="319">
          <cell r="B319" t="str">
            <v>YES</v>
          </cell>
          <cell r="C319" t="str">
            <v>Mayton Wood</v>
          </cell>
          <cell r="D319">
            <v>1582</v>
          </cell>
          <cell r="E319" t="str">
            <v>Mayton Wood Energy Ltd</v>
          </cell>
          <cell r="F319" t="str">
            <v>R00057RJEN</v>
          </cell>
          <cell r="G319">
            <v>1</v>
          </cell>
          <cell r="H319" t="str">
            <v>Mayton Wood Landfill Site
Little Hautbois
Coltishall
Norwich
</v>
          </cell>
          <cell r="J319">
            <v>37347</v>
          </cell>
        </row>
        <row r="320">
          <cell r="B320" t="str">
            <v>YES</v>
          </cell>
          <cell r="C320" t="str">
            <v>Meece Landfill</v>
          </cell>
          <cell r="D320">
            <v>1061</v>
          </cell>
          <cell r="E320" t="str">
            <v>Summerleaze RE-Generation Ltd</v>
          </cell>
          <cell r="F320" t="str">
            <v>R00021RJEN</v>
          </cell>
          <cell r="G320">
            <v>1</v>
          </cell>
          <cell r="H320" t="str">
            <v>Westgate
Swynnerton
Cold Meece
near Stone
Staffordshire
</v>
          </cell>
          <cell r="J320">
            <v>37347</v>
          </cell>
        </row>
        <row r="321">
          <cell r="B321" t="str">
            <v>YES</v>
          </cell>
          <cell r="C321" t="str">
            <v>Milton Landfill</v>
          </cell>
          <cell r="D321">
            <v>1196</v>
          </cell>
          <cell r="E321" t="str">
            <v>Summerleaze RE-Generation Ltd</v>
          </cell>
          <cell r="F321" t="str">
            <v>R00025RJEN</v>
          </cell>
          <cell r="G321">
            <v>1</v>
          </cell>
          <cell r="H321" t="str">
            <v>Butt Lane
Milton
Cambridge
</v>
          </cell>
          <cell r="I321" t="str">
            <v>CB4 4DG</v>
          </cell>
          <cell r="J321">
            <v>37347</v>
          </cell>
        </row>
        <row r="322">
          <cell r="B322" t="str">
            <v>YES</v>
          </cell>
          <cell r="C322" t="str">
            <v>Morley Greaseworks</v>
          </cell>
          <cell r="D322">
            <v>463</v>
          </cell>
          <cell r="E322" t="str">
            <v>Summerleaze RE-Generation Ltd</v>
          </cell>
          <cell r="F322" t="str">
            <v>R00037RJEN</v>
          </cell>
          <cell r="G322">
            <v>1</v>
          </cell>
          <cell r="H322" t="str">
            <v>off Dewsbury Road
Churwell
Morley
South Yorkshire
</v>
          </cell>
          <cell r="I322" t="str">
            <v>LS27 8PS</v>
          </cell>
          <cell r="J322">
            <v>37347</v>
          </cell>
        </row>
        <row r="323">
          <cell r="B323" t="str">
            <v>YES</v>
          </cell>
          <cell r="C323" t="str">
            <v>Mountsorrel</v>
          </cell>
          <cell r="D323">
            <v>1582</v>
          </cell>
          <cell r="E323" t="str">
            <v>Mountsorrel Ltd</v>
          </cell>
          <cell r="F323" t="str">
            <v>R00056RJEN</v>
          </cell>
          <cell r="G323">
            <v>1</v>
          </cell>
          <cell r="H323" t="str">
            <v>Mountsorrel
Leicestershire
Mountsorrel
Leicestershire
</v>
          </cell>
          <cell r="J323">
            <v>37347</v>
          </cell>
        </row>
        <row r="324">
          <cell r="B324" t="str">
            <v>YES</v>
          </cell>
          <cell r="C324" t="str">
            <v>Mucking 3</v>
          </cell>
          <cell r="D324">
            <v>4074</v>
          </cell>
          <cell r="E324" t="str">
            <v>EDL Operations (Mucking) Ltd</v>
          </cell>
          <cell r="F324" t="str">
            <v>R00090RJEN</v>
          </cell>
          <cell r="G324">
            <v>1</v>
          </cell>
          <cell r="H324" t="str">
            <v>Crown Cottage
Mucking Wharf Road
Stanford le Hope
Essex
</v>
          </cell>
          <cell r="J324">
            <v>37347</v>
          </cell>
        </row>
        <row r="325">
          <cell r="B325" t="str">
            <v>YES</v>
          </cell>
          <cell r="C325" t="str">
            <v>Mucking Gas 2-NFFO</v>
          </cell>
          <cell r="D325">
            <v>4074</v>
          </cell>
          <cell r="E325" t="str">
            <v>EDL Operations (Mucking) Ltd</v>
          </cell>
          <cell r="F325" t="str">
            <v>R00099RJEN</v>
          </cell>
          <cell r="G325">
            <v>1</v>
          </cell>
          <cell r="H325" t="str">
            <v>Mucking Wharf Road
Stanford le Hope
Essex
</v>
          </cell>
          <cell r="J325">
            <v>37347</v>
          </cell>
        </row>
        <row r="326">
          <cell r="B326" t="str">
            <v>YES</v>
          </cell>
          <cell r="C326" t="str">
            <v>Mucking Landfill</v>
          </cell>
          <cell r="D326">
            <v>3200</v>
          </cell>
          <cell r="E326" t="str">
            <v>EDL Operations (Mucking) Ltd</v>
          </cell>
          <cell r="F326" t="str">
            <v>R00098RJEN</v>
          </cell>
          <cell r="G326">
            <v>1</v>
          </cell>
          <cell r="H326" t="str">
            <v>Mucking Wharf Road
Stanford le Hope
Essex
</v>
          </cell>
          <cell r="J326">
            <v>37347</v>
          </cell>
        </row>
        <row r="327">
          <cell r="B327" t="str">
            <v>YES</v>
          </cell>
          <cell r="C327" t="str">
            <v>Mucking Landfill 2</v>
          </cell>
          <cell r="D327">
            <v>1250</v>
          </cell>
          <cell r="E327" t="str">
            <v>EDL Operations (Mucking) Ltd</v>
          </cell>
          <cell r="F327" t="str">
            <v>R00097RJEN</v>
          </cell>
          <cell r="G327">
            <v>1</v>
          </cell>
          <cell r="H327" t="str">
            <v>Mucking Landfill Site
Mucking Wharf Road
Stanford-le-Hope
Essex
</v>
          </cell>
          <cell r="J327">
            <v>37347</v>
          </cell>
        </row>
        <row r="328">
          <cell r="B328" t="str">
            <v>YES</v>
          </cell>
          <cell r="C328" t="str">
            <v>Nanty Claws</v>
          </cell>
          <cell r="D328">
            <v>1370</v>
          </cell>
          <cell r="E328" t="str">
            <v>United Utilities Green Energy Ltd</v>
          </cell>
          <cell r="F328" t="str">
            <v>R00177RJWA</v>
          </cell>
          <cell r="G328">
            <v>1</v>
          </cell>
          <cell r="H328" t="str">
            <v>Carthmenshire
South Wales
</v>
          </cell>
          <cell r="I328" t="str">
            <v>SA32 8BG</v>
          </cell>
          <cell r="J328">
            <v>37347</v>
          </cell>
        </row>
        <row r="329">
          <cell r="B329" t="str">
            <v>YES</v>
          </cell>
          <cell r="C329" t="str">
            <v>Netley Farm Landfill</v>
          </cell>
          <cell r="D329">
            <v>1200</v>
          </cell>
          <cell r="E329" t="str">
            <v>Power Plant Services Ltd</v>
          </cell>
          <cell r="F329" t="str">
            <v>R00137RJEN</v>
          </cell>
          <cell r="G329">
            <v>1</v>
          </cell>
          <cell r="H329" t="str">
            <v>Netley Farm Landfill Power Station
Grange Road
Netley
Southampton
</v>
          </cell>
          <cell r="J329">
            <v>37347</v>
          </cell>
        </row>
        <row r="330">
          <cell r="B330" t="str">
            <v>YES</v>
          </cell>
          <cell r="C330" t="str">
            <v>Netley Farm Phase 2</v>
          </cell>
          <cell r="D330">
            <v>1150</v>
          </cell>
          <cell r="E330" t="str">
            <v>Power Plant Services Ltd</v>
          </cell>
          <cell r="F330" t="str">
            <v>R00219RJEN</v>
          </cell>
          <cell r="G330">
            <v>1</v>
          </cell>
          <cell r="H330" t="str">
            <v>Netley Farm Landfill Power Station
Grange Road
Netley
Southampton
</v>
          </cell>
          <cell r="J330">
            <v>37681</v>
          </cell>
          <cell r="K330">
            <v>37742</v>
          </cell>
        </row>
        <row r="331">
          <cell r="B331" t="str">
            <v>YES</v>
          </cell>
          <cell r="C331" t="str">
            <v>Newton Longville</v>
          </cell>
          <cell r="D331">
            <v>988</v>
          </cell>
          <cell r="E331" t="str">
            <v>Shanks Waste Services Ltd</v>
          </cell>
          <cell r="F331" t="str">
            <v>R00154RJEN</v>
          </cell>
          <cell r="G331">
            <v>1</v>
          </cell>
          <cell r="H331" t="str">
            <v>Newton Longville Landfill Site
Bletchley Road
Bletchley
Milton Keynes
</v>
          </cell>
          <cell r="J331">
            <v>37347</v>
          </cell>
        </row>
        <row r="332">
          <cell r="B332" t="str">
            <v>YES</v>
          </cell>
          <cell r="C332" t="str">
            <v>Norlands Power Generation</v>
          </cell>
          <cell r="D332">
            <v>4000</v>
          </cell>
          <cell r="E332" t="str">
            <v>Thames Water Management Ltd</v>
          </cell>
          <cell r="F332" t="str">
            <v>R00182RJEN</v>
          </cell>
          <cell r="G332">
            <v>1</v>
          </cell>
          <cell r="H332" t="str">
            <v>Norlands Lane Landfill
Norlands Lane
Thorpe
Egham
Surrey
</v>
          </cell>
          <cell r="I332" t="str">
            <v>TW20855</v>
          </cell>
          <cell r="J332">
            <v>37347</v>
          </cell>
        </row>
        <row r="333">
          <cell r="B333" t="str">
            <v>YES</v>
          </cell>
          <cell r="C333" t="str">
            <v>Ockendon "A" Power Plant</v>
          </cell>
          <cell r="D333">
            <v>4016</v>
          </cell>
          <cell r="E333" t="str">
            <v>Viridor Waste Management</v>
          </cell>
          <cell r="F333" t="str">
            <v>R00122RJEN</v>
          </cell>
          <cell r="G333">
            <v>1</v>
          </cell>
          <cell r="H333" t="str">
            <v>Medebridge Road
Grays
Essex
</v>
          </cell>
          <cell r="J333">
            <v>37347</v>
          </cell>
        </row>
        <row r="334">
          <cell r="B334" t="str">
            <v>YES</v>
          </cell>
          <cell r="C334" t="str">
            <v>Ockendon "B" Power Plant</v>
          </cell>
          <cell r="D334">
            <v>4756</v>
          </cell>
          <cell r="E334" t="str">
            <v>Viridor Waste Management</v>
          </cell>
          <cell r="F334" t="str">
            <v>R00123RJEN</v>
          </cell>
          <cell r="G334">
            <v>1</v>
          </cell>
          <cell r="H334" t="str">
            <v>Medebridge Road
Grays
Essex
</v>
          </cell>
          <cell r="J334">
            <v>37347</v>
          </cell>
        </row>
        <row r="335">
          <cell r="B335" t="str">
            <v>YES</v>
          </cell>
          <cell r="C335" t="str">
            <v>Odcombe</v>
          </cell>
          <cell r="D335">
            <v>660</v>
          </cell>
          <cell r="E335" t="str">
            <v>Novera Energy Europe Ltd</v>
          </cell>
          <cell r="F335" t="str">
            <v>R00217RJEN</v>
          </cell>
          <cell r="G335">
            <v>1</v>
          </cell>
          <cell r="H335" t="str">
            <v>Odcombe Landfill, Street Lane, Odcombe, Yeovil, Somerset</v>
          </cell>
          <cell r="I335" t="str">
            <v>BA22 8UP</v>
          </cell>
          <cell r="J335">
            <v>37712</v>
          </cell>
          <cell r="K335">
            <v>37681</v>
          </cell>
        </row>
        <row r="336">
          <cell r="B336" t="str">
            <v>YES</v>
          </cell>
          <cell r="C336" t="str">
            <v>Offham Landfill</v>
          </cell>
          <cell r="D336">
            <v>1250</v>
          </cell>
          <cell r="E336" t="str">
            <v>Waste Recycling Group (Central) Ltd</v>
          </cell>
          <cell r="F336" t="str">
            <v>R00053RJEN</v>
          </cell>
          <cell r="G336">
            <v>1</v>
          </cell>
          <cell r="H336" t="str">
            <v>Teston Road
Offham
West Malling
Kent
</v>
          </cell>
          <cell r="J336">
            <v>37347</v>
          </cell>
        </row>
        <row r="337">
          <cell r="B337" t="str">
            <v>YES</v>
          </cell>
          <cell r="C337" t="str">
            <v>Ongar - NFFO 4</v>
          </cell>
          <cell r="D337">
            <v>1920</v>
          </cell>
          <cell r="E337" t="str">
            <v>Waste Recycling Group (Central) Ltd</v>
          </cell>
          <cell r="F337" t="str">
            <v>R00040RJEN</v>
          </cell>
          <cell r="G337">
            <v>1</v>
          </cell>
          <cell r="H337" t="str">
            <v>Mill Lane
High Ongar
Essex
</v>
          </cell>
          <cell r="J337">
            <v>37347</v>
          </cell>
        </row>
        <row r="338">
          <cell r="B338" t="str">
            <v>YES</v>
          </cell>
          <cell r="C338" t="str">
            <v>Ongar - NFFO 5</v>
          </cell>
          <cell r="D338">
            <v>2033</v>
          </cell>
          <cell r="E338" t="str">
            <v>Waste Recycling Group (Central) Ltd</v>
          </cell>
          <cell r="F338" t="str">
            <v>R00041RJEN</v>
          </cell>
          <cell r="G338">
            <v>1</v>
          </cell>
          <cell r="H338" t="str">
            <v>Mill Lane
High Ongar
Essex
</v>
          </cell>
          <cell r="J338">
            <v>37347</v>
          </cell>
        </row>
        <row r="339">
          <cell r="B339" t="str">
            <v>YES</v>
          </cell>
          <cell r="C339" t="str">
            <v>Paulsgrove Generating Station</v>
          </cell>
          <cell r="D339">
            <v>2475</v>
          </cell>
          <cell r="E339" t="str">
            <v>Onyx Hampshire Ltd</v>
          </cell>
          <cell r="F339" t="str">
            <v>R00185RJEN</v>
          </cell>
          <cell r="G339">
            <v>1</v>
          </cell>
          <cell r="H339" t="str">
            <v>Paulsgrove Landfill, Horsea Island, Portsmouth, Hampshire</v>
          </cell>
          <cell r="J339">
            <v>37347</v>
          </cell>
        </row>
        <row r="340">
          <cell r="B340" t="str">
            <v>YES</v>
          </cell>
          <cell r="C340" t="str">
            <v>Packington Gas Control Plant</v>
          </cell>
          <cell r="D340">
            <v>8250</v>
          </cell>
          <cell r="E340" t="str">
            <v>Gastec Packington Partnership</v>
          </cell>
          <cell r="F340" t="str">
            <v>R00136RJEN</v>
          </cell>
          <cell r="G340">
            <v>1</v>
          </cell>
          <cell r="H340" t="str">
            <v>Old Railway Cutting
Packington Lane
Little Packington, Meriden
Coventry
</v>
          </cell>
          <cell r="I340" t="str">
            <v>CV7 7HN</v>
          </cell>
          <cell r="J340">
            <v>37347</v>
          </cell>
        </row>
        <row r="341">
          <cell r="B341" t="str">
            <v>YES</v>
          </cell>
          <cell r="C341" t="str">
            <v>Pebsham</v>
          </cell>
          <cell r="D341">
            <v>2006</v>
          </cell>
          <cell r="E341" t="str">
            <v>Biogeneration Ltd c/o BiffaWaste Services Ltd</v>
          </cell>
          <cell r="F341" t="str">
            <v>R00157RJEN</v>
          </cell>
          <cell r="G341">
            <v>1</v>
          </cell>
          <cell r="H341" t="str">
            <v>Freshfields
Bexhill Road
St Leonards on Sea
East Sussex
</v>
          </cell>
          <cell r="J341">
            <v>37347</v>
          </cell>
        </row>
        <row r="342">
          <cell r="B342" t="str">
            <v>YES</v>
          </cell>
          <cell r="C342" t="str">
            <v>Peckfield Quarry</v>
          </cell>
          <cell r="D342">
            <v>4100</v>
          </cell>
          <cell r="E342" t="str">
            <v>Natural Power Ltd</v>
          </cell>
          <cell r="F342" t="str">
            <v>R00086RJEN</v>
          </cell>
          <cell r="G342">
            <v>1</v>
          </cell>
          <cell r="H342" t="str">
            <v>Micklefield
Near Garforth
Leeds
</v>
          </cell>
          <cell r="J342">
            <v>37347</v>
          </cell>
        </row>
        <row r="343">
          <cell r="B343" t="str">
            <v>YES</v>
          </cell>
          <cell r="C343" t="str">
            <v>Pennyhill</v>
          </cell>
          <cell r="D343">
            <v>650</v>
          </cell>
          <cell r="E343" t="str">
            <v>Shanks Waste Services Ltd</v>
          </cell>
          <cell r="F343" t="str">
            <v>R00029RJEN</v>
          </cell>
          <cell r="G343">
            <v>1</v>
          </cell>
          <cell r="H343" t="str">
            <v>Peckford Lane
Martley
</v>
          </cell>
          <cell r="J343">
            <v>37347</v>
          </cell>
        </row>
        <row r="344">
          <cell r="B344" t="str">
            <v>YES</v>
          </cell>
          <cell r="C344" t="str">
            <v>Pen Y Bont</v>
          </cell>
          <cell r="D344">
            <v>2300</v>
          </cell>
          <cell r="E344" t="str">
            <v>Shanks Waste Services Ltd</v>
          </cell>
          <cell r="F344" t="str">
            <v>R00212RJEN</v>
          </cell>
          <cell r="G344">
            <v>1</v>
          </cell>
          <cell r="H344" t="str">
            <v>Pen Y Bont Landfill Site, Chirk, Wrexham</v>
          </cell>
          <cell r="I344" t="str">
            <v>LL14 5AR</v>
          </cell>
          <cell r="J344">
            <v>37591</v>
          </cell>
          <cell r="K344">
            <v>37622</v>
          </cell>
        </row>
        <row r="345">
          <cell r="B345" t="str">
            <v>YES</v>
          </cell>
          <cell r="C345" t="str">
            <v>PG1-Coxhoe Waste Disp Site</v>
          </cell>
          <cell r="D345">
            <v>4000</v>
          </cell>
          <cell r="E345" t="str">
            <v>Capitol Waste Management</v>
          </cell>
          <cell r="F345" t="str">
            <v>R00193RJEN</v>
          </cell>
          <cell r="G345">
            <v>1</v>
          </cell>
          <cell r="H345" t="str">
            <v>PG1-Coxhoe Waste Disp Site, Coxhoe, Co. Durham</v>
          </cell>
          <cell r="J345">
            <v>37347</v>
          </cell>
        </row>
        <row r="346">
          <cell r="B346" t="str">
            <v>YES</v>
          </cell>
          <cell r="C346" t="str">
            <v>PG4 St Bedes Power Generation</v>
          </cell>
          <cell r="D346">
            <v>4360</v>
          </cell>
          <cell r="E346" t="str">
            <v>Natural Power Ltd</v>
          </cell>
          <cell r="F346" t="str">
            <v>R00102RJEN</v>
          </cell>
          <cell r="G346">
            <v>1</v>
          </cell>
          <cell r="H346" t="str">
            <v>Station Lane, Birtley, Co. Durham</v>
          </cell>
          <cell r="J346">
            <v>37347</v>
          </cell>
        </row>
        <row r="347">
          <cell r="B347" t="str">
            <v>YES</v>
          </cell>
          <cell r="C347" t="str">
            <v>Pilsworth Power Plant</v>
          </cell>
          <cell r="D347">
            <v>3450</v>
          </cell>
          <cell r="E347" t="str">
            <v>Viridor Waste Management</v>
          </cell>
          <cell r="F347" t="str">
            <v>R00141RJEN</v>
          </cell>
          <cell r="G347">
            <v>1</v>
          </cell>
          <cell r="H347" t="str">
            <v>Pilsworth Quarry
Pilsworth
Bury
</v>
          </cell>
          <cell r="J347">
            <v>37347</v>
          </cell>
        </row>
        <row r="348">
          <cell r="B348" t="str">
            <v>YES</v>
          </cell>
          <cell r="C348" t="str">
            <v>Pilsworth Phase II</v>
          </cell>
          <cell r="D348">
            <v>4024</v>
          </cell>
          <cell r="E348" t="str">
            <v>Viridor Waste Exeter Ltd</v>
          </cell>
          <cell r="F348" t="str">
            <v>R00197RJEN</v>
          </cell>
          <cell r="G348">
            <v>1</v>
          </cell>
          <cell r="H348" t="str">
            <v>Pilsworth Phase II, Pilsworth Road, Pilsworth, Near Bury</v>
          </cell>
          <cell r="I348" t="str">
            <v>BL9 8QZ</v>
          </cell>
          <cell r="J348">
            <v>37500</v>
          </cell>
          <cell r="K348">
            <v>37469</v>
          </cell>
        </row>
        <row r="349">
          <cell r="B349" t="str">
            <v>YES</v>
          </cell>
          <cell r="C349" t="str">
            <v>Pluckney Energy</v>
          </cell>
          <cell r="D349">
            <v>1200</v>
          </cell>
          <cell r="E349" t="str">
            <v>Pluckney Energy Ltd</v>
          </cell>
          <cell r="F349" t="str">
            <v>R00205RJEN</v>
          </cell>
          <cell r="G349">
            <v>1</v>
          </cell>
          <cell r="H349" t="str">
            <v>Chambers Green Road, Pluckney, Nr Ashford, Kent</v>
          </cell>
          <cell r="I349" t="str">
            <v>TN27 0RH</v>
          </cell>
          <cell r="J349">
            <v>37591</v>
          </cell>
          <cell r="K349">
            <v>37530</v>
          </cell>
        </row>
        <row r="350">
          <cell r="B350" t="str">
            <v>YES</v>
          </cell>
          <cell r="C350" t="str">
            <v>Poplars Landfill (Generation Phase 1)</v>
          </cell>
          <cell r="D350">
            <v>1520</v>
          </cell>
          <cell r="E350" t="str">
            <v>Summerleaze RE-Generation Ltd</v>
          </cell>
          <cell r="F350" t="str">
            <v>R00038RJEN</v>
          </cell>
          <cell r="G350">
            <v>1</v>
          </cell>
          <cell r="H350" t="str">
            <v>Leacroft Lane
off Lichfield Road
Cannock
Staffordshire
</v>
          </cell>
          <cell r="I350" t="str">
            <v>WS11 3EQ</v>
          </cell>
          <cell r="J350">
            <v>37347</v>
          </cell>
        </row>
        <row r="351">
          <cell r="B351" t="str">
            <v>YES</v>
          </cell>
          <cell r="C351" t="str">
            <v>Poplars Landfill (Generation Phase 2)</v>
          </cell>
          <cell r="D351">
            <v>2006</v>
          </cell>
          <cell r="E351" t="str">
            <v>Summerleaze RE-Generation Ltd</v>
          </cell>
          <cell r="F351" t="str">
            <v>R00081RJEN</v>
          </cell>
          <cell r="G351">
            <v>1</v>
          </cell>
          <cell r="H351" t="str">
            <v>Leacroft Lane
off Lichfield Road
Cannock
Staffordshire
</v>
          </cell>
          <cell r="I351" t="str">
            <v>WS11 3EQ</v>
          </cell>
          <cell r="J351">
            <v>37347</v>
          </cell>
        </row>
        <row r="352">
          <cell r="B352" t="str">
            <v>YES</v>
          </cell>
          <cell r="C352" t="str">
            <v>Poplars Landfill (Generation Phase 3)</v>
          </cell>
          <cell r="D352">
            <v>2300</v>
          </cell>
          <cell r="E352" t="str">
            <v>Summerleaze RE-Generation Ltd</v>
          </cell>
          <cell r="F352" t="str">
            <v>R00204RJEN</v>
          </cell>
          <cell r="G352">
            <v>1</v>
          </cell>
          <cell r="H352" t="str">
            <v>Leacroft Lane
off Lichfield Road
Cannock
Staffordshire
</v>
          </cell>
          <cell r="I352" t="str">
            <v>WS11 3EQ</v>
          </cell>
          <cell r="J352">
            <v>37561</v>
          </cell>
          <cell r="K352">
            <v>37530</v>
          </cell>
        </row>
        <row r="353">
          <cell r="B353" t="str">
            <v>YES</v>
          </cell>
          <cell r="C353" t="str">
            <v>Portley Ford</v>
          </cell>
          <cell r="D353">
            <v>1850</v>
          </cell>
          <cell r="E353" t="str">
            <v>Biogeneration Ltd c/o BiffaWaste Services Ltd</v>
          </cell>
          <cell r="F353" t="str">
            <v>R00167RJEN</v>
          </cell>
          <cell r="G353">
            <v>1</v>
          </cell>
          <cell r="H353" t="str">
            <v>Portley Road
Welford
Northampshire
</v>
          </cell>
          <cell r="J353">
            <v>37347</v>
          </cell>
        </row>
        <row r="354">
          <cell r="B354" t="str">
            <v>YES</v>
          </cell>
          <cell r="C354" t="str">
            <v>Queens Park Energy</v>
          </cell>
          <cell r="D354">
            <v>1850</v>
          </cell>
          <cell r="E354" t="str">
            <v>Queens Park Road Energy</v>
          </cell>
          <cell r="F354" t="str">
            <v>R00063RJEN</v>
          </cell>
          <cell r="G354">
            <v>1</v>
          </cell>
          <cell r="H354" t="str">
            <v>Rowley Landfill
Queens Park Road
Burnley
Lancashire
</v>
          </cell>
          <cell r="J354">
            <v>37347</v>
          </cell>
        </row>
        <row r="355">
          <cell r="B355" t="str">
            <v>YES</v>
          </cell>
          <cell r="C355" t="str">
            <v>Queslett Landfill</v>
          </cell>
          <cell r="D355">
            <v>598</v>
          </cell>
          <cell r="E355" t="str">
            <v>Summerleaze RE-Generation Ltd</v>
          </cell>
          <cell r="F355" t="str">
            <v>R00082RJEN</v>
          </cell>
          <cell r="G355">
            <v>1</v>
          </cell>
          <cell r="H355" t="str">
            <v>Old Horns Crescent
Great Barr
Birmingham
</v>
          </cell>
          <cell r="I355" t="str">
            <v>B43 37H</v>
          </cell>
          <cell r="J355">
            <v>37347</v>
          </cell>
        </row>
        <row r="356">
          <cell r="B356" t="str">
            <v>YES</v>
          </cell>
          <cell r="C356" t="str">
            <v>Rainham Landfill</v>
          </cell>
          <cell r="D356">
            <v>4074</v>
          </cell>
          <cell r="E356" t="str">
            <v>EDL Operations (Rainham) Ltd</v>
          </cell>
          <cell r="F356" t="str">
            <v>R00100RJEN</v>
          </cell>
          <cell r="G356">
            <v>1</v>
          </cell>
          <cell r="H356" t="str">
            <v>Ferry Lane
Rainham
Essex
</v>
          </cell>
          <cell r="J356">
            <v>37347</v>
          </cell>
        </row>
        <row r="357">
          <cell r="B357" t="str">
            <v>YES</v>
          </cell>
          <cell r="C357" t="str">
            <v>Rainham Phase II</v>
          </cell>
          <cell r="D357">
            <v>10864</v>
          </cell>
          <cell r="E357" t="str">
            <v>EDL Operations (Rainham) Ltd</v>
          </cell>
          <cell r="F357" t="str">
            <v>R00095RJEN</v>
          </cell>
          <cell r="G357">
            <v>1</v>
          </cell>
          <cell r="H357" t="str">
            <v>Wennington Marshes
Rainham
Essex
</v>
          </cell>
          <cell r="J357">
            <v>37347</v>
          </cell>
        </row>
        <row r="358">
          <cell r="B358" t="str">
            <v>YES</v>
          </cell>
          <cell r="C358" t="str">
            <v>Ravenhead Landfill Site</v>
          </cell>
          <cell r="D358">
            <v>980</v>
          </cell>
          <cell r="E358" t="str">
            <v>Natural Power Ltd</v>
          </cell>
          <cell r="F358" t="str">
            <v>R00152RJEN</v>
          </cell>
          <cell r="G358">
            <v>1</v>
          </cell>
          <cell r="H358" t="str">
            <v>Burton Head Road
Ravenhead
St Helens
</v>
          </cell>
          <cell r="J358">
            <v>37347</v>
          </cell>
        </row>
        <row r="359">
          <cell r="B359" t="str">
            <v>YES</v>
          </cell>
          <cell r="C359" t="str">
            <v>Redhill 2</v>
          </cell>
          <cell r="D359">
            <v>1000</v>
          </cell>
          <cell r="E359" t="str">
            <v>Biffa Waste Services Ltd</v>
          </cell>
          <cell r="F359" t="str">
            <v>R00176RJEN</v>
          </cell>
          <cell r="G359">
            <v>1</v>
          </cell>
          <cell r="H359" t="str">
            <v>Redhill Landfill Site
Comongers Lane
Redhill
Surrey
</v>
          </cell>
          <cell r="J359">
            <v>37347</v>
          </cell>
        </row>
        <row r="360">
          <cell r="B360" t="str">
            <v>YES</v>
          </cell>
          <cell r="C360" t="str">
            <v>Redhill Landfill Site</v>
          </cell>
          <cell r="D360">
            <v>4000</v>
          </cell>
          <cell r="E360" t="str">
            <v>Natural Power Ltd</v>
          </cell>
          <cell r="F360" t="str">
            <v>R00092RJEN</v>
          </cell>
          <cell r="G360">
            <v>1</v>
          </cell>
          <cell r="H360" t="str">
            <v>North Cockley Landfill Site
Cormongers Lane
Redhill
Surrey
</v>
          </cell>
          <cell r="I360" t="str">
            <v>RH1 4ER</v>
          </cell>
          <cell r="J360">
            <v>37347</v>
          </cell>
        </row>
        <row r="361">
          <cell r="B361" t="str">
            <v>YES</v>
          </cell>
          <cell r="C361" t="str">
            <v>Red Moss Electricity Project</v>
          </cell>
          <cell r="D361">
            <v>626</v>
          </cell>
          <cell r="E361" t="str">
            <v>Greater Manchester Waste Disp. Authority</v>
          </cell>
          <cell r="F361" t="str">
            <v>R00203RJEN</v>
          </cell>
          <cell r="G361">
            <v>1</v>
          </cell>
          <cell r="H361" t="str">
            <v>Red Moss Electricity Project, Aspinall Street, Horwich, Bolton</v>
          </cell>
          <cell r="J361">
            <v>37347</v>
          </cell>
          <cell r="K361">
            <v>37530</v>
          </cell>
        </row>
        <row r="362">
          <cell r="B362" t="str">
            <v>YES</v>
          </cell>
          <cell r="C362" t="str">
            <v>Risley 3 Landfill Site NFFO 4 (429)</v>
          </cell>
          <cell r="D362">
            <v>660</v>
          </cell>
          <cell r="E362" t="str">
            <v>UK Waste Management Ltd c/o Biffa Environmental Technology</v>
          </cell>
          <cell r="F362" t="str">
            <v>R00161RJEN</v>
          </cell>
          <cell r="G362">
            <v>1</v>
          </cell>
          <cell r="H362" t="str">
            <v>Silver Lane
Risley
Warrington
Cheshire
</v>
          </cell>
          <cell r="J362">
            <v>37347</v>
          </cell>
        </row>
        <row r="363">
          <cell r="B363" t="str">
            <v>YES</v>
          </cell>
          <cell r="C363" t="str">
            <v>Risley 4 Gas to Energy NFFO 4 (430)</v>
          </cell>
          <cell r="D363">
            <v>6150</v>
          </cell>
          <cell r="E363" t="str">
            <v>UK Waste Management Ltd c/o Biffa Environmental Technology</v>
          </cell>
          <cell r="F363" t="str">
            <v>R00170RJEN</v>
          </cell>
          <cell r="G363">
            <v>1</v>
          </cell>
          <cell r="H363" t="str">
            <v>Silver Lane
Risley
Warrington
Cheshire
</v>
          </cell>
          <cell r="J363">
            <v>37347</v>
          </cell>
        </row>
        <row r="364">
          <cell r="B364" t="str">
            <v>YES</v>
          </cell>
          <cell r="C364" t="str">
            <v>Risley 3 Gas to Energy NFFO 5 (754)</v>
          </cell>
          <cell r="D364">
            <v>1100</v>
          </cell>
          <cell r="E364" t="str">
            <v>UK Waste Management Ltd c/o Biffa Environmental Technology</v>
          </cell>
          <cell r="F364" t="str">
            <v>R00160RJEN</v>
          </cell>
          <cell r="G364">
            <v>1</v>
          </cell>
          <cell r="H364" t="str">
            <v>Silver Lane
Risley
Warrington
Cheshire
</v>
          </cell>
          <cell r="J364">
            <v>37347</v>
          </cell>
        </row>
        <row r="365">
          <cell r="B365" t="str">
            <v>YES</v>
          </cell>
          <cell r="C365" t="str">
            <v>Risley Sets 7 and 8</v>
          </cell>
          <cell r="D365">
            <v>3015</v>
          </cell>
          <cell r="E365" t="str">
            <v>UK Waste Management Ltd, c/o Biffa Waste Services</v>
          </cell>
          <cell r="F365" t="str">
            <v>R00174RJEN</v>
          </cell>
          <cell r="G365">
            <v>1</v>
          </cell>
          <cell r="H365" t="str">
            <v>Risley 3 Landfill Site
Silver Lane
Risley
Warrington
Cheshire
</v>
          </cell>
          <cell r="I365" t="str">
            <v>WA3 6EZ</v>
          </cell>
          <cell r="J365">
            <v>37347</v>
          </cell>
        </row>
        <row r="366">
          <cell r="B366" t="str">
            <v>YES</v>
          </cell>
          <cell r="C366" t="str">
            <v>Rossendale Power</v>
          </cell>
          <cell r="D366">
            <v>1630</v>
          </cell>
          <cell r="E366" t="str">
            <v>Natural Power Ltd</v>
          </cell>
          <cell r="F366" t="str">
            <v>R00073RJEN</v>
          </cell>
          <cell r="G366">
            <v>1</v>
          </cell>
          <cell r="H366" t="str">
            <v>Horncliffe Quarry Landfill Site
Bury Road
Rossendale
</v>
          </cell>
          <cell r="I366" t="str">
            <v>BB4 6EZ</v>
          </cell>
          <cell r="J366">
            <v>37347</v>
          </cell>
        </row>
        <row r="367">
          <cell r="B367" t="str">
            <v>YES</v>
          </cell>
          <cell r="C367" t="str">
            <v>Rowley 2 Gas Project</v>
          </cell>
          <cell r="D367">
            <v>1000</v>
          </cell>
          <cell r="E367" t="str">
            <v>Queens Park Road Energy Ltd</v>
          </cell>
          <cell r="F367" t="str">
            <v>R00196RJEN</v>
          </cell>
          <cell r="G367">
            <v>1</v>
          </cell>
          <cell r="H367" t="str">
            <v>Rowley 2 Gas Project, Rowley 2 Landfill Site, Rowley Landfill Site, Rowley, Burnley, Lancashire</v>
          </cell>
          <cell r="J367">
            <v>37438</v>
          </cell>
          <cell r="K367">
            <v>37469</v>
          </cell>
        </row>
        <row r="368">
          <cell r="B368" t="str">
            <v>YES</v>
          </cell>
          <cell r="C368" t="str">
            <v>Roxwell Landfill Gas Project</v>
          </cell>
          <cell r="D368">
            <v>1300</v>
          </cell>
          <cell r="E368" t="str">
            <v>United Utilities Green Energy Ltd</v>
          </cell>
          <cell r="F368" t="str">
            <v>R00145RJEN</v>
          </cell>
          <cell r="G368">
            <v>1</v>
          </cell>
          <cell r="H368" t="str">
            <v>Roxwell Quarry
Boyton Cross
Roxwell
Chelmsford
</v>
          </cell>
          <cell r="I368" t="str">
            <v>CM1 4LT</v>
          </cell>
          <cell r="J368">
            <v>37347</v>
          </cell>
        </row>
        <row r="369">
          <cell r="B369" t="str">
            <v>YES</v>
          </cell>
          <cell r="C369" t="str">
            <v>Ruabon Power Station</v>
          </cell>
          <cell r="D369">
            <v>2060</v>
          </cell>
          <cell r="E369" t="str">
            <v>Shanks Northern Ltd</v>
          </cell>
          <cell r="F369" t="str">
            <v>R00061RJEN</v>
          </cell>
          <cell r="G369">
            <v>1</v>
          </cell>
          <cell r="H369" t="str">
            <v>Gardden Lodge Landfill Site
Tatham Road
Ruabon
Wrexham
</v>
          </cell>
          <cell r="J369">
            <v>37347</v>
          </cell>
        </row>
        <row r="370">
          <cell r="B370" t="str">
            <v>YES</v>
          </cell>
          <cell r="C370" t="str">
            <v>Ryton Landfill Site</v>
          </cell>
          <cell r="D370">
            <v>900</v>
          </cell>
          <cell r="E370" t="str">
            <v>Ryton Energy Ltd</v>
          </cell>
          <cell r="F370" t="str">
            <v>R00096RJEN</v>
          </cell>
          <cell r="G370">
            <v>1</v>
          </cell>
          <cell r="H370" t="str">
            <v>Leamington Road
Ryton on Dunsmore
</v>
          </cell>
          <cell r="J370">
            <v>37347</v>
          </cell>
        </row>
        <row r="371">
          <cell r="B371" t="str">
            <v>YES</v>
          </cell>
          <cell r="C371" t="str">
            <v>Seale Power</v>
          </cell>
          <cell r="D371">
            <v>1303</v>
          </cell>
          <cell r="E371" t="str">
            <v>Natural Power Ltd</v>
          </cell>
          <cell r="F371" t="str">
            <v>R00087RJEN</v>
          </cell>
          <cell r="G371">
            <v>1</v>
          </cell>
          <cell r="H371" t="str">
            <v>Seale Lodge
Seale
Farnham
Surrey
</v>
          </cell>
          <cell r="J371">
            <v>37347</v>
          </cell>
        </row>
        <row r="372">
          <cell r="B372" t="str">
            <v>YES</v>
          </cell>
          <cell r="C372" t="str">
            <v>Seamer Carr</v>
          </cell>
          <cell r="D372">
            <v>1150</v>
          </cell>
          <cell r="E372" t="str">
            <v>Natural Power Ltd</v>
          </cell>
          <cell r="F372" t="str">
            <v>R00201RJEN</v>
          </cell>
          <cell r="G372">
            <v>1</v>
          </cell>
          <cell r="H372" t="str">
            <v>Seamer Carr Landfill Site, Dunslow Road, Eastfield, Scarborough, North Yorks</v>
          </cell>
          <cell r="I372" t="str">
            <v>YO12 4QA</v>
          </cell>
          <cell r="J372">
            <v>37530</v>
          </cell>
          <cell r="K372">
            <v>37530</v>
          </cell>
        </row>
        <row r="373">
          <cell r="B373" t="str">
            <v>YES</v>
          </cell>
          <cell r="C373" t="str">
            <v>Seghill Village</v>
          </cell>
          <cell r="D373">
            <v>1003</v>
          </cell>
          <cell r="E373" t="str">
            <v>Sita Holding UK Ltd</v>
          </cell>
          <cell r="F373" t="str">
            <v>R00069RJEN</v>
          </cell>
          <cell r="G373">
            <v>1</v>
          </cell>
          <cell r="H373" t="str">
            <v>Seghill Village
Seghill
Northumberland
</v>
          </cell>
          <cell r="J373">
            <v>37347</v>
          </cell>
        </row>
        <row r="374">
          <cell r="B374" t="str">
            <v>YES</v>
          </cell>
          <cell r="C374" t="str">
            <v>Shakespeare Farm Landfill Site</v>
          </cell>
          <cell r="D374">
            <v>1003</v>
          </cell>
          <cell r="E374" t="str">
            <v>Biogeneration Ltd c/o BiffaWaste Services Ltd</v>
          </cell>
          <cell r="F374" t="str">
            <v>R00156RJEN</v>
          </cell>
          <cell r="G374">
            <v>1</v>
          </cell>
          <cell r="H374" t="str">
            <v>St Mary Hoo
Rochester
Kent
</v>
          </cell>
          <cell r="J374">
            <v>37347</v>
          </cell>
        </row>
        <row r="375">
          <cell r="B375" t="str">
            <v>YES</v>
          </cell>
          <cell r="C375" t="str">
            <v>Shawcross Landfill</v>
          </cell>
          <cell r="D375">
            <v>286</v>
          </cell>
          <cell r="E375" t="str">
            <v>Summerleaze RE-Generation Ltd</v>
          </cell>
          <cell r="F375" t="str">
            <v>R00020RJEN</v>
          </cell>
          <cell r="G375">
            <v>1</v>
          </cell>
          <cell r="H375" t="str">
            <v>off Owl Lane
Ossett
Wakefield
W Yorks
</v>
          </cell>
          <cell r="I375" t="str">
            <v>WF5 9AW</v>
          </cell>
          <cell r="J375">
            <v>37347</v>
          </cell>
        </row>
        <row r="376">
          <cell r="B376" t="str">
            <v>YES</v>
          </cell>
          <cell r="C376" t="str">
            <v>Shearman Field</v>
          </cell>
          <cell r="D376">
            <v>2006</v>
          </cell>
          <cell r="E376" t="str">
            <v>Gengas Ltd</v>
          </cell>
          <cell r="F376" t="str">
            <v>R00043RJEN</v>
          </cell>
          <cell r="G376">
            <v>1</v>
          </cell>
          <cell r="H376" t="str">
            <v>Joseph Noble Road
Lillyhall
Workington
Cumbria
</v>
          </cell>
          <cell r="J376">
            <v>37347</v>
          </cell>
        </row>
        <row r="377">
          <cell r="B377" t="str">
            <v>YES</v>
          </cell>
          <cell r="C377" t="str">
            <v>Shelford Generation Plant II</v>
          </cell>
          <cell r="D377">
            <v>8048</v>
          </cell>
          <cell r="E377" t="str">
            <v>Brett Waste Management Ltd</v>
          </cell>
          <cell r="F377" t="str">
            <v>R00172RJEN</v>
          </cell>
          <cell r="G377">
            <v>1</v>
          </cell>
          <cell r="H377" t="str">
            <v>Shelford Farm Estate
Broad Oak Road
Canterbury
Kent
</v>
          </cell>
          <cell r="I377" t="str">
            <v>CT2 0PR</v>
          </cell>
          <cell r="J377">
            <v>37347</v>
          </cell>
        </row>
        <row r="378">
          <cell r="B378" t="str">
            <v>YES</v>
          </cell>
          <cell r="C378" t="str">
            <v>Shelford Landfill Site</v>
          </cell>
          <cell r="D378">
            <v>2000</v>
          </cell>
          <cell r="E378" t="str">
            <v>Brett Waste Management Ltd</v>
          </cell>
          <cell r="F378" t="str">
            <v>R00171RJEN</v>
          </cell>
          <cell r="G378">
            <v>1</v>
          </cell>
          <cell r="H378" t="str">
            <v>Shelford Farm Estate
Broad Oak Road
Canterbury
Kent
</v>
          </cell>
          <cell r="I378" t="str">
            <v>CT2 0PR</v>
          </cell>
          <cell r="J378">
            <v>37347</v>
          </cell>
        </row>
        <row r="379">
          <cell r="B379" t="str">
            <v>YES</v>
          </cell>
          <cell r="C379" t="str">
            <v>Shewalton Landfill Site</v>
          </cell>
          <cell r="D379">
            <v>1150</v>
          </cell>
          <cell r="E379" t="str">
            <v>Natural Power Limited</v>
          </cell>
          <cell r="F379" t="str">
            <v>R00444RJSC</v>
          </cell>
          <cell r="G379">
            <v>1</v>
          </cell>
          <cell r="H379" t="str">
            <v>Murdoch Place, OldHall West Industrial Estate, Old Hall West Industrial Estate, Irvine, Ayrshire, Scotland.</v>
          </cell>
          <cell r="I379" t="str">
            <v>KA11 5DF</v>
          </cell>
          <cell r="J379">
            <v>37860</v>
          </cell>
        </row>
        <row r="380">
          <cell r="B380" t="str">
            <v>YES</v>
          </cell>
          <cell r="C380" t="str">
            <v>Sidegate Lane</v>
          </cell>
          <cell r="D380">
            <v>1360</v>
          </cell>
          <cell r="E380" t="str">
            <v>EDL Operations (LFG1) Ltd</v>
          </cell>
          <cell r="F380" t="str">
            <v>R00091RJEN</v>
          </cell>
          <cell r="G380">
            <v>1</v>
          </cell>
          <cell r="H380" t="str">
            <v>Sidegate Lane Landfill Site
Finedon
Nr Wellingborough
Northampshire
</v>
          </cell>
        </row>
        <row r="381">
          <cell r="B381" t="str">
            <v>YES</v>
          </cell>
          <cell r="C381" t="str">
            <v>Silent Valley Landfill</v>
          </cell>
          <cell r="D381">
            <v>2650</v>
          </cell>
          <cell r="E381" t="str">
            <v>United Utilities Green Energy Limited</v>
          </cell>
          <cell r="F381" t="str">
            <v>R00442RJWA</v>
          </cell>
          <cell r="G381">
            <v>1</v>
          </cell>
          <cell r="H381" t="str">
            <v>Beechwood House, Cym, Ebbw Vale, Gwent.</v>
          </cell>
          <cell r="I381" t="str">
            <v>NP3 6PZ</v>
          </cell>
          <cell r="J381">
            <v>37841</v>
          </cell>
        </row>
        <row r="382">
          <cell r="B382" t="str">
            <v>YES</v>
          </cell>
          <cell r="C382" t="str">
            <v>Skelbrooke Landfill Gas Project</v>
          </cell>
          <cell r="D382">
            <v>1003</v>
          </cell>
          <cell r="E382" t="str">
            <v>Skelbrooke Energy Ltd</v>
          </cell>
          <cell r="F382" t="str">
            <v>R00064RJEN</v>
          </cell>
          <cell r="G382">
            <v>1</v>
          </cell>
          <cell r="H382" t="str">
            <v>Skelbrooke Landfill
Straight Lane
Doncaster
South Yorkshire
</v>
          </cell>
          <cell r="I382" t="str">
            <v>DN6 8LX</v>
          </cell>
          <cell r="J382">
            <v>37347</v>
          </cell>
        </row>
        <row r="383">
          <cell r="B383" t="str">
            <v>YES</v>
          </cell>
          <cell r="C383" t="str">
            <v>Skelbrooke 2</v>
          </cell>
          <cell r="D383">
            <v>1050</v>
          </cell>
          <cell r="E383" t="str">
            <v>Skelbrooke Energy Ltd</v>
          </cell>
          <cell r="F383" t="str">
            <v>R00440RJEN</v>
          </cell>
          <cell r="G383">
            <v>1</v>
          </cell>
          <cell r="H383" t="str">
            <v>Skelbrooke Landfill
Straight Lane
Doncaster
South Yorkshire
</v>
          </cell>
          <cell r="I383" t="str">
            <v>DN6 8LX</v>
          </cell>
          <cell r="J383">
            <v>37803</v>
          </cell>
          <cell r="K383">
            <v>37833</v>
          </cell>
        </row>
        <row r="384">
          <cell r="B384" t="str">
            <v>YES</v>
          </cell>
          <cell r="C384" t="str">
            <v>Somerley Generating Station</v>
          </cell>
          <cell r="D384">
            <v>970</v>
          </cell>
          <cell r="E384" t="str">
            <v>Onyx Hampshire Ltd</v>
          </cell>
          <cell r="F384" t="str">
            <v>R00187RJEN</v>
          </cell>
          <cell r="G384">
            <v>1</v>
          </cell>
          <cell r="H384" t="str">
            <v>Somerley Landfill Site, Verwood Road, Ringwood Forest, Hampshire</v>
          </cell>
          <cell r="J384">
            <v>37347</v>
          </cell>
        </row>
        <row r="385">
          <cell r="B385" t="str">
            <v>YES</v>
          </cell>
          <cell r="C385" t="str">
            <v>Southleigh Gas Engine Facility</v>
          </cell>
          <cell r="D385">
            <v>3509</v>
          </cell>
          <cell r="E385" t="str">
            <v>Onyx UK Ltd</v>
          </cell>
          <cell r="F385" t="str">
            <v>R00431RJEN</v>
          </cell>
          <cell r="G385">
            <v>1</v>
          </cell>
          <cell r="H385" t="str">
            <v>Emsworth Common Road, Harvant, Hampshire</v>
          </cell>
          <cell r="I385" t="str">
            <v>PO9 2PB</v>
          </cell>
          <cell r="J385">
            <v>37316</v>
          </cell>
          <cell r="K385">
            <v>37742</v>
          </cell>
        </row>
        <row r="386">
          <cell r="B386" t="str">
            <v>YES</v>
          </cell>
          <cell r="C386" t="str">
            <v>Standard</v>
          </cell>
          <cell r="D386">
            <v>920</v>
          </cell>
          <cell r="E386" t="str">
            <v>Ad Waste Ltd</v>
          </cell>
          <cell r="F386" t="str">
            <v>R00184RJWA</v>
          </cell>
          <cell r="G386">
            <v>1</v>
          </cell>
          <cell r="H386" t="str">
            <v>Spencers Industrial Estate, off Globe Way, Buckley, Deeside</v>
          </cell>
          <cell r="J386">
            <v>37347</v>
          </cell>
        </row>
        <row r="387">
          <cell r="B387" t="str">
            <v>YES</v>
          </cell>
          <cell r="C387" t="str">
            <v>Stangate - NFFO 5</v>
          </cell>
          <cell r="D387">
            <v>1003</v>
          </cell>
          <cell r="E387" t="str">
            <v>Waste Recycling Group (Central) Ltd</v>
          </cell>
          <cell r="F387" t="str">
            <v>R00004RJEN</v>
          </cell>
          <cell r="G387">
            <v>1</v>
          </cell>
          <cell r="H387" t="str">
            <v>Quarry Hill Lane
Borough Green
Kent
</v>
          </cell>
          <cell r="J387">
            <v>37347</v>
          </cell>
        </row>
        <row r="388">
          <cell r="B388" t="str">
            <v>YES</v>
          </cell>
          <cell r="C388" t="str">
            <v>Stangate Landfill</v>
          </cell>
          <cell r="D388">
            <v>4625</v>
          </cell>
          <cell r="E388" t="str">
            <v>Waste Recycling Group (Central) Ltd</v>
          </cell>
          <cell r="F388" t="str">
            <v>R00003RJEN</v>
          </cell>
          <cell r="G388">
            <v>1</v>
          </cell>
          <cell r="H388" t="str">
            <v>Off Quarry Hill Road
Borough Green
Kent
</v>
          </cell>
          <cell r="J388">
            <v>37347</v>
          </cell>
        </row>
        <row r="389">
          <cell r="B389" t="str">
            <v>YES</v>
          </cell>
          <cell r="C389" t="str">
            <v>Station Farm Landfill</v>
          </cell>
          <cell r="D389">
            <v>2050</v>
          </cell>
          <cell r="E389" t="str">
            <v>Natural Power Ltd</v>
          </cell>
          <cell r="F389" t="str">
            <v>R00088RJEN</v>
          </cell>
          <cell r="G389">
            <v>1</v>
          </cell>
          <cell r="H389" t="str">
            <v>Brampton Road
Buckden
Huntingdon
Cambridge
</v>
          </cell>
          <cell r="J389">
            <v>37347</v>
          </cell>
        </row>
        <row r="390">
          <cell r="B390" t="str">
            <v>YES</v>
          </cell>
          <cell r="C390" t="str">
            <v>Stone "A" Power Plant</v>
          </cell>
          <cell r="D390">
            <v>550</v>
          </cell>
          <cell r="E390" t="str">
            <v>Viridor Waste Management</v>
          </cell>
          <cell r="F390" t="str">
            <v>R00107RJEN</v>
          </cell>
          <cell r="G390">
            <v>1</v>
          </cell>
          <cell r="H390" t="str">
            <v>Cotton Lane
Dartford
Kent
</v>
          </cell>
          <cell r="J390">
            <v>37347</v>
          </cell>
        </row>
        <row r="391">
          <cell r="B391" t="str">
            <v>YES</v>
          </cell>
          <cell r="C391" t="str">
            <v>Stone "B" Power Plant</v>
          </cell>
          <cell r="D391">
            <v>1554</v>
          </cell>
          <cell r="E391" t="str">
            <v>Viridor Waste Management</v>
          </cell>
          <cell r="F391" t="str">
            <v>R00108RJEN</v>
          </cell>
          <cell r="G391">
            <v>1</v>
          </cell>
          <cell r="H391" t="str">
            <v>Cotton Lane
Dartford
Kent
</v>
          </cell>
          <cell r="J391">
            <v>37347</v>
          </cell>
        </row>
        <row r="392">
          <cell r="B392" t="str">
            <v>YES</v>
          </cell>
          <cell r="C392" t="str">
            <v>Sundon</v>
          </cell>
          <cell r="D392">
            <v>1800</v>
          </cell>
          <cell r="E392" t="str">
            <v>United Utilities Green Energy Ltd</v>
          </cell>
          <cell r="F392" t="str">
            <v>R00146RJEN</v>
          </cell>
          <cell r="G392">
            <v>1</v>
          </cell>
          <cell r="H392" t="str">
            <v>Sundon Landfill Site
Common Lane
Upper Sundon
Luton
Bedfordshire
</v>
          </cell>
          <cell r="I392" t="str">
            <v>LU3 3PF</v>
          </cell>
          <cell r="J392">
            <v>37347</v>
          </cell>
        </row>
        <row r="393">
          <cell r="B393" t="str">
            <v>YES</v>
          </cell>
          <cell r="C393" t="str">
            <v>Sutton</v>
          </cell>
          <cell r="D393">
            <v>3018</v>
          </cell>
          <cell r="E393" t="str">
            <v>United Utilities Green Energy Ltd</v>
          </cell>
          <cell r="F393" t="str">
            <v>R00144RJEN</v>
          </cell>
          <cell r="G393">
            <v>1</v>
          </cell>
          <cell r="H393" t="str">
            <v>Sutton Landfill Site
Huthwaite Road
Sutton in Ashfield
Nottinghamshire
</v>
          </cell>
          <cell r="I393" t="str">
            <v>NG17 1HK</v>
          </cell>
          <cell r="J393">
            <v>37347</v>
          </cell>
        </row>
        <row r="394">
          <cell r="B394" t="str">
            <v>YES</v>
          </cell>
          <cell r="C394" t="str">
            <v>Sutton Courtney</v>
          </cell>
          <cell r="D394">
            <v>5760</v>
          </cell>
          <cell r="E394" t="str">
            <v>Waste Recycling Group (Central) Ltd</v>
          </cell>
          <cell r="F394" t="str">
            <v>R00007RJEN</v>
          </cell>
          <cell r="G394">
            <v>1</v>
          </cell>
          <cell r="H394" t="str">
            <v>Appleford
Sidings
Abingdon
Oxfordshire
</v>
          </cell>
          <cell r="J394">
            <v>37347</v>
          </cell>
        </row>
        <row r="395">
          <cell r="B395" t="str">
            <v>YES</v>
          </cell>
          <cell r="C395" t="str">
            <v>Tir John Landfill</v>
          </cell>
          <cell r="D395">
            <v>2475</v>
          </cell>
          <cell r="E395" t="str">
            <v>Summerleaze RE-Generation Ltd</v>
          </cell>
          <cell r="F395" t="str">
            <v>R00024RJEN</v>
          </cell>
          <cell r="G395">
            <v>1</v>
          </cell>
          <cell r="H395" t="str">
            <v>off Fabian Way
Port Tennant
Swansea
</v>
          </cell>
          <cell r="I395" t="str">
            <v>SA1 8PA</v>
          </cell>
          <cell r="J395">
            <v>37347</v>
          </cell>
        </row>
        <row r="396">
          <cell r="B396" t="str">
            <v>YES</v>
          </cell>
          <cell r="C396" t="str">
            <v>Todhills Power</v>
          </cell>
          <cell r="D396">
            <v>1330</v>
          </cell>
          <cell r="E396" t="str">
            <v>Natural Power Ltd</v>
          </cell>
          <cell r="F396" t="str">
            <v>R00077RJEN</v>
          </cell>
          <cell r="G396">
            <v>1</v>
          </cell>
          <cell r="H396" t="str">
            <v>Todhills
Todhills
Carlisle
</v>
          </cell>
          <cell r="J396">
            <v>37347</v>
          </cell>
        </row>
        <row r="397">
          <cell r="B397" t="str">
            <v>YES</v>
          </cell>
          <cell r="C397" t="str">
            <v>Trecatti</v>
          </cell>
          <cell r="D397">
            <v>2006</v>
          </cell>
          <cell r="E397" t="str">
            <v>Biffa Waste Services Ltd</v>
          </cell>
          <cell r="F397" t="str">
            <v>R00175RJWA</v>
          </cell>
          <cell r="G397">
            <v>1</v>
          </cell>
          <cell r="H397" t="str">
            <v>Fochriw Road
Nr Merthyr Tydfil
Mid Glamorgan
Wales
</v>
          </cell>
          <cell r="J397">
            <v>37347</v>
          </cell>
        </row>
        <row r="398">
          <cell r="B398" t="str">
            <v>YES</v>
          </cell>
          <cell r="C398" t="str">
            <v>Trumps Farm Generation Project</v>
          </cell>
          <cell r="D398">
            <v>3000</v>
          </cell>
          <cell r="E398" t="str">
            <v>United Utilities Green Energy Ltd</v>
          </cell>
          <cell r="F398" t="str">
            <v>R00147RJEN</v>
          </cell>
          <cell r="G398">
            <v>1</v>
          </cell>
          <cell r="H398" t="str">
            <v>Kitsmead Lane
Chertsey
Surrey
</v>
          </cell>
          <cell r="I398" t="str">
            <v>KT16 0EF</v>
          </cell>
          <cell r="J398">
            <v>37347</v>
          </cell>
        </row>
        <row r="399">
          <cell r="B399" t="str">
            <v>YES</v>
          </cell>
          <cell r="C399" t="str">
            <v>Tythegston</v>
          </cell>
          <cell r="D399">
            <v>1000</v>
          </cell>
          <cell r="E399" t="str">
            <v>United Utilities Green Energy Ltd</v>
          </cell>
          <cell r="F399" t="str">
            <v>R00151RJEN</v>
          </cell>
          <cell r="G399">
            <v>1</v>
          </cell>
          <cell r="H399" t="str">
            <v>Tythegston Landfill Site
Ththegston Road
Bridgend
Mid Glamorgan
</v>
          </cell>
          <cell r="I399" t="str">
            <v>CF32 0ND</v>
          </cell>
          <cell r="J399">
            <v>37347</v>
          </cell>
        </row>
        <row r="400">
          <cell r="B400" t="str">
            <v>YES</v>
          </cell>
          <cell r="C400" t="str">
            <v>Ufton</v>
          </cell>
          <cell r="D400">
            <v>1003</v>
          </cell>
          <cell r="E400" t="str">
            <v>Biogeneration Ltd c/o BiffaWaste Services Ltd</v>
          </cell>
          <cell r="F400" t="str">
            <v>R00158RJEN</v>
          </cell>
          <cell r="G400">
            <v>1</v>
          </cell>
          <cell r="H400" t="str">
            <v>Ufton near Southam
Leamington Spa
Warwickshire
</v>
          </cell>
          <cell r="J400">
            <v>37347</v>
          </cell>
        </row>
        <row r="401">
          <cell r="B401" t="str">
            <v>YES</v>
          </cell>
          <cell r="C401" t="str">
            <v>Ulnes Walton Energy</v>
          </cell>
          <cell r="D401">
            <v>2000</v>
          </cell>
          <cell r="E401" t="str">
            <v>United Utilities Green Energy Ltd</v>
          </cell>
          <cell r="F401" t="str">
            <v>R00200RJEN</v>
          </cell>
          <cell r="G401">
            <v>1</v>
          </cell>
          <cell r="H401" t="str">
            <v>Ulnes Walton Energy, Ridley Lane, Croston, Preston</v>
          </cell>
          <cell r="I401" t="str">
            <v>PR5 7JA</v>
          </cell>
          <cell r="J401">
            <v>37347</v>
          </cell>
          <cell r="K401">
            <v>37469</v>
          </cell>
        </row>
        <row r="402">
          <cell r="B402" t="str">
            <v>YES</v>
          </cell>
          <cell r="C402" t="str">
            <v>United Mines</v>
          </cell>
          <cell r="D402">
            <v>3015</v>
          </cell>
          <cell r="E402" t="str">
            <v>United Mines Energy Ltd</v>
          </cell>
          <cell r="F402" t="str">
            <v>R00065RJEN</v>
          </cell>
          <cell r="G402">
            <v>1</v>
          </cell>
          <cell r="H402" t="str">
            <v>St Day
Redruth
Cornwall
</v>
          </cell>
          <cell r="J402">
            <v>37347</v>
          </cell>
        </row>
        <row r="403">
          <cell r="B403" t="str">
            <v>YES</v>
          </cell>
          <cell r="C403" t="str">
            <v>United Mines 2 Landfill Gas Project</v>
          </cell>
          <cell r="D403">
            <v>2100</v>
          </cell>
          <cell r="E403" t="str">
            <v>United Mines Energy Ltd</v>
          </cell>
          <cell r="F403" t="str">
            <v>R00221RJEN</v>
          </cell>
          <cell r="G403">
            <v>1</v>
          </cell>
          <cell r="H403" t="str">
            <v>St Day
Redruth
Cornwall
</v>
          </cell>
          <cell r="I403" t="str">
            <v>TR16 5HU</v>
          </cell>
          <cell r="J403">
            <v>37742</v>
          </cell>
          <cell r="K403">
            <v>37742</v>
          </cell>
        </row>
        <row r="404">
          <cell r="B404" t="str">
            <v>YES</v>
          </cell>
          <cell r="C404" t="str">
            <v>Walpole Landfill</v>
          </cell>
          <cell r="D404">
            <v>1740</v>
          </cell>
          <cell r="E404" t="str">
            <v>Summerleaze RE-Generation Ltd</v>
          </cell>
          <cell r="F404" t="str">
            <v>R00022RJEN</v>
          </cell>
          <cell r="G404">
            <v>1</v>
          </cell>
          <cell r="H404" t="str">
            <v>Pawlett
Bridgwater
Somerset
</v>
          </cell>
          <cell r="I404" t="str">
            <v>TA6 4TF</v>
          </cell>
          <cell r="J404">
            <v>37347</v>
          </cell>
        </row>
        <row r="405">
          <cell r="B405" t="str">
            <v>YES</v>
          </cell>
          <cell r="C405" t="str">
            <v>Wangford Landfill Site</v>
          </cell>
          <cell r="D405">
            <v>900</v>
          </cell>
          <cell r="E405" t="str">
            <v>United Utilities Green Energy Ltd</v>
          </cell>
          <cell r="F405" t="str">
            <v>R00143RJEN</v>
          </cell>
          <cell r="G405">
            <v>1</v>
          </cell>
          <cell r="H405" t="str">
            <v>Wangford
Beccles
Suffolk
</v>
          </cell>
          <cell r="I405" t="str">
            <v>NR34 8AR</v>
          </cell>
          <cell r="J405">
            <v>37347</v>
          </cell>
        </row>
        <row r="406">
          <cell r="B406" t="str">
            <v>YES</v>
          </cell>
          <cell r="C406" t="str">
            <v>Wapseys Wood Landfill (generation Phase 1)</v>
          </cell>
          <cell r="D406">
            <v>3562</v>
          </cell>
          <cell r="E406" t="str">
            <v>Summerleaze RE-Generation Ltd</v>
          </cell>
          <cell r="F406" t="str">
            <v>R00089RJEN</v>
          </cell>
          <cell r="G406">
            <v>1</v>
          </cell>
          <cell r="H406" t="str">
            <v>Oxford Road
Gerrards Cross
Bucks.
</v>
          </cell>
          <cell r="I406" t="str">
            <v>SL9 8TG</v>
          </cell>
          <cell r="J406">
            <v>37347</v>
          </cell>
        </row>
        <row r="407">
          <cell r="B407" t="str">
            <v>YES</v>
          </cell>
          <cell r="C407" t="str">
            <v>Wapseys Wood Landfill (generation Phase 2)</v>
          </cell>
          <cell r="D407">
            <v>2006</v>
          </cell>
          <cell r="E407" t="str">
            <v>Summerleaze RE-Generation Ltd</v>
          </cell>
          <cell r="F407" t="str">
            <v>R00023RJEN</v>
          </cell>
          <cell r="G407">
            <v>1</v>
          </cell>
          <cell r="H407" t="str">
            <v>Oxford Road
Gerrards Cross
Bucks.
</v>
          </cell>
          <cell r="I407" t="str">
            <v>SL9 8TG</v>
          </cell>
          <cell r="J407">
            <v>37347</v>
          </cell>
        </row>
        <row r="408">
          <cell r="B408" t="str">
            <v>YES</v>
          </cell>
          <cell r="C408" t="str">
            <v>Wapsey's Wood Landfill Phase 3 </v>
          </cell>
          <cell r="D408">
            <v>2096</v>
          </cell>
          <cell r="E408" t="str">
            <v>Summerleaze Limited</v>
          </cell>
          <cell r="F408" t="str">
            <v>R00446RJEN</v>
          </cell>
          <cell r="G408">
            <v>1</v>
          </cell>
          <cell r="H408" t="str">
            <v>Oxford Road, Gerrards Cross, Bucks</v>
          </cell>
          <cell r="I408" t="str">
            <v>SL9 8TG</v>
          </cell>
          <cell r="J408">
            <v>37895</v>
          </cell>
          <cell r="K408">
            <v>37887</v>
          </cell>
        </row>
        <row r="409">
          <cell r="B409" t="str">
            <v>YES</v>
          </cell>
          <cell r="C409" t="str">
            <v>Warboys Power</v>
          </cell>
          <cell r="D409">
            <v>1030</v>
          </cell>
          <cell r="E409" t="str">
            <v>Natural Power Ltd</v>
          </cell>
          <cell r="F409" t="str">
            <v>R00071RJEN</v>
          </cell>
          <cell r="G409">
            <v>1</v>
          </cell>
          <cell r="H409" t="str">
            <v>Warboys Landfill Site
Puddock Hill
Station Road
Warboys
Cambridgeshire
</v>
          </cell>
          <cell r="I409" t="str">
            <v>PE17 2TX</v>
          </cell>
          <cell r="J409">
            <v>37347</v>
          </cell>
        </row>
        <row r="410">
          <cell r="B410" t="str">
            <v>YES</v>
          </cell>
          <cell r="C410" t="str">
            <v>Warren Quarry Landfill</v>
          </cell>
          <cell r="D410">
            <v>1978</v>
          </cell>
          <cell r="E410" t="str">
            <v>United Utilities Green Energy Ltd</v>
          </cell>
          <cell r="F410" t="str">
            <v>R00013RJEN</v>
          </cell>
          <cell r="G410">
            <v>1</v>
          </cell>
          <cell r="H410" t="str">
            <v>Enderby
Enderby
Leicestershire
</v>
          </cell>
          <cell r="I410" t="str">
            <v>LE9 5AL</v>
          </cell>
          <cell r="J410">
            <v>37347</v>
          </cell>
        </row>
        <row r="411">
          <cell r="B411" t="str">
            <v>YES</v>
          </cell>
          <cell r="C411" t="str">
            <v>Waverley Wood Farm</v>
          </cell>
          <cell r="D411">
            <v>988</v>
          </cell>
          <cell r="E411" t="str">
            <v>EDL Operations (LFG1) Ltd</v>
          </cell>
          <cell r="F411" t="str">
            <v>R00094RJEN</v>
          </cell>
          <cell r="G411">
            <v>1</v>
          </cell>
          <cell r="H411" t="str">
            <v>Bubbenhall Landfill Site
Waverley Wood Farm
Weston Lane
Bubbenhall
Coventry
</v>
          </cell>
          <cell r="J411">
            <v>37347</v>
          </cell>
        </row>
        <row r="412">
          <cell r="B412" t="str">
            <v>YES</v>
          </cell>
          <cell r="C412" t="str">
            <v>Weldon Phase 1</v>
          </cell>
          <cell r="D412">
            <v>4600</v>
          </cell>
          <cell r="E412" t="str">
            <v>Shanks Waste Services Ltd</v>
          </cell>
          <cell r="F412" t="str">
            <v>R00192RJEN</v>
          </cell>
          <cell r="G412">
            <v>1</v>
          </cell>
          <cell r="H412" t="str">
            <v>Weldon Landfill, Kettering Road, Weldon, Northants</v>
          </cell>
          <cell r="I412" t="str">
            <v>NN17 3JG</v>
          </cell>
          <cell r="J412">
            <v>37347</v>
          </cell>
        </row>
        <row r="413">
          <cell r="B413" t="str">
            <v>YES</v>
          </cell>
          <cell r="C413" t="str">
            <v>West Quarry, Appley Bridge</v>
          </cell>
          <cell r="D413">
            <v>4500</v>
          </cell>
          <cell r="E413" t="str">
            <v>Wimpey Mainsprint Joint Venture, c/o Wimpey Energy Ltd</v>
          </cell>
          <cell r="F413" t="str">
            <v>R00135RJEN</v>
          </cell>
          <cell r="G413">
            <v>1</v>
          </cell>
          <cell r="H413" t="str">
            <v>Wimpey Mainsprint Joint Venture
Appley Lane North
Appley Bridge
Wigan
Lancashire
</v>
          </cell>
          <cell r="I413" t="str">
            <v>WN6 9AE</v>
          </cell>
          <cell r="J413">
            <v>37347</v>
          </cell>
        </row>
        <row r="414">
          <cell r="B414" t="str">
            <v>YES</v>
          </cell>
          <cell r="C414" t="str">
            <v>Westbury Phase II</v>
          </cell>
          <cell r="D414">
            <v>1425</v>
          </cell>
          <cell r="E414" t="str">
            <v>Viridor Waste Disposal Ltd</v>
          </cell>
          <cell r="F414" t="str">
            <v>R00138RJEN</v>
          </cell>
          <cell r="G414">
            <v>1</v>
          </cell>
          <cell r="H414" t="str">
            <v>Westbury Phase II
Towbridge Road
Westbury
Wilts
</v>
          </cell>
          <cell r="J414">
            <v>37347</v>
          </cell>
        </row>
        <row r="415">
          <cell r="B415" t="str">
            <v>YES</v>
          </cell>
          <cell r="C415" t="str">
            <v>Westbury Power Plant</v>
          </cell>
          <cell r="D415">
            <v>1189</v>
          </cell>
          <cell r="E415" t="str">
            <v>Viridor Waste Management</v>
          </cell>
          <cell r="F415" t="str">
            <v>R00109RJEN</v>
          </cell>
          <cell r="G415">
            <v>1</v>
          </cell>
          <cell r="H415" t="str">
            <v>Trowbridge Road
Westbury
Wiltshire
</v>
          </cell>
          <cell r="J415">
            <v>37347</v>
          </cell>
        </row>
        <row r="416">
          <cell r="B416" t="str">
            <v>YES</v>
          </cell>
          <cell r="C416" t="str">
            <v>Wetherden Landfill Gas Project</v>
          </cell>
          <cell r="D416">
            <v>620</v>
          </cell>
          <cell r="E416" t="str">
            <v>Wetherden Energy Ltd</v>
          </cell>
          <cell r="F416" t="str">
            <v>R00066RJEN</v>
          </cell>
          <cell r="G416">
            <v>1</v>
          </cell>
          <cell r="H416" t="str">
            <v>Warren Farm
Wetherden
Stowmarket
Suffolk
</v>
          </cell>
          <cell r="J416">
            <v>37347</v>
          </cell>
        </row>
        <row r="417">
          <cell r="B417" t="str">
            <v>YES</v>
          </cell>
          <cell r="C417" t="str">
            <v>Whinney Hill Landfill Gas</v>
          </cell>
          <cell r="D417">
            <v>2850</v>
          </cell>
          <cell r="E417" t="str">
            <v>Whinney Hill Energy Ltd</v>
          </cell>
          <cell r="F417" t="str">
            <v>R00067RJEN</v>
          </cell>
          <cell r="G417">
            <v>1</v>
          </cell>
          <cell r="H417" t="str">
            <v>Whinney Hill Road
Altham
Acrington
</v>
          </cell>
          <cell r="J417">
            <v>37347</v>
          </cell>
        </row>
        <row r="418">
          <cell r="B418" t="str">
            <v>YES</v>
          </cell>
          <cell r="C418" t="str">
            <v>Whitehead</v>
          </cell>
          <cell r="D418">
            <v>2300</v>
          </cell>
          <cell r="E418" t="str">
            <v>Viridor Waste Exeter Ltd</v>
          </cell>
          <cell r="F418" t="str">
            <v>R00198RJEN</v>
          </cell>
          <cell r="G418">
            <v>1</v>
          </cell>
          <cell r="H418" t="str">
            <v>Whitehead, Lower Green Lane, Astley, Manchester</v>
          </cell>
          <cell r="I418" t="str">
            <v>M29 7JZ</v>
          </cell>
          <cell r="J418">
            <v>37500</v>
          </cell>
          <cell r="K418">
            <v>37469</v>
          </cell>
        </row>
        <row r="419">
          <cell r="B419" t="str">
            <v>YES</v>
          </cell>
          <cell r="C419" t="str">
            <v>Whites Pitt</v>
          </cell>
          <cell r="D419">
            <v>6916</v>
          </cell>
          <cell r="E419" t="str">
            <v>Canford Renewable Energy Ltd</v>
          </cell>
          <cell r="F419" t="str">
            <v>R00155RJEN</v>
          </cell>
          <cell r="G419">
            <v>1</v>
          </cell>
          <cell r="H419" t="str">
            <v>Magna Road
Canford
Magna
Wimbourne
Dorset
</v>
          </cell>
          <cell r="J419">
            <v>37347</v>
          </cell>
        </row>
        <row r="420">
          <cell r="B420" t="str">
            <v>YES</v>
          </cell>
          <cell r="C420" t="str">
            <v>Wilnecote Landfill Site</v>
          </cell>
          <cell r="D420">
            <v>2006</v>
          </cell>
          <cell r="E420" t="str">
            <v>Biogeneration Ltd c/o BiffaWaste Services Ltd</v>
          </cell>
          <cell r="F420" t="str">
            <v>R00164RJEN</v>
          </cell>
          <cell r="G420">
            <v>1</v>
          </cell>
          <cell r="H420" t="str">
            <v>Rush Lane
Dosthill
Tamworth
Staffordshire
</v>
          </cell>
          <cell r="J420">
            <v>37347</v>
          </cell>
        </row>
        <row r="421">
          <cell r="B421" t="str">
            <v>YES</v>
          </cell>
          <cell r="C421" t="str">
            <v>Windmill Quarry Gas to Energy</v>
          </cell>
          <cell r="D421">
            <v>5125</v>
          </cell>
          <cell r="E421" t="str">
            <v>UK Waste Management Ltd c/o Biffa Environmental Technology</v>
          </cell>
          <cell r="F421" t="str">
            <v>R00163RJEN</v>
          </cell>
          <cell r="G421">
            <v>1</v>
          </cell>
          <cell r="H421" t="str">
            <v>The Hollow
Washington
Near Pulborough
Surrey
</v>
          </cell>
          <cell r="J421">
            <v>37347</v>
          </cell>
        </row>
        <row r="422">
          <cell r="B422" t="str">
            <v>YES</v>
          </cell>
          <cell r="C422" t="str">
            <v>Wingmoor Landfill</v>
          </cell>
          <cell r="D422">
            <v>2766</v>
          </cell>
          <cell r="E422" t="str">
            <v>Summerleaze RE-Generation Ltd</v>
          </cell>
          <cell r="F422" t="str">
            <v>R00017RJEN</v>
          </cell>
          <cell r="G422">
            <v>1</v>
          </cell>
          <cell r="H422" t="str">
            <v>Stoke Orchard
nr Bishop Cleeve
Cheltenham
Gloucs.
</v>
          </cell>
          <cell r="I422" t="str">
            <v>GL52 4RY</v>
          </cell>
          <cell r="J422">
            <v>37347</v>
          </cell>
        </row>
        <row r="423">
          <cell r="B423" t="str">
            <v>YES</v>
          </cell>
          <cell r="C423" t="str">
            <v>Winterton</v>
          </cell>
          <cell r="D423">
            <v>2964</v>
          </cell>
          <cell r="E423" t="str">
            <v>Winterton Power Ltd</v>
          </cell>
          <cell r="F423" t="str">
            <v>R00104RJEN</v>
          </cell>
          <cell r="G423">
            <v>1</v>
          </cell>
          <cell r="H423" t="str">
            <v>Caoleby Road
West Malton
South Humberside
</v>
          </cell>
          <cell r="J423">
            <v>37347</v>
          </cell>
        </row>
        <row r="424">
          <cell r="B424" t="str">
            <v>YES</v>
          </cell>
          <cell r="C424" t="str">
            <v>Withnell Generation Station</v>
          </cell>
          <cell r="D424">
            <v>2250</v>
          </cell>
          <cell r="E424" t="str">
            <v>Biffa Waste Services Ltd</v>
          </cell>
          <cell r="F424" t="str">
            <v>R00169RJEN</v>
          </cell>
          <cell r="G424">
            <v>1</v>
          </cell>
          <cell r="H424" t="str">
            <v>Biffa Waste Services
Bolton Road
Withnell
Chorley
Lancashire
</v>
          </cell>
          <cell r="I424" t="str">
            <v>AR6 8BT</v>
          </cell>
          <cell r="J424">
            <v>37347</v>
          </cell>
        </row>
        <row r="425">
          <cell r="B425" t="str">
            <v>YES</v>
          </cell>
          <cell r="C425" t="str">
            <v>Witton</v>
          </cell>
          <cell r="D425">
            <v>1000</v>
          </cell>
          <cell r="E425" t="str">
            <v>Gengas Ltd</v>
          </cell>
          <cell r="F425" t="str">
            <v>R00044RJEN</v>
          </cell>
          <cell r="G425">
            <v>1</v>
          </cell>
          <cell r="H425" t="str">
            <v>Witton Landfill Site
Old Warrington Road
Off Leicester Street
Northwich
Cheshire
</v>
          </cell>
          <cell r="J425">
            <v>37347</v>
          </cell>
        </row>
        <row r="426">
          <cell r="B426" t="str">
            <v>YES</v>
          </cell>
          <cell r="C426" t="str">
            <v>Wootton</v>
          </cell>
          <cell r="D426">
            <v>2000</v>
          </cell>
          <cell r="E426" t="str">
            <v>Viridor Waste Exeter Ltd</v>
          </cell>
          <cell r="F426" t="str">
            <v>R00434RJEN</v>
          </cell>
          <cell r="G426">
            <v>1</v>
          </cell>
          <cell r="H426" t="str">
            <v>A508 Southbound, Collingtree, Northampton</v>
          </cell>
          <cell r="I426" t="str">
            <v>NN4 0LY</v>
          </cell>
          <cell r="J426">
            <v>37803</v>
          </cell>
          <cell r="K426">
            <v>37773</v>
          </cell>
        </row>
        <row r="427">
          <cell r="B427" t="str">
            <v>YES</v>
          </cell>
          <cell r="C427" t="str">
            <v>Yanley</v>
          </cell>
          <cell r="D427">
            <v>1561</v>
          </cell>
          <cell r="E427" t="str">
            <v>Viridor Waste Management</v>
          </cell>
          <cell r="F427" t="str">
            <v>R00106RJEN</v>
          </cell>
          <cell r="G427">
            <v>1</v>
          </cell>
          <cell r="H427" t="str">
            <v>Bridgewater Road
Bristol
</v>
          </cell>
          <cell r="J427">
            <v>37347</v>
          </cell>
        </row>
        <row r="428">
          <cell r="B428" t="str">
            <v>YES</v>
          </cell>
          <cell r="C428" t="str">
            <v>Yanley Phase II</v>
          </cell>
          <cell r="D428">
            <v>580</v>
          </cell>
          <cell r="E428" t="str">
            <v>Viridor Waste Management</v>
          </cell>
          <cell r="F428" t="str">
            <v>R00105RJEN</v>
          </cell>
          <cell r="G428">
            <v>1</v>
          </cell>
          <cell r="H428" t="str">
            <v>Bridgewater Road
Bristol
</v>
          </cell>
          <cell r="J428">
            <v>37347</v>
          </cell>
        </row>
        <row r="429">
          <cell r="B429" t="str">
            <v>YES</v>
          </cell>
          <cell r="C429" t="str">
            <v>Auchencarroch Gas Project</v>
          </cell>
          <cell r="D429">
            <v>1976</v>
          </cell>
          <cell r="E429" t="str">
            <v>Auchencarroch Energy Ltd</v>
          </cell>
          <cell r="F429" t="str">
            <v>R00006SJSC</v>
          </cell>
          <cell r="G429">
            <v>1</v>
          </cell>
          <cell r="H429" t="str">
            <v>Auchencarroch Gas Project, Auchencarroch Landfill Site, Auchencarroch Road, Jamestown, Alexandria, Nr Dunbarton</v>
          </cell>
          <cell r="I429" t="str">
            <v>G83 9EY</v>
          </cell>
          <cell r="J429">
            <v>37347</v>
          </cell>
          <cell r="K429">
            <v>37500</v>
          </cell>
        </row>
        <row r="430">
          <cell r="B430" t="str">
            <v>YES</v>
          </cell>
          <cell r="C430" t="str">
            <v>Auchinlea Landfill Site</v>
          </cell>
          <cell r="D430">
            <v>1030</v>
          </cell>
          <cell r="E430" t="str">
            <v>Natural Power Ltd</v>
          </cell>
          <cell r="F430" t="str">
            <v>R00008SJSC</v>
          </cell>
          <cell r="G430">
            <v>1</v>
          </cell>
          <cell r="H430" t="str">
            <v>Auchinlea Landfill Site, Carlisle Road, Cleland, Motherwell, Lanarkshire</v>
          </cell>
          <cell r="I430" t="str">
            <v>ML1 5LR</v>
          </cell>
          <cell r="J430">
            <v>37561</v>
          </cell>
          <cell r="K430">
            <v>37530</v>
          </cell>
        </row>
        <row r="431">
          <cell r="B431" t="str">
            <v>YES</v>
          </cell>
          <cell r="C431" t="str">
            <v>Craignaught Landfill Site</v>
          </cell>
          <cell r="D431">
            <v>2300</v>
          </cell>
          <cell r="E431" t="str">
            <v>Natural Power Ltd</v>
          </cell>
          <cell r="F431" t="str">
            <v>R00009SJSC</v>
          </cell>
          <cell r="G431">
            <v>1</v>
          </cell>
          <cell r="H431" t="str">
            <v>Craignaught Landfill Site, Dunlop, Ayreshire, Scotland</v>
          </cell>
          <cell r="I431" t="str">
            <v>KA3 4EH</v>
          </cell>
          <cell r="J431">
            <v>37561</v>
          </cell>
          <cell r="K431">
            <v>37530</v>
          </cell>
        </row>
        <row r="432">
          <cell r="B432" t="str">
            <v>YES</v>
          </cell>
          <cell r="C432" t="str">
            <v>Dalmacoulter Landfill Site</v>
          </cell>
          <cell r="D432">
            <v>1030</v>
          </cell>
          <cell r="E432" t="str">
            <v>Natural Power Ltd</v>
          </cell>
          <cell r="F432" t="str">
            <v>R00007SJSC</v>
          </cell>
          <cell r="G432">
            <v>1</v>
          </cell>
          <cell r="H432" t="str">
            <v>Dalmacoulter Landfill Site, Stirling Road, Airdrie, Strathclyde, Scotland</v>
          </cell>
          <cell r="I432" t="str">
            <v>ML6 7SP</v>
          </cell>
          <cell r="J432">
            <v>37530</v>
          </cell>
          <cell r="K432">
            <v>37530</v>
          </cell>
        </row>
        <row r="433">
          <cell r="B433" t="str">
            <v>YES</v>
          </cell>
          <cell r="C433" t="str">
            <v>Greengairs phase 1&amp; 2</v>
          </cell>
          <cell r="D433">
            <v>3952</v>
          </cell>
          <cell r="E433" t="str">
            <v>Shanks &amp; McEwan Northern</v>
          </cell>
          <cell r="F433" t="str">
            <v>R00002SJSC</v>
          </cell>
          <cell r="G433">
            <v>1</v>
          </cell>
          <cell r="H433" t="str">
            <v>Greengairs Landfill Site Phase 1 &amp; 2
400 Greengairs Road
Greengairs
North Lanarkshire
</v>
          </cell>
          <cell r="J433">
            <v>37347</v>
          </cell>
        </row>
        <row r="434">
          <cell r="B434" t="str">
            <v>YES</v>
          </cell>
          <cell r="C434" t="str">
            <v>Greengairs phase 3 &amp; 4</v>
          </cell>
          <cell r="D434">
            <v>4000</v>
          </cell>
          <cell r="E434" t="str">
            <v>Shanks &amp; McEwan Northern</v>
          </cell>
          <cell r="F434" t="str">
            <v>R00004SJSC</v>
          </cell>
          <cell r="G434">
            <v>1</v>
          </cell>
          <cell r="H434" t="str">
            <v>Greengairs Landfill Site Phase 3 &amp; 4
400 Greengairs Road
Greengairs
North Lanarkshire
</v>
          </cell>
          <cell r="J434">
            <v>37347</v>
          </cell>
        </row>
        <row r="435">
          <cell r="B435" t="str">
            <v>YES</v>
          </cell>
          <cell r="C435" t="str">
            <v>Kaimes - SRO 3</v>
          </cell>
          <cell r="D435">
            <v>2600</v>
          </cell>
          <cell r="E435" t="str">
            <v>Waste Recycling Group</v>
          </cell>
          <cell r="F435" t="str">
            <v>R00010SJSC</v>
          </cell>
          <cell r="G435">
            <v>1</v>
          </cell>
          <cell r="H435" t="str">
            <v>Waste Recycling Group, Waste to Energy Plant, Kaimes Landfill Site, Kirknewton, Edinburgh</v>
          </cell>
          <cell r="I435" t="str">
            <v>EH27 8EF</v>
          </cell>
          <cell r="J435">
            <v>37622</v>
          </cell>
          <cell r="K435">
            <v>37622</v>
          </cell>
        </row>
        <row r="436">
          <cell r="B436" t="str">
            <v>YES</v>
          </cell>
          <cell r="C436" t="str">
            <v>Melville</v>
          </cell>
          <cell r="D436">
            <v>1150</v>
          </cell>
          <cell r="E436" t="str">
            <v>Natural Power Ltd</v>
          </cell>
          <cell r="F436" t="str">
            <v>R00003SJSC</v>
          </cell>
          <cell r="G436">
            <v>1</v>
          </cell>
          <cell r="H436" t="str">
            <v>Melville Power
Melville Landfill Site
Lasswade Road
</v>
          </cell>
          <cell r="I436" t="str">
            <v>EH18 1H</v>
          </cell>
          <cell r="J436">
            <v>37347</v>
          </cell>
        </row>
        <row r="437">
          <cell r="B437" t="str">
            <v>YES</v>
          </cell>
          <cell r="C437" t="str">
            <v>Summerston Landfill Site</v>
          </cell>
          <cell r="D437">
            <v>2850</v>
          </cell>
          <cell r="E437" t="str">
            <v>Summerston Energy Ltd</v>
          </cell>
          <cell r="F437" t="str">
            <v>R00005SJSC</v>
          </cell>
          <cell r="G437">
            <v>1</v>
          </cell>
          <cell r="H437" t="str">
            <v>Balmore Road, Glasgow</v>
          </cell>
          <cell r="J437">
            <v>37347</v>
          </cell>
        </row>
        <row r="438">
          <cell r="B438" t="str">
            <v>YES</v>
          </cell>
          <cell r="C438" t="str">
            <v>Summerston 2 Landfill Site</v>
          </cell>
          <cell r="D438">
            <v>2100</v>
          </cell>
          <cell r="E438" t="str">
            <v>Summerston Energy Ltd</v>
          </cell>
          <cell r="F438" t="str">
            <v>R00011SJSC</v>
          </cell>
          <cell r="G438">
            <v>1</v>
          </cell>
          <cell r="H438" t="str">
            <v>Balmore Road, Glasgow</v>
          </cell>
          <cell r="I438" t="str">
            <v>G23 5HD</v>
          </cell>
          <cell r="J438">
            <v>37742</v>
          </cell>
          <cell r="K438">
            <v>37742</v>
          </cell>
        </row>
        <row r="439">
          <cell r="B439" t="str">
            <v>YES</v>
          </cell>
          <cell r="C439" t="str">
            <v>SRO Wellbank Gas to Energy</v>
          </cell>
          <cell r="D439">
            <v>1003</v>
          </cell>
          <cell r="E439" t="str">
            <v>BIFFA Waste Services Ltd</v>
          </cell>
          <cell r="F439" t="str">
            <v>R00022SJSC</v>
          </cell>
          <cell r="G439">
            <v>1</v>
          </cell>
          <cell r="H439" t="str">
            <v>Wellbank Landfill Site, Wellbank, Dundee</v>
          </cell>
          <cell r="I439" t="str">
            <v>DD5 3QF</v>
          </cell>
          <cell r="J439">
            <v>37773</v>
          </cell>
          <cell r="K439">
            <v>37874</v>
          </cell>
        </row>
        <row r="440">
          <cell r="D440">
            <v>247</v>
          </cell>
          <cell r="G440">
            <v>0</v>
          </cell>
        </row>
        <row r="441">
          <cell r="D441">
            <v>561535</v>
          </cell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B444" t="str">
            <v>YES</v>
          </cell>
          <cell r="C444" t="str">
            <v>Blyth Offshore Wind Farm WTG 1</v>
          </cell>
          <cell r="D444">
            <v>1800</v>
          </cell>
          <cell r="E444" t="str">
            <v>Border Wind Farms Ltd</v>
          </cell>
          <cell r="F444" t="str">
            <v>R00001RPEN</v>
          </cell>
          <cell r="G444">
            <v>1</v>
          </cell>
          <cell r="H444" t="str">
            <v>Blyth Harbour
Blyth
Northumberland
</v>
          </cell>
          <cell r="J444">
            <v>37347</v>
          </cell>
        </row>
        <row r="445">
          <cell r="B445" t="str">
            <v>YES</v>
          </cell>
          <cell r="C445" t="str">
            <v>Blyth Offshore Wind Turbine WTG 2</v>
          </cell>
          <cell r="D445">
            <v>2000</v>
          </cell>
          <cell r="E445" t="str">
            <v>Blyth Offshore Wind Ltd</v>
          </cell>
          <cell r="F445" t="str">
            <v>R00002RPEN</v>
          </cell>
          <cell r="G445">
            <v>1</v>
          </cell>
          <cell r="H445" t="str">
            <v>Blyth Harbour
Blyth
Northumberland
</v>
          </cell>
          <cell r="J445">
            <v>37347</v>
          </cell>
        </row>
        <row r="446">
          <cell r="C446" t="str">
            <v>TOTAL NUMBER OF CCL STATIONS</v>
          </cell>
          <cell r="D446">
            <v>2</v>
          </cell>
          <cell r="G446">
            <v>0</v>
          </cell>
        </row>
        <row r="447">
          <cell r="C447" t="str">
            <v>TOTAL INSTALLED CCL GENERATING CAPACITY (kW)</v>
          </cell>
          <cell r="D447">
            <v>3800</v>
          </cell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B450" t="str">
            <v>YES</v>
          </cell>
          <cell r="C450" t="str">
            <v>Bears Down Reservoir</v>
          </cell>
          <cell r="D450">
            <v>9600</v>
          </cell>
          <cell r="E450" t="str">
            <v>National Wind Power Ltd</v>
          </cell>
          <cell r="F450" t="str">
            <v>R00052RQEN</v>
          </cell>
          <cell r="G450">
            <v>1</v>
          </cell>
          <cell r="H450" t="str">
            <v>Bears Down Service Resevoir
St Ervan
Cornwall
</v>
          </cell>
          <cell r="J450">
            <v>37347</v>
          </cell>
        </row>
        <row r="451">
          <cell r="B451" t="str">
            <v>YES</v>
          </cell>
          <cell r="C451" t="str">
            <v>Blaen Bowi Windcluster</v>
          </cell>
          <cell r="D451">
            <v>3900</v>
          </cell>
          <cell r="E451" t="str">
            <v>Windjen Power Ltd</v>
          </cell>
          <cell r="F451" t="str">
            <v>R00056RQWA</v>
          </cell>
          <cell r="G451">
            <v>1</v>
          </cell>
          <cell r="H451" t="str">
            <v>Blaen Bowi Windcluster, Moelfre, Capel Iwan, Dyfed</v>
          </cell>
          <cell r="J451">
            <v>37347</v>
          </cell>
        </row>
        <row r="452">
          <cell r="B452" t="str">
            <v>YES</v>
          </cell>
          <cell r="C452" t="str">
            <v>Blood Hill Wind Farm</v>
          </cell>
          <cell r="D452">
            <v>2250</v>
          </cell>
          <cell r="E452" t="str">
            <v>Powergen Renewables Ltd</v>
          </cell>
          <cell r="F452" t="str">
            <v>R00041RQEN</v>
          </cell>
          <cell r="G452">
            <v>1</v>
          </cell>
          <cell r="H452" t="str">
            <v>East Somerton
East Somerton
Norfolk
</v>
          </cell>
          <cell r="J452">
            <v>37347</v>
          </cell>
        </row>
        <row r="453">
          <cell r="B453" t="str">
            <v>YES</v>
          </cell>
          <cell r="C453" t="str">
            <v>Blood Hill Wind Turbine</v>
          </cell>
          <cell r="D453">
            <v>1800</v>
          </cell>
          <cell r="E453" t="str">
            <v>Somerton Wind Park Ltd</v>
          </cell>
          <cell r="F453" t="str">
            <v>R00029RQEN</v>
          </cell>
          <cell r="G453">
            <v>1</v>
          </cell>
          <cell r="H453" t="str">
            <v>Somerton
Great Yarmouth
</v>
          </cell>
          <cell r="J453">
            <v>37347</v>
          </cell>
        </row>
        <row r="454">
          <cell r="B454" t="str">
            <v>YES</v>
          </cell>
          <cell r="C454" t="str">
            <v>Blyth Harbour Wind Farm</v>
          </cell>
          <cell r="D454">
            <v>2700</v>
          </cell>
          <cell r="E454" t="str">
            <v>Blyth Harbour Wind Farm Company Ltd</v>
          </cell>
          <cell r="F454" t="str">
            <v>R00062RQEN</v>
          </cell>
          <cell r="G454">
            <v>1</v>
          </cell>
          <cell r="H454" t="str">
            <v>East Pier, Blyth Harbour, Northumberland</v>
          </cell>
          <cell r="J454">
            <v>37347</v>
          </cell>
          <cell r="K454">
            <v>37591</v>
          </cell>
        </row>
        <row r="455">
          <cell r="B455" t="str">
            <v>YES</v>
          </cell>
          <cell r="C455" t="str">
            <v>Bryn Titli Wind Farm</v>
          </cell>
          <cell r="D455">
            <v>9900</v>
          </cell>
          <cell r="E455" t="str">
            <v>National Wind Power Ltd</v>
          </cell>
          <cell r="F455" t="str">
            <v>R00023RQWA</v>
          </cell>
          <cell r="G455">
            <v>1</v>
          </cell>
          <cell r="H455" t="str">
            <v>Pen T
Rhiw Farm
Rhayader
Powys
</v>
          </cell>
          <cell r="J455">
            <v>37347</v>
          </cell>
        </row>
        <row r="456">
          <cell r="B456" t="str">
            <v>YES</v>
          </cell>
          <cell r="C456" t="str">
            <v>Carland Cross Windfarm</v>
          </cell>
          <cell r="D456">
            <v>6000</v>
          </cell>
          <cell r="E456" t="str">
            <v>Carland Cross Ltd, C/o Western Power Distribution</v>
          </cell>
          <cell r="F456" t="str">
            <v>R00024RQEN</v>
          </cell>
          <cell r="G456">
            <v>1</v>
          </cell>
          <cell r="H456" t="str">
            <v>Mitchell
Nr Truro
Cornwall
</v>
          </cell>
          <cell r="J456">
            <v>37347</v>
          </cell>
        </row>
        <row r="457">
          <cell r="B457" t="str">
            <v>YES</v>
          </cell>
          <cell r="C457" t="str">
            <v>Carno A Wind Farm</v>
          </cell>
          <cell r="D457">
            <v>16800</v>
          </cell>
          <cell r="E457" t="str">
            <v>National Wind Power Ltd</v>
          </cell>
          <cell r="F457" t="str">
            <v>R00047RQWA</v>
          </cell>
          <cell r="G457">
            <v>1</v>
          </cell>
          <cell r="H457" t="str">
            <v>Carno
Carno
Powys
</v>
          </cell>
          <cell r="J457">
            <v>37347</v>
          </cell>
        </row>
        <row r="458">
          <cell r="B458" t="str">
            <v>YES</v>
          </cell>
          <cell r="C458" t="str">
            <v>Carno B Wind Farm</v>
          </cell>
          <cell r="D458">
            <v>16800</v>
          </cell>
          <cell r="E458" t="str">
            <v>National Wind Power Ltd</v>
          </cell>
          <cell r="F458" t="str">
            <v>R00046RQWA</v>
          </cell>
          <cell r="G458">
            <v>1</v>
          </cell>
          <cell r="H458" t="str">
            <v>Carno
Carno
Powys
</v>
          </cell>
          <cell r="J458">
            <v>37347</v>
          </cell>
        </row>
        <row r="459">
          <cell r="B459" t="str">
            <v>YES</v>
          </cell>
          <cell r="C459" t="str">
            <v>Cassop Primary School</v>
          </cell>
          <cell r="D459">
            <v>50</v>
          </cell>
          <cell r="E459" t="str">
            <v>Durham County Council</v>
          </cell>
          <cell r="F459" t="str">
            <v>R00057RQEN</v>
          </cell>
          <cell r="G459">
            <v>1</v>
          </cell>
          <cell r="H459" t="str">
            <v>Cassop Primary School, School Field, Cassop, Durham</v>
          </cell>
          <cell r="I459" t="str">
            <v>DH6 4RA</v>
          </cell>
          <cell r="J459">
            <v>37347</v>
          </cell>
          <cell r="K459">
            <v>37469</v>
          </cell>
        </row>
        <row r="460">
          <cell r="B460" t="str">
            <v>YES</v>
          </cell>
          <cell r="C460" t="str">
            <v>Catchgate Primary School</v>
          </cell>
          <cell r="D460">
            <v>20</v>
          </cell>
          <cell r="E460" t="str">
            <v>Durham County Council</v>
          </cell>
          <cell r="F460" t="str">
            <v>R00129RQEN</v>
          </cell>
          <cell r="G460">
            <v>1</v>
          </cell>
          <cell r="H460" t="str">
            <v>Blackett Street, Catchgate, Annfield Plain, Stanley, Co Durham.</v>
          </cell>
          <cell r="I460" t="str">
            <v>DH9 8LX</v>
          </cell>
          <cell r="J460">
            <v>37841</v>
          </cell>
        </row>
        <row r="461">
          <cell r="B461" t="str">
            <v>YES</v>
          </cell>
          <cell r="C461" t="str">
            <v>Caton Moor Wind Farm</v>
          </cell>
          <cell r="D461">
            <v>3000</v>
          </cell>
          <cell r="E461" t="str">
            <v>The New World Power Company (Caton Moor) Ltd</v>
          </cell>
          <cell r="F461" t="str">
            <v>R00043RQEN</v>
          </cell>
          <cell r="G461">
            <v>1</v>
          </cell>
          <cell r="H461" t="str">
            <v>Caton Moor
Quarry House Farm
Brook House
Caton
</v>
          </cell>
          <cell r="J461">
            <v>37347</v>
          </cell>
        </row>
        <row r="462">
          <cell r="B462" t="str">
            <v>YES</v>
          </cell>
          <cell r="C462" t="str">
            <v>Centre for Alternative Technology</v>
          </cell>
          <cell r="D462">
            <v>88</v>
          </cell>
          <cell r="E462" t="str">
            <v>Centre for Alternative Technology plc</v>
          </cell>
          <cell r="F462" t="str">
            <v>R00061RQWA</v>
          </cell>
          <cell r="G462">
            <v>1</v>
          </cell>
          <cell r="H462" t="str">
            <v>CAT, Llwyngwern Quarry, Pantpethog, Machynlleth, Powys</v>
          </cell>
          <cell r="I462" t="str">
            <v>SY20 9AZ</v>
          </cell>
          <cell r="J462">
            <v>37530</v>
          </cell>
          <cell r="K462">
            <v>37561</v>
          </cell>
        </row>
        <row r="463">
          <cell r="B463" t="str">
            <v>YES</v>
          </cell>
          <cell r="C463" t="str">
            <v>Cemmaes B</v>
          </cell>
          <cell r="D463">
            <v>3400</v>
          </cell>
          <cell r="E463" t="str">
            <v>Cemmaes Windfarm Ltd</v>
          </cell>
          <cell r="F463" t="str">
            <v>R00004RQWA</v>
          </cell>
          <cell r="G463">
            <v>1</v>
          </cell>
          <cell r="H463" t="str">
            <v>Montgomeryshire
Powys
</v>
          </cell>
          <cell r="J463">
            <v>37347</v>
          </cell>
        </row>
        <row r="464">
          <cell r="B464" t="str">
            <v>YES</v>
          </cell>
          <cell r="C464" t="str">
            <v>Cemmaes C Windfarm</v>
          </cell>
          <cell r="D464">
            <v>11900</v>
          </cell>
          <cell r="E464" t="str">
            <v>Cemmaes Windfarm Ltd</v>
          </cell>
          <cell r="F464" t="str">
            <v>R00015RQWA</v>
          </cell>
          <cell r="G464">
            <v>1</v>
          </cell>
          <cell r="H464" t="str">
            <v>Cemmaes Village
Powys
on top of Mynydd y Cemmaes ridgeline
</v>
          </cell>
          <cell r="I464" t="str">
            <v>SY20</v>
          </cell>
          <cell r="J464">
            <v>37347</v>
          </cell>
        </row>
        <row r="465">
          <cell r="B465" t="str">
            <v>YES</v>
          </cell>
          <cell r="C465" t="str">
            <v>Coal Clough Windfarm</v>
          </cell>
          <cell r="D465">
            <v>9600</v>
          </cell>
          <cell r="E465" t="str">
            <v>Coal Clough Ltd</v>
          </cell>
          <cell r="F465" t="str">
            <v>R00045RQEN</v>
          </cell>
          <cell r="G465">
            <v>1</v>
          </cell>
          <cell r="H465" t="str">
            <v>Cornholme
Nr Burnley
West Yorkshire
</v>
          </cell>
          <cell r="J465">
            <v>37347</v>
          </cell>
        </row>
        <row r="466">
          <cell r="B466" t="str">
            <v>YES</v>
          </cell>
          <cell r="C466" t="str">
            <v>Cold Northcott Windfarm</v>
          </cell>
          <cell r="D466">
            <v>6800</v>
          </cell>
          <cell r="E466" t="str">
            <v>Cold Northcott Windfarm Ltd</v>
          </cell>
          <cell r="F466" t="str">
            <v>R00005RQEN</v>
          </cell>
          <cell r="G466">
            <v>1</v>
          </cell>
          <cell r="H466" t="str">
            <v>St Clether
Launceston
Cornwall
</v>
          </cell>
          <cell r="I466" t="str">
            <v>PL15 8PR</v>
          </cell>
          <cell r="J466">
            <v>37347</v>
          </cell>
        </row>
        <row r="467">
          <cell r="B467" t="str">
            <v>YES</v>
          </cell>
          <cell r="C467" t="str">
            <v>Delabole</v>
          </cell>
          <cell r="D467">
            <v>4000</v>
          </cell>
          <cell r="E467" t="str">
            <v>Windelectric Ltd</v>
          </cell>
          <cell r="F467" t="str">
            <v>R00054RQEN</v>
          </cell>
          <cell r="G467">
            <v>1</v>
          </cell>
          <cell r="H467" t="str">
            <v>Windelectric Ltd
Deli
Delabole
Cornwall
</v>
          </cell>
          <cell r="I467" t="str">
            <v>PL33 9BZ</v>
          </cell>
          <cell r="J467">
            <v>37347</v>
          </cell>
        </row>
        <row r="468">
          <cell r="B468" t="str">
            <v>YES</v>
          </cell>
          <cell r="C468" t="str">
            <v>Dyffryn Brodyn Wind Farm</v>
          </cell>
          <cell r="D468">
            <v>5500</v>
          </cell>
          <cell r="E468" t="str">
            <v>Dyfryn Brodyn Wind Farm Ltd</v>
          </cell>
          <cell r="F468" t="str">
            <v>R00003RQWA</v>
          </cell>
          <cell r="G468">
            <v>1</v>
          </cell>
          <cell r="H468" t="str">
            <v>Blaenwaun
St Cleans
Carmarthenshire
</v>
          </cell>
          <cell r="I468" t="str">
            <v>SA34</v>
          </cell>
          <cell r="J468">
            <v>37347</v>
          </cell>
        </row>
        <row r="469">
          <cell r="B469" t="str">
            <v>YES</v>
          </cell>
          <cell r="C469" t="str">
            <v>East Town End Farm</v>
          </cell>
          <cell r="D469">
            <v>1980</v>
          </cell>
          <cell r="E469" t="str">
            <v>K/S Winscales</v>
          </cell>
          <cell r="F469" t="str">
            <v>R00014RQEN</v>
          </cell>
          <cell r="G469">
            <v>1</v>
          </cell>
          <cell r="H469" t="str">
            <v>Winscales
Near Workington
Cumbria
</v>
          </cell>
          <cell r="J469">
            <v>37347</v>
          </cell>
        </row>
        <row r="470">
          <cell r="B470" t="str">
            <v>YES</v>
          </cell>
          <cell r="C470" t="str">
            <v>Ecotech Wind Turbine Generator</v>
          </cell>
          <cell r="D470">
            <v>1500</v>
          </cell>
          <cell r="E470" t="str">
            <v>Ecotech Wind Park Ltd</v>
          </cell>
          <cell r="F470" t="str">
            <v>R00027RQEN</v>
          </cell>
          <cell r="G470">
            <v>1</v>
          </cell>
          <cell r="H470" t="str">
            <v>East of West Acre Rd.
Swaffham
Norfolk
</v>
          </cell>
          <cell r="J470">
            <v>37347</v>
          </cell>
        </row>
        <row r="471">
          <cell r="B471" t="str">
            <v>YES</v>
          </cell>
          <cell r="C471" t="str">
            <v>Faccombe Estates</v>
          </cell>
          <cell r="D471">
            <v>300</v>
          </cell>
          <cell r="E471" t="str">
            <v>Faccombe Estates Ltd</v>
          </cell>
          <cell r="F471" t="str">
            <v>R00064RQEN</v>
          </cell>
          <cell r="G471">
            <v>1</v>
          </cell>
          <cell r="H471" t="str">
            <v>Faccombe Estates, c/o The Estate Office, Faccombe, Andover, Hampshire</v>
          </cell>
          <cell r="I471" t="str">
            <v>SP11 0DS</v>
          </cell>
          <cell r="J471">
            <v>37622</v>
          </cell>
          <cell r="K471">
            <v>37681</v>
          </cell>
        </row>
        <row r="472">
          <cell r="B472" t="str">
            <v>YES</v>
          </cell>
          <cell r="C472" t="str">
            <v>Far Old Park Farm</v>
          </cell>
          <cell r="D472">
            <v>4620</v>
          </cell>
          <cell r="E472" t="str">
            <v>Powergen Renewables Ltd</v>
          </cell>
          <cell r="F472" t="str">
            <v>R00006RQEN</v>
          </cell>
          <cell r="G472">
            <v>1</v>
          </cell>
          <cell r="H472" t="str">
            <v>Irereth
Askam in Furness
Cumbria
</v>
          </cell>
          <cell r="J472">
            <v>37347</v>
          </cell>
        </row>
        <row r="473">
          <cell r="B473" t="str">
            <v>YES</v>
          </cell>
          <cell r="C473" t="str">
            <v>Four Burrows Wind Farm</v>
          </cell>
          <cell r="D473">
            <v>4500</v>
          </cell>
          <cell r="E473" t="str">
            <v>Four Burrows Wind Farm Ltd</v>
          </cell>
          <cell r="F473" t="str">
            <v>R00002RQEN</v>
          </cell>
          <cell r="G473">
            <v>1</v>
          </cell>
          <cell r="H473" t="str">
            <v>Allet
Truro
Cornwall
</v>
          </cell>
          <cell r="J473">
            <v>37347</v>
          </cell>
        </row>
        <row r="474">
          <cell r="B474" t="str">
            <v>YES</v>
          </cell>
          <cell r="C474" t="str">
            <v>Goonhilly Downs Wind Farm</v>
          </cell>
          <cell r="D474">
            <v>5600</v>
          </cell>
          <cell r="E474" t="str">
            <v>The Cornwall Light &amp; Power Co. Ltd</v>
          </cell>
          <cell r="F474" t="str">
            <v>R00026RQEN</v>
          </cell>
          <cell r="G474">
            <v>1</v>
          </cell>
          <cell r="H474" t="str">
            <v>Bonython Estate
Cury
Helston
Cornwall
</v>
          </cell>
          <cell r="I474" t="str">
            <v>TR12 7BA</v>
          </cell>
          <cell r="J474">
            <v>37347</v>
          </cell>
        </row>
        <row r="475">
          <cell r="B475" t="str">
            <v>YES</v>
          </cell>
          <cell r="C475" t="str">
            <v>Great Eppleton Farm</v>
          </cell>
          <cell r="D475">
            <v>3000</v>
          </cell>
          <cell r="E475" t="str">
            <v>Powergen Renewables Ltd</v>
          </cell>
          <cell r="F475" t="str">
            <v>R00018RQEN</v>
          </cell>
          <cell r="G475">
            <v>1</v>
          </cell>
          <cell r="H475" t="str">
            <v>Hetton le Hole
Tyne and Wear
Hetton le Hole
Tyne &amp; Wear
</v>
          </cell>
          <cell r="J475">
            <v>37347</v>
          </cell>
        </row>
        <row r="476">
          <cell r="B476" t="str">
            <v>YES</v>
          </cell>
          <cell r="C476" t="str">
            <v>Great Orton</v>
          </cell>
          <cell r="D476">
            <v>1320</v>
          </cell>
          <cell r="E476" t="str">
            <v>Great Orton Windfarm ii Ltd</v>
          </cell>
          <cell r="F476" t="str">
            <v>R00016RQEN</v>
          </cell>
          <cell r="G476">
            <v>1</v>
          </cell>
          <cell r="H476" t="str">
            <v>Great Orton Airfield
Near Carlisle
Cumbria
</v>
          </cell>
          <cell r="J476">
            <v>37347</v>
          </cell>
        </row>
        <row r="477">
          <cell r="B477" t="str">
            <v>YES</v>
          </cell>
          <cell r="C477" t="str">
            <v>Great Orton Airfield</v>
          </cell>
          <cell r="D477">
            <v>2640</v>
          </cell>
          <cell r="E477" t="str">
            <v>Great Orton Windfarm ii Ltd</v>
          </cell>
          <cell r="F477" t="str">
            <v>R00012RQEN</v>
          </cell>
          <cell r="G477">
            <v>1</v>
          </cell>
          <cell r="H477" t="str">
            <v>Great Orton Airfield
Near Carlisle
Cumbria
</v>
          </cell>
          <cell r="J477">
            <v>37347</v>
          </cell>
        </row>
        <row r="478">
          <cell r="B478" t="str">
            <v>YES</v>
          </cell>
          <cell r="C478" t="str">
            <v>Hafoty Ucha</v>
          </cell>
          <cell r="D478">
            <v>600</v>
          </cell>
          <cell r="E478" t="str">
            <v>Tegni Ltd</v>
          </cell>
          <cell r="F478" t="str">
            <v>R00001RQWA</v>
          </cell>
          <cell r="G478">
            <v>1</v>
          </cell>
          <cell r="H478" t="str">
            <v>nr Cerrigydrudion
nr Cerrigydrudion
Clwyd
</v>
          </cell>
          <cell r="J478">
            <v>37347</v>
          </cell>
        </row>
        <row r="479">
          <cell r="B479" t="str">
            <v>YES</v>
          </cell>
          <cell r="C479" t="str">
            <v>Hafoty Ucha 2</v>
          </cell>
          <cell r="D479">
            <v>1700</v>
          </cell>
          <cell r="E479" t="str">
            <v>Tegni Ltd</v>
          </cell>
          <cell r="F479" t="str">
            <v>R00060RQWA</v>
          </cell>
          <cell r="G479">
            <v>1</v>
          </cell>
          <cell r="H479" t="str">
            <v>3k south of Cerrigydrudion, Llangwm, Corwen, Wales</v>
          </cell>
          <cell r="J479">
            <v>37591</v>
          </cell>
          <cell r="K479">
            <v>37561</v>
          </cell>
        </row>
        <row r="480">
          <cell r="B480" t="str">
            <v>YES</v>
          </cell>
          <cell r="C480" t="str">
            <v>Harlock Hill</v>
          </cell>
          <cell r="D480">
            <v>2500</v>
          </cell>
          <cell r="E480" t="str">
            <v>Harlock Hill Ltd</v>
          </cell>
          <cell r="F480" t="str">
            <v>R00048RQEN</v>
          </cell>
          <cell r="G480">
            <v>1</v>
          </cell>
          <cell r="H480" t="str">
            <v>Pennington
Ulverston
Cumbria
</v>
          </cell>
          <cell r="J480">
            <v>37347</v>
          </cell>
        </row>
        <row r="481">
          <cell r="B481" t="str">
            <v>YES</v>
          </cell>
          <cell r="C481" t="str">
            <v>Haverigg</v>
          </cell>
          <cell r="D481">
            <v>1125</v>
          </cell>
          <cell r="E481" t="str">
            <v>Windcluster 2000 Ltd</v>
          </cell>
          <cell r="F481" t="str">
            <v>R00030RQEN</v>
          </cell>
          <cell r="G481">
            <v>1</v>
          </cell>
          <cell r="H481" t="str">
            <v>Haverigg Airfield
c/o Hemplands Farm
Millom
</v>
          </cell>
          <cell r="J481">
            <v>37347</v>
          </cell>
        </row>
        <row r="482">
          <cell r="B482" t="str">
            <v>YES</v>
          </cell>
          <cell r="C482" t="str">
            <v>Hedley Hope</v>
          </cell>
          <cell r="D482">
            <v>2250</v>
          </cell>
          <cell r="E482" t="str">
            <v>High Hedley Hope Wind Ltd</v>
          </cell>
          <cell r="F482" t="str">
            <v>R00032RQEN</v>
          </cell>
          <cell r="G482">
            <v>1</v>
          </cell>
          <cell r="H482" t="str">
            <v>Headley Hope
High Hedley Farm
Tow Law
Bishop Auckland
County Durham
</v>
          </cell>
          <cell r="I482" t="str">
            <v>DL13 4PR</v>
          </cell>
          <cell r="J482">
            <v>37347</v>
          </cell>
        </row>
        <row r="483">
          <cell r="B483" t="str">
            <v>YES</v>
          </cell>
          <cell r="C483" t="str">
            <v>Kirkby Moor Wind Farm</v>
          </cell>
          <cell r="D483">
            <v>4800</v>
          </cell>
          <cell r="E483" t="str">
            <v>National Wind Power Ltd</v>
          </cell>
          <cell r="F483" t="str">
            <v>R00021RQEN</v>
          </cell>
          <cell r="G483">
            <v>1</v>
          </cell>
          <cell r="H483" t="str">
            <v>Kirkby in Furness
Cumbria
Kirkby in Furness
Cumbria
</v>
          </cell>
          <cell r="J483">
            <v>37347</v>
          </cell>
        </row>
        <row r="484">
          <cell r="B484" t="str">
            <v>YES</v>
          </cell>
          <cell r="C484" t="str">
            <v>Kirkheaton Wind Farm</v>
          </cell>
          <cell r="D484">
            <v>1800</v>
          </cell>
          <cell r="E484" t="str">
            <v>Kikheaton Wind Ltd</v>
          </cell>
          <cell r="F484" t="str">
            <v>R00020RQEN</v>
          </cell>
          <cell r="G484">
            <v>1</v>
          </cell>
          <cell r="H484" t="str">
            <v>West Farm
Kirkheaton
Northumberland
</v>
          </cell>
          <cell r="J484">
            <v>37347</v>
          </cell>
        </row>
        <row r="485">
          <cell r="B485" t="str">
            <v>YES</v>
          </cell>
          <cell r="C485" t="str">
            <v>Kirkstanton Airfield</v>
          </cell>
          <cell r="D485">
            <v>2400</v>
          </cell>
          <cell r="E485" t="str">
            <v>Haverigg Li Ltd</v>
          </cell>
          <cell r="F485" t="str">
            <v>R00044RQEN</v>
          </cell>
          <cell r="G485">
            <v>1</v>
          </cell>
          <cell r="H485" t="str">
            <v>Hemplands Farm
Haverigg
Nr Millom
Cumbria
</v>
          </cell>
          <cell r="J485">
            <v>37347</v>
          </cell>
        </row>
        <row r="486">
          <cell r="B486" t="str">
            <v>YES</v>
          </cell>
          <cell r="C486" t="str">
            <v>Lambrigg Wind Farm</v>
          </cell>
          <cell r="D486">
            <v>6500</v>
          </cell>
          <cell r="E486" t="str">
            <v>National Wind Power Ltd</v>
          </cell>
          <cell r="F486" t="str">
            <v>R00050RQEN</v>
          </cell>
          <cell r="G486">
            <v>1</v>
          </cell>
          <cell r="H486" t="str">
            <v>nr Kendal
Cumbria
Nr Kendal
Cumbria
</v>
          </cell>
          <cell r="J486">
            <v>37347</v>
          </cell>
        </row>
        <row r="487">
          <cell r="B487" t="str">
            <v>YES</v>
          </cell>
          <cell r="C487" t="str">
            <v>Llanbobo Wind Farm (Llyn Alaw)</v>
          </cell>
          <cell r="D487">
            <v>20400</v>
          </cell>
          <cell r="E487" t="str">
            <v>National Wind Power Ltd</v>
          </cell>
          <cell r="F487" t="str">
            <v>R00034RQWA</v>
          </cell>
          <cell r="G487">
            <v>1</v>
          </cell>
          <cell r="H487" t="str">
            <v>Llanbabo
Amlwch
Anglesey
</v>
          </cell>
          <cell r="J487">
            <v>37347</v>
          </cell>
        </row>
        <row r="488">
          <cell r="B488" t="str">
            <v>YES</v>
          </cell>
          <cell r="C488" t="str">
            <v>Llangwyryfon Windfarm</v>
          </cell>
          <cell r="D488">
            <v>6000</v>
          </cell>
          <cell r="E488" t="str">
            <v>Llangwryfon Windfarm Ltd</v>
          </cell>
          <cell r="F488" t="str">
            <v>R00013RQWA</v>
          </cell>
          <cell r="G488">
            <v>1</v>
          </cell>
          <cell r="H488" t="str">
            <v>Pwlldrraenllwyn Farm
Llangwyryfon
Aberyswyth
Dyfed
</v>
          </cell>
          <cell r="I488" t="str">
            <v>SY23 4SR</v>
          </cell>
          <cell r="J488">
            <v>37347</v>
          </cell>
        </row>
        <row r="489">
          <cell r="B489" t="str">
            <v>YES</v>
          </cell>
          <cell r="C489" t="str">
            <v>Llidiartywaun Wind Farm</v>
          </cell>
          <cell r="D489">
            <v>18900</v>
          </cell>
          <cell r="E489" t="str">
            <v>Celt Power Ltd</v>
          </cell>
          <cell r="F489" t="str">
            <v>R00037RQWA</v>
          </cell>
          <cell r="G489">
            <v>1</v>
          </cell>
          <cell r="H489" t="str">
            <v>Celt Power Ltd, Bryn Dadlam, Mochdre, Newton, Powys</v>
          </cell>
          <cell r="I489" t="str">
            <v>SY16 1RB</v>
          </cell>
          <cell r="J489">
            <v>37347</v>
          </cell>
        </row>
        <row r="490">
          <cell r="B490" t="str">
            <v>YES</v>
          </cell>
          <cell r="C490" t="str">
            <v>Lowca</v>
          </cell>
          <cell r="D490">
            <v>4620</v>
          </cell>
          <cell r="E490" t="str">
            <v>Powergen Renewables Ltd</v>
          </cell>
          <cell r="F490" t="str">
            <v>R00008RQEN</v>
          </cell>
          <cell r="G490">
            <v>1</v>
          </cell>
          <cell r="H490" t="str">
            <v>Oldside
Workington
Cumbria
</v>
          </cell>
          <cell r="J490">
            <v>37347</v>
          </cell>
        </row>
        <row r="491">
          <cell r="B491" t="str">
            <v>YES</v>
          </cell>
          <cell r="C491" t="str">
            <v>Lynch Knoll</v>
          </cell>
          <cell r="D491">
            <v>500</v>
          </cell>
          <cell r="E491" t="str">
            <v>Lynch Knoll Wind Park Ltd</v>
          </cell>
          <cell r="F491" t="str">
            <v>R00028RQEN</v>
          </cell>
          <cell r="G491">
            <v>1</v>
          </cell>
          <cell r="H491" t="str">
            <v>Partfield Fm
Tinkley Lane
Stonehouse
Gloucester
</v>
          </cell>
          <cell r="J491">
            <v>37347</v>
          </cell>
        </row>
        <row r="492">
          <cell r="B492" t="str">
            <v>YES</v>
          </cell>
          <cell r="C492" t="str">
            <v>Mawla (Greenlane Farm)</v>
          </cell>
          <cell r="D492">
            <v>1300</v>
          </cell>
          <cell r="E492" t="str">
            <v>Energiekontor UK GMBH &amp; Co. WP Momb KG (UK Branch)</v>
          </cell>
          <cell r="F492" t="str">
            <v>R00065RQWA</v>
          </cell>
          <cell r="G492">
            <v>1</v>
          </cell>
          <cell r="H492" t="str">
            <v>Moel Maelogen, near Llanrwst, Conwy, Wales</v>
          </cell>
          <cell r="J492">
            <v>37622</v>
          </cell>
          <cell r="K492">
            <v>37712</v>
          </cell>
        </row>
        <row r="493">
          <cell r="B493" t="str">
            <v>YES</v>
          </cell>
          <cell r="C493" t="str">
            <v>Moel Maelogen</v>
          </cell>
          <cell r="D493">
            <v>2600</v>
          </cell>
          <cell r="E493" t="str">
            <v>Cwmni Gwynt Teg Cyf</v>
          </cell>
          <cell r="F493" t="str">
            <v>R00125RQWA</v>
          </cell>
          <cell r="G493">
            <v>1</v>
          </cell>
          <cell r="H493" t="str">
            <v>Moel Maelogen, near Llanrwst, Conwy, Wales</v>
          </cell>
          <cell r="J493">
            <v>37622</v>
          </cell>
          <cell r="K493">
            <v>37773</v>
          </cell>
        </row>
        <row r="494">
          <cell r="B494" t="str">
            <v>YES</v>
          </cell>
          <cell r="C494" t="str">
            <v>Mynydd Glandulas</v>
          </cell>
          <cell r="D494">
            <v>600</v>
          </cell>
          <cell r="E494" t="str">
            <v>Cat Energy Ltd</v>
          </cell>
          <cell r="F494" t="str">
            <v>R00035RQWA</v>
          </cell>
          <cell r="G494">
            <v>1</v>
          </cell>
          <cell r="H494" t="str">
            <v>Pantperthog
Machynlleth
Powys
</v>
          </cell>
          <cell r="J494">
            <v>37347</v>
          </cell>
        </row>
        <row r="495">
          <cell r="B495" t="str">
            <v>YES</v>
          </cell>
          <cell r="C495" t="str">
            <v>Mynydd Gorddu Wind Farm</v>
          </cell>
          <cell r="D495">
            <v>10200</v>
          </cell>
          <cell r="E495" t="str">
            <v>National Wind Power Ltd</v>
          </cell>
          <cell r="F495" t="str">
            <v>R00051RQWA</v>
          </cell>
          <cell r="G495">
            <v>1</v>
          </cell>
          <cell r="H495" t="str">
            <v>Nr Talybont
Aberystwyth
Ceredigion
</v>
          </cell>
          <cell r="I495" t="str">
            <v>SY24 5DP</v>
          </cell>
          <cell r="J495">
            <v>37347</v>
          </cell>
        </row>
        <row r="496">
          <cell r="B496" t="str">
            <v>YES</v>
          </cell>
          <cell r="C496" t="str">
            <v>Naylor Hill</v>
          </cell>
          <cell r="D496">
            <v>225</v>
          </cell>
          <cell r="E496" t="str">
            <v>Dennis Gillson &amp; Son Ltd</v>
          </cell>
          <cell r="F496" t="str">
            <v>R00019RQEN</v>
          </cell>
          <cell r="G496">
            <v>1</v>
          </cell>
          <cell r="H496" t="str">
            <v>Naylor Hill Quarry
Blackmoor Rd.
Haworth
W Yorks
</v>
          </cell>
          <cell r="I496" t="str">
            <v>BD22 9SU</v>
          </cell>
          <cell r="J496">
            <v>37347</v>
          </cell>
        </row>
        <row r="497">
          <cell r="B497" t="str">
            <v>YES</v>
          </cell>
          <cell r="C497" t="str">
            <v>Newlands 2</v>
          </cell>
          <cell r="D497">
            <v>400</v>
          </cell>
          <cell r="E497" t="str">
            <v>J Stobart &amp; Sons Ltd</v>
          </cell>
          <cell r="F497" t="str">
            <v>R00063RQEN</v>
          </cell>
          <cell r="G497">
            <v>1</v>
          </cell>
          <cell r="H497" t="str">
            <v>Newlands Mill, Hesket - New Market, Wigton, Cumbria</v>
          </cell>
          <cell r="I497" t="str">
            <v>CA7 8HP</v>
          </cell>
          <cell r="J497">
            <v>37591</v>
          </cell>
          <cell r="K497">
            <v>37622</v>
          </cell>
        </row>
        <row r="498">
          <cell r="B498" t="str">
            <v>YES</v>
          </cell>
          <cell r="C498" t="str">
            <v>Oldside</v>
          </cell>
          <cell r="D498">
            <v>5400</v>
          </cell>
          <cell r="E498" t="str">
            <v>Powergen Renewables Ltd</v>
          </cell>
          <cell r="F498" t="str">
            <v>R00007RQEN</v>
          </cell>
          <cell r="G498">
            <v>1</v>
          </cell>
          <cell r="H498" t="str">
            <v>Workington
Wokington
Cumbria
</v>
          </cell>
          <cell r="J498">
            <v>37347</v>
          </cell>
        </row>
        <row r="499">
          <cell r="B499" t="str">
            <v>YES</v>
          </cell>
          <cell r="C499" t="str">
            <v>Out Newton</v>
          </cell>
          <cell r="D499">
            <v>9100</v>
          </cell>
          <cell r="E499" t="str">
            <v>Powergen Renewables Ltd</v>
          </cell>
          <cell r="F499" t="str">
            <v>R00010RQEN</v>
          </cell>
          <cell r="G499">
            <v>1</v>
          </cell>
          <cell r="H499" t="str">
            <v>Southfield Farm
Nr Easington
Hull
</v>
          </cell>
          <cell r="J499">
            <v>37347</v>
          </cell>
        </row>
        <row r="500">
          <cell r="B500" t="str">
            <v>YES</v>
          </cell>
          <cell r="C500" t="str">
            <v>Ovenden Moor Windfarm</v>
          </cell>
          <cell r="D500">
            <v>9200</v>
          </cell>
          <cell r="E500" t="str">
            <v>Yorkshire Windpower Ltd</v>
          </cell>
          <cell r="F500" t="str">
            <v>R00038RQEN</v>
          </cell>
          <cell r="G500">
            <v>1</v>
          </cell>
          <cell r="H500" t="str">
            <v>Cold Edge Road
Ovenden
Halifax
West Yorkshire
</v>
          </cell>
          <cell r="J500">
            <v>37347</v>
          </cell>
        </row>
        <row r="501">
          <cell r="B501" t="str">
            <v>YES</v>
          </cell>
          <cell r="C501" t="str">
            <v>Parc-Cynog</v>
          </cell>
          <cell r="D501">
            <v>3600</v>
          </cell>
          <cell r="E501" t="str">
            <v>M&amp;N Projects Ltd</v>
          </cell>
          <cell r="F501" t="str">
            <v>R00017RQWA</v>
          </cell>
          <cell r="G501">
            <v>1</v>
          </cell>
          <cell r="H501" t="str">
            <v>Pendine
Carmarthenshire
</v>
          </cell>
          <cell r="J501">
            <v>37347</v>
          </cell>
        </row>
        <row r="502">
          <cell r="B502" t="str">
            <v>YES</v>
          </cell>
          <cell r="C502" t="str">
            <v>Penrhyddlan Wind Farm</v>
          </cell>
          <cell r="D502">
            <v>12900</v>
          </cell>
          <cell r="E502" t="str">
            <v>Celt Power Ltd</v>
          </cell>
          <cell r="F502" t="str">
            <v>R00036RQWA</v>
          </cell>
          <cell r="G502">
            <v>1</v>
          </cell>
          <cell r="H502" t="str">
            <v>Celt Power Ltd, Bryn Dadlam, Mochdre, Newton, Powys</v>
          </cell>
          <cell r="I502" t="str">
            <v>SY16 4BP</v>
          </cell>
          <cell r="J502">
            <v>37347</v>
          </cell>
        </row>
        <row r="503">
          <cell r="B503" t="str">
            <v>YES</v>
          </cell>
          <cell r="C503" t="str">
            <v>The Renewable Energy Centre</v>
          </cell>
          <cell r="D503">
            <v>230</v>
          </cell>
          <cell r="E503" t="str">
            <v>Renewable Energy Centre Ltd</v>
          </cell>
          <cell r="F503" t="str">
            <v>R00128RQEN</v>
          </cell>
          <cell r="G503">
            <v>1</v>
          </cell>
          <cell r="H503" t="str">
            <v>Egg Farm Lane, Kings Langley, Hertfordshire, England.</v>
          </cell>
          <cell r="I503" t="str">
            <v>WD4 8LR</v>
          </cell>
          <cell r="J503">
            <v>37841</v>
          </cell>
        </row>
        <row r="504">
          <cell r="B504" t="str">
            <v>YES</v>
          </cell>
          <cell r="C504" t="str">
            <v>Rheidol Wind Farm</v>
          </cell>
          <cell r="D504">
            <v>2400</v>
          </cell>
          <cell r="E504" t="str">
            <v>Powergen Renewables Ltd</v>
          </cell>
          <cell r="F504" t="str">
            <v>R00011RQWA</v>
          </cell>
          <cell r="G504">
            <v>1</v>
          </cell>
          <cell r="H504" t="str">
            <v>Banc Bwa-drain
nr Lywernog
Aberystwyth
Dyfed
</v>
          </cell>
          <cell r="J504">
            <v>37347</v>
          </cell>
        </row>
        <row r="505">
          <cell r="B505" t="str">
            <v>YES</v>
          </cell>
          <cell r="C505" t="str">
            <v>Rhyd Y Groes Windfarm</v>
          </cell>
          <cell r="D505">
            <v>7200</v>
          </cell>
          <cell r="E505" t="str">
            <v>TPG Wind Ltd</v>
          </cell>
          <cell r="F505" t="str">
            <v>R00039RQWA</v>
          </cell>
          <cell r="G505">
            <v>1</v>
          </cell>
          <cell r="H505" t="str">
            <v>Rhosgoch
Rhosgoch
Anglesey
</v>
          </cell>
          <cell r="J505">
            <v>37347</v>
          </cell>
        </row>
        <row r="506">
          <cell r="B506" t="str">
            <v>NO</v>
          </cell>
          <cell r="C506" t="str">
            <v>Royal Seaforth Docks</v>
          </cell>
          <cell r="D506">
            <v>3600</v>
          </cell>
          <cell r="E506" t="str">
            <v>The Mersey Docks and Harbour Company</v>
          </cell>
          <cell r="F506" t="str">
            <v>R00031RQEN</v>
          </cell>
          <cell r="G506">
            <v>0</v>
          </cell>
          <cell r="H506" t="str">
            <v>The Mersey Docks and Harbour Company
Maritime Centre
Port of Liverpool
</v>
          </cell>
          <cell r="I506" t="str">
            <v>L21 1LA</v>
          </cell>
          <cell r="J506">
            <v>37347</v>
          </cell>
        </row>
        <row r="507">
          <cell r="B507" t="str">
            <v>YES</v>
          </cell>
          <cell r="C507" t="str">
            <v>Royd Moor Windfarm</v>
          </cell>
          <cell r="D507">
            <v>6500</v>
          </cell>
          <cell r="E507" t="str">
            <v>Yorkshire Windpower Ltd</v>
          </cell>
          <cell r="F507" t="str">
            <v>R00040RQEN</v>
          </cell>
          <cell r="G507">
            <v>1</v>
          </cell>
          <cell r="H507" t="str">
            <v>Whitley Road
Thurlstone
South Yorkshire
</v>
          </cell>
          <cell r="J507">
            <v>37347</v>
          </cell>
        </row>
        <row r="508">
          <cell r="B508" t="str">
            <v>YES</v>
          </cell>
          <cell r="C508" t="str">
            <v>Siddick</v>
          </cell>
          <cell r="D508">
            <v>4200</v>
          </cell>
          <cell r="E508" t="str">
            <v>Powergen Renewables Ltd</v>
          </cell>
          <cell r="F508" t="str">
            <v>R00009RQEN</v>
          </cell>
          <cell r="G508">
            <v>1</v>
          </cell>
          <cell r="H508" t="str">
            <v>Wokington
Workington
Cumbria
</v>
          </cell>
          <cell r="J508">
            <v>37347</v>
          </cell>
        </row>
        <row r="509">
          <cell r="B509" t="str">
            <v>YES</v>
          </cell>
          <cell r="C509" t="str">
            <v>St Breock Windfarm</v>
          </cell>
          <cell r="D509">
            <v>5000</v>
          </cell>
          <cell r="E509" t="str">
            <v>Powergen Renewables Ltd</v>
          </cell>
          <cell r="F509" t="str">
            <v>R00042RQEN</v>
          </cell>
          <cell r="G509">
            <v>1</v>
          </cell>
          <cell r="H509" t="str">
            <v>St Breock Downs
Wadebridge
Cornwall
</v>
          </cell>
          <cell r="I509" t="str">
            <v>PL27 7LG</v>
          </cell>
          <cell r="J509">
            <v>37347</v>
          </cell>
        </row>
        <row r="510">
          <cell r="B510" t="str">
            <v>YES</v>
          </cell>
          <cell r="C510" t="str">
            <v>St Mary's Road Ramsey</v>
          </cell>
          <cell r="D510">
            <v>225</v>
          </cell>
          <cell r="E510" t="str">
            <v>Fivestone Ltd</v>
          </cell>
          <cell r="F510" t="str">
            <v>R00053RQEN</v>
          </cell>
          <cell r="G510">
            <v>1</v>
          </cell>
          <cell r="H510" t="str">
            <v>Adjacent Priory Produce
St Marys Road
Ramsey
</v>
          </cell>
          <cell r="I510" t="str">
            <v>PE26 2SE</v>
          </cell>
          <cell r="J510">
            <v>37347</v>
          </cell>
        </row>
        <row r="511">
          <cell r="B511" t="str">
            <v>YES</v>
          </cell>
          <cell r="C511" t="str">
            <v>Swaffham Wind Park</v>
          </cell>
          <cell r="D511">
            <v>1800</v>
          </cell>
          <cell r="E511" t="str">
            <v>Swaffham Wind Park Limited</v>
          </cell>
          <cell r="F511" t="str">
            <v>R00126RQEN</v>
          </cell>
          <cell r="G511">
            <v>1</v>
          </cell>
          <cell r="H511" t="str">
            <v>Off Sporle Road, North of A47, Swaffham, Norfolk</v>
          </cell>
          <cell r="J511">
            <v>37773</v>
          </cell>
          <cell r="K511">
            <v>37803</v>
          </cell>
        </row>
        <row r="512">
          <cell r="B512" t="str">
            <v>YES</v>
          </cell>
          <cell r="C512" t="str">
            <v>Taff Ely Wind Farm</v>
          </cell>
          <cell r="D512">
            <v>9000</v>
          </cell>
          <cell r="E512" t="str">
            <v>National Wind Power Ltd</v>
          </cell>
          <cell r="F512" t="str">
            <v>R00022RQWA</v>
          </cell>
          <cell r="G512">
            <v>1</v>
          </cell>
          <cell r="H512" t="str">
            <v>Gilfach Goch
Bridgend
Mid Glamorgan
</v>
          </cell>
          <cell r="J512">
            <v>37347</v>
          </cell>
        </row>
        <row r="513">
          <cell r="B513" t="str">
            <v>YES</v>
          </cell>
          <cell r="C513" t="str">
            <v>Tow Law Wind Farm</v>
          </cell>
          <cell r="D513">
            <v>2310</v>
          </cell>
          <cell r="E513" t="str">
            <v>National Wind Power</v>
          </cell>
          <cell r="F513" t="str">
            <v>R00033RQEN</v>
          </cell>
          <cell r="G513">
            <v>1</v>
          </cell>
          <cell r="H513" t="str">
            <v>Tow Law
Crook
Co Durham
</v>
          </cell>
          <cell r="J513">
            <v>37347</v>
          </cell>
        </row>
        <row r="514">
          <cell r="B514" t="str">
            <v>YES</v>
          </cell>
          <cell r="C514" t="str">
            <v>Trysglwyn Wind Farm</v>
          </cell>
          <cell r="D514">
            <v>5600</v>
          </cell>
          <cell r="E514" t="str">
            <v>National Wind Power Ltd</v>
          </cell>
          <cell r="F514" t="str">
            <v>R00049RQWA</v>
          </cell>
          <cell r="G514">
            <v>1</v>
          </cell>
          <cell r="H514" t="str">
            <v>Rhosybol
Amlwch
Anglesey
</v>
          </cell>
          <cell r="J514">
            <v>37347</v>
          </cell>
        </row>
        <row r="515">
          <cell r="B515" t="str">
            <v>YES</v>
          </cell>
          <cell r="C515" t="str">
            <v>West Beacon Farm</v>
          </cell>
          <cell r="D515">
            <v>65</v>
          </cell>
          <cell r="E515" t="str">
            <v>Beacon Energy Ltd</v>
          </cell>
          <cell r="F515" t="str">
            <v>R00058RQEN</v>
          </cell>
          <cell r="G515">
            <v>1</v>
          </cell>
          <cell r="H515" t="str">
            <v>West Beacon Farm, Deans Lane, Woodhouse Eaves, Loughborough</v>
          </cell>
          <cell r="I515" t="str">
            <v>LE12 8TE</v>
          </cell>
          <cell r="J515">
            <v>37347</v>
          </cell>
          <cell r="K515">
            <v>37469</v>
          </cell>
        </row>
        <row r="516">
          <cell r="B516" t="str">
            <v>YES</v>
          </cell>
          <cell r="C516" t="str">
            <v>Wood Green Animal Shelters</v>
          </cell>
          <cell r="D516">
            <v>225</v>
          </cell>
          <cell r="E516" t="str">
            <v>Wood Green Animal Shelters</v>
          </cell>
          <cell r="F516" t="str">
            <v>R00025RQEN</v>
          </cell>
          <cell r="G516">
            <v>1</v>
          </cell>
          <cell r="H516" t="str">
            <v>Kings Bush Farm
London Road
Godmanchester
Huntingdon
Cambs
</v>
          </cell>
          <cell r="I516" t="str">
            <v>PE29 2NH</v>
          </cell>
          <cell r="J516">
            <v>37347</v>
          </cell>
        </row>
        <row r="517">
          <cell r="B517" t="str">
            <v>YES</v>
          </cell>
          <cell r="C517" t="str">
            <v>Beinn An Tuirc</v>
          </cell>
          <cell r="D517">
            <v>15000</v>
          </cell>
          <cell r="E517" t="str">
            <v>CRE Energy Ltd</v>
          </cell>
          <cell r="F517" t="str">
            <v>R00008SQSC</v>
          </cell>
          <cell r="G517">
            <v>1</v>
          </cell>
          <cell r="H517" t="str">
            <v>Beinn An Tuirc Windfarm
Carradale
Mull of Kintyre
Scotland
</v>
          </cell>
          <cell r="J517">
            <v>37347</v>
          </cell>
        </row>
        <row r="518">
          <cell r="B518" t="str">
            <v>NO</v>
          </cell>
          <cell r="C518" t="str">
            <v>Beinn Ghlas</v>
          </cell>
          <cell r="D518">
            <v>8400</v>
          </cell>
          <cell r="E518" t="str">
            <v>National Wind Power Ltd</v>
          </cell>
          <cell r="F518" t="str">
            <v>R00014SQSC</v>
          </cell>
          <cell r="G518">
            <v>0</v>
          </cell>
          <cell r="H518" t="str">
            <v>Beinn Ghlas
Taynuilt
Argyle
Scotland
</v>
          </cell>
          <cell r="J518">
            <v>37347</v>
          </cell>
        </row>
        <row r="519">
          <cell r="B519" t="str">
            <v>NO</v>
          </cell>
          <cell r="C519" t="str">
            <v>Bendeallt Wind Farm</v>
          </cell>
          <cell r="D519">
            <v>9000</v>
          </cell>
          <cell r="E519" t="str">
            <v>National Wind Power Ltd</v>
          </cell>
          <cell r="F519" t="str">
            <v>R00013SQSC</v>
          </cell>
          <cell r="G519">
            <v>0</v>
          </cell>
          <cell r="H519" t="str">
            <v>Bendeallt Wind Farm
Evanton
Ross-shire
Scotland
</v>
          </cell>
          <cell r="J519">
            <v>37347</v>
          </cell>
        </row>
        <row r="520">
          <cell r="B520" t="str">
            <v>YES</v>
          </cell>
          <cell r="C520" t="str">
            <v>Bu Farm</v>
          </cell>
          <cell r="D520">
            <v>998</v>
          </cell>
          <cell r="E520" t="str">
            <v>TXU Europe Renewable Generation Limited</v>
          </cell>
          <cell r="F520" t="str">
            <v>R00048SQSC</v>
          </cell>
          <cell r="G520">
            <v>1</v>
          </cell>
          <cell r="H520" t="str">
            <v>Wherstead Park,Wherstead, Ipswich, Suffolk,</v>
          </cell>
          <cell r="I520" t="str">
            <v>IP9 2AQ</v>
          </cell>
          <cell r="J520">
            <v>37681</v>
          </cell>
          <cell r="K520">
            <v>37773</v>
          </cell>
        </row>
        <row r="521">
          <cell r="B521" t="str">
            <v>YES</v>
          </cell>
          <cell r="C521" t="str">
            <v>Burradale Windfarm</v>
          </cell>
          <cell r="D521">
            <v>1980</v>
          </cell>
          <cell r="E521" t="str">
            <v>Shetland Aerogenerators Ltd</v>
          </cell>
          <cell r="F521" t="str">
            <v>R00018SQSC</v>
          </cell>
          <cell r="G521">
            <v>1</v>
          </cell>
          <cell r="H521" t="str">
            <v>Burradale Windfarm, Burradale Hill, Shetland</v>
          </cell>
          <cell r="J521">
            <v>37347</v>
          </cell>
        </row>
        <row r="522">
          <cell r="B522" t="str">
            <v>YES</v>
          </cell>
          <cell r="C522" t="str">
            <v>Burradale Windfarm Phase 2</v>
          </cell>
          <cell r="D522">
            <v>1700</v>
          </cell>
          <cell r="E522" t="str">
            <v>Shetland Aerogenerators Ltd</v>
          </cell>
          <cell r="F522" t="str">
            <v>R00025SQSC</v>
          </cell>
          <cell r="G522">
            <v>1</v>
          </cell>
          <cell r="H522" t="str">
            <v>Burradale Windfarm, Tingwall, Shetland</v>
          </cell>
          <cell r="J522">
            <v>37653</v>
          </cell>
          <cell r="K522">
            <v>37742</v>
          </cell>
        </row>
        <row r="523">
          <cell r="B523" t="str">
            <v>YES</v>
          </cell>
          <cell r="C523" t="str">
            <v>Cnoc Donn Arnicle</v>
          </cell>
          <cell r="D523">
            <v>15000</v>
          </cell>
          <cell r="E523" t="str">
            <v>CRE Energy Ltd</v>
          </cell>
          <cell r="F523" t="str">
            <v>R00007SQSC</v>
          </cell>
          <cell r="G523">
            <v>1</v>
          </cell>
          <cell r="H523" t="str">
            <v>CNOC Donn Arnicle Wind Farm
Carradale
Mull of Kintyre
Scotland
</v>
          </cell>
          <cell r="J523">
            <v>37347</v>
          </cell>
        </row>
        <row r="524">
          <cell r="B524" t="str">
            <v>YES</v>
          </cell>
          <cell r="C524" t="str">
            <v>Deucheran Hill Wind Farm</v>
          </cell>
          <cell r="D524">
            <v>15750</v>
          </cell>
          <cell r="E524" t="str">
            <v>Powergen Renewables</v>
          </cell>
          <cell r="F524" t="str">
            <v>R00005SQSC</v>
          </cell>
          <cell r="G524">
            <v>1</v>
          </cell>
          <cell r="H524" t="str">
            <v>Deucheran Hill
Carradale
Campbeltown
Arygyll
</v>
          </cell>
          <cell r="J524">
            <v>37347</v>
          </cell>
        </row>
        <row r="525">
          <cell r="B525" t="str">
            <v>YES</v>
          </cell>
          <cell r="C525" t="str">
            <v>Dun Law</v>
          </cell>
          <cell r="D525">
            <v>17160</v>
          </cell>
          <cell r="E525" t="str">
            <v>CRE Energy Ltd</v>
          </cell>
          <cell r="F525" t="str">
            <v>R00009SQSC</v>
          </cell>
          <cell r="G525">
            <v>1</v>
          </cell>
          <cell r="H525" t="str">
            <v>Dunn Law Windfarm
By Oxton
Lauder
Berwickshire
</v>
          </cell>
          <cell r="I525" t="str">
            <v>TD2 6PN</v>
          </cell>
          <cell r="J525">
            <v>37347</v>
          </cell>
        </row>
        <row r="526">
          <cell r="B526" t="str">
            <v>YES</v>
          </cell>
          <cell r="C526" t="str">
            <v>East Kilbride Wind Turbine</v>
          </cell>
          <cell r="D526">
            <v>605</v>
          </cell>
          <cell r="E526" t="str">
            <v>Merchant Wind Park (East Kilbride) Ltd</v>
          </cell>
          <cell r="F526" t="str">
            <v>R00016SQSC</v>
          </cell>
          <cell r="G526">
            <v>1</v>
          </cell>
          <cell r="H526" t="str">
            <v>Plot 1
Langlands Industrial Estate
East Kilbride
Scotland
</v>
          </cell>
          <cell r="J526">
            <v>37347</v>
          </cell>
        </row>
        <row r="527">
          <cell r="B527" t="str">
            <v>YES</v>
          </cell>
          <cell r="C527" t="str">
            <v>Emly Bank Wind Farm</v>
          </cell>
          <cell r="D527">
            <v>15000</v>
          </cell>
          <cell r="E527" t="str">
            <v>Powergen Renewables Ltd</v>
          </cell>
          <cell r="F527" t="str">
            <v>R00020SQSC</v>
          </cell>
          <cell r="G527">
            <v>1</v>
          </cell>
          <cell r="H527" t="str">
            <v>Emly Bank Wind Farm, Emly Bank Hil, Near Innerleithen, Peebleshire, Scotland</v>
          </cell>
          <cell r="J527">
            <v>37500</v>
          </cell>
          <cell r="K527">
            <v>37530</v>
          </cell>
        </row>
        <row r="528">
          <cell r="B528" t="str">
            <v>YES</v>
          </cell>
          <cell r="C528" t="str">
            <v>Fair Isle</v>
          </cell>
          <cell r="D528">
            <v>160</v>
          </cell>
          <cell r="E528" t="str">
            <v>Fair Isle Electricity Company Ltd</v>
          </cell>
          <cell r="F528" t="str">
            <v>R00003SQSC</v>
          </cell>
          <cell r="G528">
            <v>1</v>
          </cell>
          <cell r="H528" t="str">
            <v>Fair Isle
Shetland Isle
Scotland
</v>
          </cell>
          <cell r="I528" t="str">
            <v>ZE2 9JU</v>
          </cell>
          <cell r="J528">
            <v>37347</v>
          </cell>
        </row>
        <row r="529">
          <cell r="B529" t="str">
            <v>NO</v>
          </cell>
          <cell r="C529" t="str">
            <v>Gallow Rig Wind Farm</v>
          </cell>
          <cell r="D529">
            <v>10800</v>
          </cell>
          <cell r="E529" t="str">
            <v>National Wind Power Ltd</v>
          </cell>
          <cell r="F529" t="str">
            <v>R00015SQSC</v>
          </cell>
          <cell r="G529">
            <v>0</v>
          </cell>
          <cell r="H529" t="str">
            <v>Gallow Rig Wind Farm
Carsphairn
Dunfries and Galloway
Scotland
</v>
          </cell>
          <cell r="J529">
            <v>37347</v>
          </cell>
        </row>
        <row r="530">
          <cell r="B530" t="str">
            <v>YES</v>
          </cell>
          <cell r="C530" t="str">
            <v>Hagshaw Hill Windfarm</v>
          </cell>
          <cell r="D530">
            <v>15600</v>
          </cell>
          <cell r="E530" t="str">
            <v>CRE Energy Ltd</v>
          </cell>
          <cell r="F530" t="str">
            <v>R00012SQSC</v>
          </cell>
          <cell r="G530">
            <v>1</v>
          </cell>
          <cell r="H530" t="str">
            <v>Hagshaw Hill "A" &amp; "B" Windfarm
Hagshaw Hill A/B
Douglas West
Lanark
</v>
          </cell>
          <cell r="I530" t="str">
            <v>ML11</v>
          </cell>
          <cell r="J530">
            <v>37347</v>
          </cell>
        </row>
        <row r="531">
          <cell r="B531" t="str">
            <v>YES</v>
          </cell>
          <cell r="C531" t="str">
            <v>Hare Hill Wind Farm</v>
          </cell>
          <cell r="D531">
            <v>13200</v>
          </cell>
          <cell r="E531" t="str">
            <v>CRE Energy Ltd</v>
          </cell>
          <cell r="F531" t="str">
            <v>R00001SQSC</v>
          </cell>
          <cell r="G531">
            <v>1</v>
          </cell>
          <cell r="H531" t="str">
            <v>New Cumnock
Ayrshire
New Cumnock
Ayrshire
</v>
          </cell>
          <cell r="J531">
            <v>37347</v>
          </cell>
        </row>
        <row r="532">
          <cell r="B532" t="str">
            <v>YES</v>
          </cell>
          <cell r="C532" t="str">
            <v>Isle of Luing Wind Energy Scheme</v>
          </cell>
          <cell r="D532">
            <v>100</v>
          </cell>
          <cell r="E532" t="str">
            <v>West Coast Contractors Ltd</v>
          </cell>
          <cell r="F532" t="str">
            <v>R00021SQSC</v>
          </cell>
          <cell r="G532">
            <v>1</v>
          </cell>
          <cell r="H532" t="str">
            <v>Isle of Luing Wind Energy Scheme, Land South of Kilchattan, Isle of Luing, by Oban, Argyll, Scotland</v>
          </cell>
          <cell r="J532">
            <v>37530</v>
          </cell>
          <cell r="K532">
            <v>37530</v>
          </cell>
        </row>
        <row r="533">
          <cell r="B533" t="str">
            <v>YES</v>
          </cell>
          <cell r="C533" t="str">
            <v>Isle of Muck Power</v>
          </cell>
          <cell r="D533">
            <v>50</v>
          </cell>
          <cell r="E533" t="str">
            <v>Isle of Muck Power Ltd</v>
          </cell>
          <cell r="F533" t="str">
            <v>R00024SQSC</v>
          </cell>
          <cell r="G533">
            <v>1</v>
          </cell>
          <cell r="H533" t="str">
            <v>Port More, Isle of Muck, By Mallaig</v>
          </cell>
          <cell r="I533" t="str">
            <v>PH41 2RP</v>
          </cell>
          <cell r="J533">
            <v>37622</v>
          </cell>
          <cell r="K533">
            <v>37712</v>
          </cell>
        </row>
        <row r="534">
          <cell r="B534" t="str">
            <v>YES</v>
          </cell>
          <cell r="C534" t="str">
            <v>Liniclate Wind Turbine</v>
          </cell>
          <cell r="D534">
            <v>60</v>
          </cell>
          <cell r="E534" t="str">
            <v>Element Engineering</v>
          </cell>
          <cell r="F534" t="str">
            <v>R00004SQSC</v>
          </cell>
          <cell r="G534">
            <v>1</v>
          </cell>
          <cell r="H534" t="str">
            <v>Liniclate Wind Turbine
Liniclate School
Liniclate
Isle of Benbecula
</v>
          </cell>
          <cell r="I534" t="str">
            <v>HS7 5PJ</v>
          </cell>
          <cell r="J534">
            <v>37347</v>
          </cell>
        </row>
        <row r="535">
          <cell r="B535" t="str">
            <v>NO</v>
          </cell>
          <cell r="C535" t="str">
            <v>Meall an Tuirc Wind Farm</v>
          </cell>
          <cell r="D535">
            <v>8000</v>
          </cell>
          <cell r="E535" t="str">
            <v>National Wind Power Ltd</v>
          </cell>
          <cell r="F535" t="str">
            <v>R00010SQSC</v>
          </cell>
          <cell r="G535">
            <v>0</v>
          </cell>
          <cell r="H535" t="str">
            <v>Meall an Tuirc Wind
Evanton
Ross-shire
Scotland
</v>
          </cell>
          <cell r="J535">
            <v>37347</v>
          </cell>
        </row>
        <row r="536">
          <cell r="B536" t="str">
            <v>YES</v>
          </cell>
          <cell r="C536" t="str">
            <v>Moya (Findhorn Wind Park)</v>
          </cell>
          <cell r="D536">
            <v>75</v>
          </cell>
          <cell r="E536" t="str">
            <v>Wind Park, division of NFD Ltd</v>
          </cell>
          <cell r="F536" t="str">
            <v>R00022SQSC</v>
          </cell>
          <cell r="G536">
            <v>1</v>
          </cell>
          <cell r="H536" t="str">
            <v>Findhorn Wind Park, The Park, Findhorn, Forres, Moray</v>
          </cell>
          <cell r="I536" t="str">
            <v>IV36 3TZ</v>
          </cell>
          <cell r="J536">
            <v>37438</v>
          </cell>
          <cell r="K536">
            <v>37530</v>
          </cell>
        </row>
        <row r="537">
          <cell r="B537" t="str">
            <v>YES</v>
          </cell>
          <cell r="C537" t="str">
            <v>Myres Hill Wind Turbine Test Site</v>
          </cell>
          <cell r="D537">
            <v>1900</v>
          </cell>
          <cell r="E537" t="str">
            <v>Thorfinn Wind 'A' Ltd</v>
          </cell>
          <cell r="F537" t="str">
            <v>R00017SQSC</v>
          </cell>
          <cell r="G537">
            <v>1</v>
          </cell>
          <cell r="H537" t="str">
            <v>Myres Hill Wind Turbine Test Site
Near Eaglesham
Glasgow
</v>
          </cell>
          <cell r="I537" t="str">
            <v>G76 0PN</v>
          </cell>
          <cell r="J537">
            <v>37347</v>
          </cell>
        </row>
        <row r="538">
          <cell r="B538" t="str">
            <v>YES</v>
          </cell>
          <cell r="C538" t="str">
            <v>NM1500 Thorfinn Wind Energy Project</v>
          </cell>
          <cell r="D538">
            <v>1500</v>
          </cell>
          <cell r="E538" t="str">
            <v>Thorfinn Wind A Ltd</v>
          </cell>
          <cell r="F538" t="str">
            <v>R00002SQSC</v>
          </cell>
          <cell r="G538">
            <v>1</v>
          </cell>
          <cell r="H538" t="str">
            <v>Burgar Hill &amp; The Wards
Evie
Orkney
</v>
          </cell>
          <cell r="I538" t="str">
            <v>KW17 2PJ</v>
          </cell>
          <cell r="J538">
            <v>37347</v>
          </cell>
        </row>
        <row r="539">
          <cell r="B539" t="str">
            <v>YES</v>
          </cell>
          <cell r="C539" t="str">
            <v>NM2000 Thorfinn Wind Energy Project</v>
          </cell>
          <cell r="D539">
            <v>2000</v>
          </cell>
          <cell r="E539" t="str">
            <v>Thorfinn Wind A Ltd</v>
          </cell>
          <cell r="F539" t="str">
            <v>R00006SQSC</v>
          </cell>
          <cell r="G539">
            <v>1</v>
          </cell>
          <cell r="H539" t="str">
            <v>NM 2000 Thorfinn Wind Energy Project
Burgar Hill and the Wards
Evie
Orkney
Scotland
</v>
          </cell>
          <cell r="I539" t="str">
            <v>KW17 2PJ</v>
          </cell>
          <cell r="J539">
            <v>37347</v>
          </cell>
        </row>
        <row r="540">
          <cell r="B540" t="str">
            <v>NO</v>
          </cell>
          <cell r="C540" t="str">
            <v>Polwhat Rig</v>
          </cell>
          <cell r="D540">
            <v>10800</v>
          </cell>
          <cell r="E540" t="str">
            <v>National Wind Power Ltd</v>
          </cell>
          <cell r="F540" t="str">
            <v>R00011SQSC</v>
          </cell>
          <cell r="G540">
            <v>0</v>
          </cell>
          <cell r="H540" t="str">
            <v>Polwhat Rig
Carsphairn
Dunfries and Galloway
Scotland
</v>
          </cell>
          <cell r="J540">
            <v>37347</v>
          </cell>
        </row>
        <row r="541">
          <cell r="B541" t="str">
            <v>YES</v>
          </cell>
          <cell r="C541" t="str">
            <v>Roughside Hill Wind Farm</v>
          </cell>
          <cell r="D541">
            <v>15000</v>
          </cell>
          <cell r="E541" t="str">
            <v>Powergen Renewables Ltd</v>
          </cell>
          <cell r="F541" t="str">
            <v>R00019SQSC</v>
          </cell>
          <cell r="G541">
            <v>1</v>
          </cell>
          <cell r="H541" t="str">
            <v>Roughside Hill Wind Farm, Roughside Hill, Near Innerleithen, Peebleshire, Scotland</v>
          </cell>
          <cell r="J541">
            <v>37500</v>
          </cell>
          <cell r="K541">
            <v>37530</v>
          </cell>
        </row>
        <row r="542">
          <cell r="B542" t="str">
            <v>YES</v>
          </cell>
          <cell r="C542" t="str">
            <v>Tangy Wind Farm</v>
          </cell>
          <cell r="D542">
            <v>12750</v>
          </cell>
          <cell r="E542" t="str">
            <v>SSE Generation Ltd</v>
          </cell>
          <cell r="F542" t="str">
            <v>R00023SQSC</v>
          </cell>
          <cell r="G542">
            <v>1</v>
          </cell>
          <cell r="H542" t="str">
            <v>Tangy Wind Farm, Kilkenzie, By Campbeltown, Kintyre, Argyllshire</v>
          </cell>
          <cell r="I542" t="str">
            <v>PA28 6QD</v>
          </cell>
          <cell r="J542">
            <v>37561</v>
          </cell>
          <cell r="K542">
            <v>37653</v>
          </cell>
        </row>
        <row r="543">
          <cell r="D543">
            <v>87</v>
          </cell>
          <cell r="G543">
            <v>0</v>
          </cell>
        </row>
        <row r="544">
          <cell r="D544">
            <v>459531</v>
          </cell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B547" t="str">
            <v>YES</v>
          </cell>
          <cell r="C547" t="str">
            <v>Ashford WWTW</v>
          </cell>
          <cell r="D547">
            <v>615</v>
          </cell>
          <cell r="E547" t="str">
            <v>Southern Water</v>
          </cell>
          <cell r="F547" t="str">
            <v>R00001RREN</v>
          </cell>
          <cell r="G547">
            <v>1</v>
          </cell>
          <cell r="H547" t="str">
            <v>Canterbury Road
Bybrook
Ashford
Kent
</v>
          </cell>
          <cell r="I547" t="str">
            <v>TN24 9QB</v>
          </cell>
          <cell r="J547">
            <v>37347</v>
          </cell>
        </row>
        <row r="548">
          <cell r="B548" t="str">
            <v>YES</v>
          </cell>
          <cell r="C548" t="str">
            <v>Aycliffe STW</v>
          </cell>
          <cell r="D548">
            <v>135</v>
          </cell>
          <cell r="E548" t="str">
            <v>Northumbrian Water Ltd</v>
          </cell>
          <cell r="F548" t="str">
            <v>R00025RREN</v>
          </cell>
          <cell r="G548">
            <v>1</v>
          </cell>
          <cell r="H548" t="str">
            <v>Aycliffe STW, Aycliffe Trading Estate, Newton Aycliffe, Co. Durham</v>
          </cell>
          <cell r="I548" t="str">
            <v>DL5 6HP</v>
          </cell>
          <cell r="J548">
            <v>37347</v>
          </cell>
        </row>
        <row r="549">
          <cell r="B549" t="str">
            <v>YES</v>
          </cell>
          <cell r="C549" t="str">
            <v>Aylesbury STW</v>
          </cell>
          <cell r="D549">
            <v>340</v>
          </cell>
          <cell r="E549" t="str">
            <v>Thames Water Utilities Plc</v>
          </cell>
          <cell r="F549" t="str">
            <v>R00032RREN</v>
          </cell>
          <cell r="G549">
            <v>1</v>
          </cell>
          <cell r="H549" t="str">
            <v>Rabans Lane, Aylesbury</v>
          </cell>
          <cell r="I549" t="str">
            <v>HP2 7YR</v>
          </cell>
          <cell r="J549">
            <v>37347</v>
          </cell>
        </row>
        <row r="550">
          <cell r="B550" t="str">
            <v>YES</v>
          </cell>
          <cell r="C550" t="str">
            <v>Basingstoke STW</v>
          </cell>
          <cell r="D550">
            <v>340</v>
          </cell>
          <cell r="E550" t="str">
            <v>Thames Water Utilities Ltd</v>
          </cell>
          <cell r="F550" t="str">
            <v>R00037RREN</v>
          </cell>
          <cell r="G550">
            <v>1</v>
          </cell>
          <cell r="H550" t="str">
            <v>Reading Road, Chineham, Basingstoke, Hants</v>
          </cell>
          <cell r="I550" t="str">
            <v>RG24 8LL</v>
          </cell>
          <cell r="J550">
            <v>37347</v>
          </cell>
        </row>
        <row r="551">
          <cell r="B551" t="str">
            <v>YES</v>
          </cell>
          <cell r="C551" t="str">
            <v>Bolton CHP at Bolton WWTW</v>
          </cell>
          <cell r="D551">
            <v>1060</v>
          </cell>
          <cell r="E551" t="str">
            <v>United Utilities Water plc</v>
          </cell>
          <cell r="F551" t="str">
            <v>R00013RREN</v>
          </cell>
          <cell r="G551">
            <v>1</v>
          </cell>
          <cell r="H551" t="str">
            <v>Fold Road
Stoneclough
Radcliffe, near Manchester
Manchester
</v>
          </cell>
          <cell r="I551" t="str">
            <v>M261FL</v>
          </cell>
          <cell r="J551">
            <v>37347</v>
          </cell>
        </row>
        <row r="552">
          <cell r="B552" t="str">
            <v>YES</v>
          </cell>
          <cell r="C552" t="str">
            <v>Bracknell STW</v>
          </cell>
          <cell r="D552">
            <v>200</v>
          </cell>
          <cell r="E552" t="str">
            <v>Thames Water Utilities Ltd</v>
          </cell>
          <cell r="F552" t="str">
            <v>R00038RREN</v>
          </cell>
          <cell r="G552">
            <v>1</v>
          </cell>
          <cell r="H552" t="str">
            <v>Hazelwood Lane, Binfield, Bracknell, Berks</v>
          </cell>
          <cell r="I552" t="str">
            <v>RG42 5QZ</v>
          </cell>
          <cell r="J552">
            <v>37347</v>
          </cell>
        </row>
        <row r="553">
          <cell r="B553" t="str">
            <v>YES</v>
          </cell>
          <cell r="C553" t="str">
            <v>Burnley CHP at Burnley WWTW</v>
          </cell>
          <cell r="D553">
            <v>165</v>
          </cell>
          <cell r="E553" t="str">
            <v>United Utilities Water plc</v>
          </cell>
          <cell r="F553" t="str">
            <v>R00011RREN</v>
          </cell>
          <cell r="G553">
            <v>1</v>
          </cell>
          <cell r="H553" t="str">
            <v>Wood End Lane
Burnley
</v>
          </cell>
          <cell r="I553" t="str">
            <v>BB12 9DS</v>
          </cell>
          <cell r="J553">
            <v>37347</v>
          </cell>
        </row>
        <row r="554">
          <cell r="B554" t="str">
            <v>YES</v>
          </cell>
          <cell r="C554" t="str">
            <v>Bury CHP at Bury WWTW</v>
          </cell>
          <cell r="D554">
            <v>800</v>
          </cell>
          <cell r="E554" t="str">
            <v>United Utilities Water plc</v>
          </cell>
          <cell r="F554" t="str">
            <v>R00010RREN</v>
          </cell>
          <cell r="G554">
            <v>1</v>
          </cell>
          <cell r="H554" t="str">
            <v>Crossfield Street
Blackford Bridge
Bury
</v>
          </cell>
          <cell r="I554" t="str">
            <v>BL9 9TF</v>
          </cell>
          <cell r="J554">
            <v>37347</v>
          </cell>
        </row>
        <row r="555">
          <cell r="B555" t="str">
            <v>YES</v>
          </cell>
          <cell r="C555" t="str">
            <v>Calder Vale</v>
          </cell>
          <cell r="D555">
            <v>177</v>
          </cell>
          <cell r="E555" t="str">
            <v>Yorkshire Water</v>
          </cell>
          <cell r="F555" t="str">
            <v>R00101RREN</v>
          </cell>
          <cell r="G555">
            <v>1</v>
          </cell>
          <cell r="H555" t="str">
            <v>Calder Vale Road, Wakefield, West Yorkshire</v>
          </cell>
          <cell r="I555" t="str">
            <v>WF1 5PE</v>
          </cell>
          <cell r="J555">
            <v>37773</v>
          </cell>
          <cell r="K555">
            <v>37874</v>
          </cell>
        </row>
        <row r="556">
          <cell r="B556" t="str">
            <v>YES</v>
          </cell>
          <cell r="C556" t="str">
            <v>Camberley STW</v>
          </cell>
          <cell r="D556">
            <v>360</v>
          </cell>
          <cell r="E556" t="str">
            <v>Thames Water Utilities Ltd</v>
          </cell>
          <cell r="F556" t="str">
            <v>R00035RREN</v>
          </cell>
          <cell r="G556">
            <v>1</v>
          </cell>
          <cell r="H556" t="str">
            <v>Doman Road, Camberley, Surrey</v>
          </cell>
          <cell r="I556" t="str">
            <v>GU15 3DF</v>
          </cell>
          <cell r="J556">
            <v>37347</v>
          </cell>
        </row>
        <row r="557">
          <cell r="B557" t="str">
            <v>YES</v>
          </cell>
          <cell r="C557" t="str">
            <v>Coalport STW Generating Station</v>
          </cell>
          <cell r="D557">
            <v>145</v>
          </cell>
          <cell r="E557" t="str">
            <v>Severn Trent Water Ltd</v>
          </cell>
          <cell r="F557" t="str">
            <v>R00039RREN</v>
          </cell>
          <cell r="G557">
            <v>1</v>
          </cell>
          <cell r="H557" t="str">
            <v>Severn Trent Water Ltd, Coalport Sewage Treatment Works, Coalport, Telford, Shropshire</v>
          </cell>
          <cell r="I557" t="str">
            <v>TF8 7HA</v>
          </cell>
          <cell r="J557">
            <v>37347</v>
          </cell>
        </row>
        <row r="558">
          <cell r="B558" t="str">
            <v>YES</v>
          </cell>
          <cell r="C558" t="str">
            <v>Countess Wear STW CHP</v>
          </cell>
          <cell r="D558">
            <v>660</v>
          </cell>
          <cell r="E558" t="str">
            <v>South West Water Ltd</v>
          </cell>
          <cell r="F558" t="str">
            <v>R00048RREN</v>
          </cell>
          <cell r="G558">
            <v>1</v>
          </cell>
          <cell r="H558" t="str">
            <v>Peninsula House, Rydon Lane, Exeter, Devon</v>
          </cell>
          <cell r="I558" t="str">
            <v>EX2 7HR</v>
          </cell>
          <cell r="J558">
            <v>37622</v>
          </cell>
          <cell r="K558">
            <v>37712</v>
          </cell>
        </row>
        <row r="559">
          <cell r="B559" t="str">
            <v>YES</v>
          </cell>
          <cell r="C559" t="str">
            <v>Crawley STW</v>
          </cell>
          <cell r="D559">
            <v>340</v>
          </cell>
          <cell r="E559" t="str">
            <v>Thames Water Utilities Plc</v>
          </cell>
          <cell r="F559" t="str">
            <v>R00030RREN</v>
          </cell>
          <cell r="G559">
            <v>1</v>
          </cell>
          <cell r="H559" t="str">
            <v>Radford Road, Tinsley Green, Crawley, Surrey</v>
          </cell>
          <cell r="I559" t="str">
            <v>RH6 0PF</v>
          </cell>
          <cell r="J559">
            <v>37347</v>
          </cell>
        </row>
        <row r="560">
          <cell r="B560" t="str">
            <v>YES</v>
          </cell>
          <cell r="C560" t="str">
            <v>Crewe CHP at Crewe WWTW</v>
          </cell>
          <cell r="D560">
            <v>325</v>
          </cell>
          <cell r="E560" t="str">
            <v>United Utilities Water plc</v>
          </cell>
          <cell r="F560" t="str">
            <v>R00017RREN</v>
          </cell>
          <cell r="G560">
            <v>1</v>
          </cell>
          <cell r="H560" t="str">
            <v>Main Road
Worleston
Nantwich
Cheshire
</v>
          </cell>
          <cell r="I560" t="str">
            <v>CH5 6AV</v>
          </cell>
          <cell r="J560">
            <v>37347</v>
          </cell>
        </row>
        <row r="561">
          <cell r="B561" t="str">
            <v>YES</v>
          </cell>
          <cell r="C561" t="str">
            <v>Davyhulme CHP at Davyhulme WWTW</v>
          </cell>
          <cell r="D561">
            <v>5670</v>
          </cell>
          <cell r="E561" t="str">
            <v>United Utilities Water plc</v>
          </cell>
          <cell r="F561" t="str">
            <v>R00006RREN</v>
          </cell>
          <cell r="G561">
            <v>1</v>
          </cell>
          <cell r="H561" t="str">
            <v>Rivers Lane
Urmston
Manchester
</v>
          </cell>
          <cell r="I561" t="str">
            <v>M31 2JB</v>
          </cell>
          <cell r="J561">
            <v>37347</v>
          </cell>
        </row>
        <row r="562">
          <cell r="B562" t="str">
            <v>YES</v>
          </cell>
          <cell r="C562" t="str">
            <v>Dukinfield CHP at Dukinfield WWTW</v>
          </cell>
          <cell r="D562">
            <v>945</v>
          </cell>
          <cell r="E562" t="str">
            <v>United Utilities Water plc</v>
          </cell>
          <cell r="F562" t="str">
            <v>R00012RREN</v>
          </cell>
          <cell r="G562">
            <v>1</v>
          </cell>
          <cell r="H562" t="str">
            <v>Gate Street
Dukinfield
Cheshire
</v>
          </cell>
          <cell r="I562" t="str">
            <v>SK16 4RT</v>
          </cell>
          <cell r="J562">
            <v>37347</v>
          </cell>
        </row>
        <row r="563">
          <cell r="B563" t="str">
            <v>YES</v>
          </cell>
          <cell r="C563" t="str">
            <v>East Hyde STW</v>
          </cell>
          <cell r="D563">
            <v>450</v>
          </cell>
          <cell r="E563" t="str">
            <v>Thames Water Utilities Ltd</v>
          </cell>
          <cell r="F563" t="str">
            <v>R00033RREN</v>
          </cell>
          <cell r="G563">
            <v>1</v>
          </cell>
          <cell r="H563" t="str">
            <v>Lower Luton Rd, East Hyde, Luton, Beds</v>
          </cell>
          <cell r="I563" t="str">
            <v>LU1 3TS</v>
          </cell>
          <cell r="J563">
            <v>37347</v>
          </cell>
        </row>
        <row r="564">
          <cell r="B564" t="str">
            <v>YES</v>
          </cell>
          <cell r="C564" t="str">
            <v>Ellesmere Port CHP at Ellesmere Port WWTW</v>
          </cell>
          <cell r="D564">
            <v>255</v>
          </cell>
          <cell r="E564" t="str">
            <v>United Utilities Water plc</v>
          </cell>
          <cell r="F564" t="str">
            <v>R00018RREN</v>
          </cell>
          <cell r="G564">
            <v>1</v>
          </cell>
          <cell r="H564" t="str">
            <v>Little Stanngy
Ellesmere Port
Near Chester
Cheshire
</v>
          </cell>
          <cell r="I564" t="str">
            <v>CH4 5YA</v>
          </cell>
          <cell r="J564">
            <v>37347</v>
          </cell>
        </row>
        <row r="565">
          <cell r="B565" t="str">
            <v>YES</v>
          </cell>
          <cell r="C565" t="str">
            <v>Finham STW</v>
          </cell>
          <cell r="D565">
            <v>1080</v>
          </cell>
          <cell r="E565" t="str">
            <v>Severn Trent Water Ltd</v>
          </cell>
          <cell r="F565" t="str">
            <v>R00021RREN</v>
          </cell>
          <cell r="G565">
            <v>1</v>
          </cell>
          <cell r="H565" t="str">
            <v>St Martins Road
Finham
Coventry
</v>
          </cell>
          <cell r="I565" t="str">
            <v>CV3 6SD</v>
          </cell>
          <cell r="J565">
            <v>37347</v>
          </cell>
        </row>
        <row r="566">
          <cell r="B566" t="str">
            <v>YES</v>
          </cell>
          <cell r="C566" t="str">
            <v>Great Billing STW CHP</v>
          </cell>
          <cell r="D566">
            <v>1000</v>
          </cell>
          <cell r="E566" t="str">
            <v>Anglian Water Services Ltd</v>
          </cell>
          <cell r="F566" t="str">
            <v>R00097RREN</v>
          </cell>
          <cell r="G566">
            <v>1</v>
          </cell>
          <cell r="H566" t="str">
            <v>23 Crow Lane, Great Billing, Northamptonshire</v>
          </cell>
          <cell r="I566" t="str">
            <v>NN34BX</v>
          </cell>
          <cell r="J566">
            <v>37742</v>
          </cell>
          <cell r="K566">
            <v>37803</v>
          </cell>
        </row>
        <row r="567">
          <cell r="B567" t="str">
            <v>YES</v>
          </cell>
          <cell r="C567" t="str">
            <v>Hayle STW</v>
          </cell>
          <cell r="D567">
            <v>335</v>
          </cell>
          <cell r="E567" t="str">
            <v>South West Water Ltd</v>
          </cell>
          <cell r="F567" t="str">
            <v>R00041RREN</v>
          </cell>
          <cell r="G567">
            <v>1</v>
          </cell>
          <cell r="H567" t="str">
            <v>Hayle Sewage Treatment Works, Treloweth Lane, St Erth, Hayle, Cornwall</v>
          </cell>
          <cell r="I567" t="str">
            <v>TR27 4RA</v>
          </cell>
          <cell r="J567">
            <v>37347</v>
          </cell>
          <cell r="K567">
            <v>37469</v>
          </cell>
        </row>
        <row r="568">
          <cell r="B568" t="str">
            <v>YES</v>
          </cell>
          <cell r="C568" t="str">
            <v>Hexham STW</v>
          </cell>
          <cell r="D568">
            <v>80</v>
          </cell>
          <cell r="E568" t="str">
            <v>Northumbrian Water Ltd</v>
          </cell>
          <cell r="F568" t="str">
            <v>R00024RREN</v>
          </cell>
          <cell r="G568">
            <v>1</v>
          </cell>
          <cell r="H568" t="str">
            <v>Anick Grange Road, Hexham</v>
          </cell>
          <cell r="I568" t="str">
            <v>NE46 4JR</v>
          </cell>
          <cell r="J568">
            <v>37347</v>
          </cell>
        </row>
        <row r="569">
          <cell r="B569" t="str">
            <v>YES</v>
          </cell>
          <cell r="C569" t="str">
            <v>Hillhouse CHP at Hillhouse WWTW</v>
          </cell>
          <cell r="D569">
            <v>255</v>
          </cell>
          <cell r="E569" t="str">
            <v>United Utilities Water plc</v>
          </cell>
          <cell r="F569" t="str">
            <v>R00014RREN</v>
          </cell>
          <cell r="G569">
            <v>1</v>
          </cell>
          <cell r="H569" t="str">
            <v>Wood Lane
Altcar
Formay
Merseyside
</v>
          </cell>
          <cell r="I569" t="str">
            <v>L37 9BA</v>
          </cell>
          <cell r="J569">
            <v>37347</v>
          </cell>
        </row>
        <row r="570">
          <cell r="B570" t="str">
            <v>YES</v>
          </cell>
          <cell r="C570" t="str">
            <v>Hogsmill STW</v>
          </cell>
          <cell r="D570">
            <v>938</v>
          </cell>
          <cell r="E570" t="str">
            <v>Thames Water Utilities Ltd</v>
          </cell>
          <cell r="F570" t="str">
            <v>R00034RREN</v>
          </cell>
          <cell r="G570">
            <v>1</v>
          </cell>
          <cell r="H570" t="str">
            <v>Lower Marsh Lane, Kingston-upon-Thames, Surrey</v>
          </cell>
          <cell r="I570" t="str">
            <v>KT1 3BW</v>
          </cell>
          <cell r="J570">
            <v>37347</v>
          </cell>
        </row>
        <row r="571">
          <cell r="B571" t="str">
            <v>YES</v>
          </cell>
          <cell r="C571" t="str">
            <v>Huyton CHP at Huyton WWTW</v>
          </cell>
          <cell r="D571">
            <v>170</v>
          </cell>
          <cell r="E571" t="str">
            <v>United Utilities Water plc</v>
          </cell>
          <cell r="F571" t="str">
            <v>R00019RREN</v>
          </cell>
          <cell r="G571">
            <v>1</v>
          </cell>
          <cell r="H571" t="str">
            <v>Coney Lane
Tarbock Road
Huyton
Merseyside
</v>
          </cell>
          <cell r="I571" t="str">
            <v>L36 0SF</v>
          </cell>
          <cell r="J571">
            <v>37347</v>
          </cell>
        </row>
        <row r="572">
          <cell r="B572" t="str">
            <v>YES</v>
          </cell>
          <cell r="C572" t="str">
            <v>Kidsgrove CHP at Kidsgrove WWTW</v>
          </cell>
          <cell r="D572">
            <v>85</v>
          </cell>
          <cell r="E572" t="str">
            <v>United Utilities Water plc</v>
          </cell>
          <cell r="F572" t="str">
            <v>R00004RREN</v>
          </cell>
          <cell r="G572">
            <v>1</v>
          </cell>
          <cell r="H572" t="str">
            <v>Liverpool Road East
Church Lawton
Stoke-on-Trent
</v>
          </cell>
          <cell r="I572" t="str">
            <v>ST7 3AH</v>
          </cell>
          <cell r="J572">
            <v>37347</v>
          </cell>
        </row>
        <row r="573">
          <cell r="B573" t="str">
            <v>YES</v>
          </cell>
          <cell r="C573" t="str">
            <v>Kilmington STW CHP</v>
          </cell>
          <cell r="D573">
            <v>105</v>
          </cell>
          <cell r="E573" t="str">
            <v>South West Water Ltd</v>
          </cell>
          <cell r="F573" t="str">
            <v>R00098RREN</v>
          </cell>
          <cell r="G573">
            <v>1</v>
          </cell>
          <cell r="H573" t="str">
            <v>Kilmington, Axminster, Devon</v>
          </cell>
          <cell r="I573" t="str">
            <v>EX13 7RG</v>
          </cell>
          <cell r="J573">
            <v>37742</v>
          </cell>
          <cell r="K573">
            <v>37803</v>
          </cell>
        </row>
        <row r="574">
          <cell r="B574" t="str">
            <v>YES</v>
          </cell>
          <cell r="C574" t="str">
            <v>Kingsbridge STW CHP</v>
          </cell>
          <cell r="D574">
            <v>60</v>
          </cell>
          <cell r="E574" t="str">
            <v>South West Water Ltd</v>
          </cell>
          <cell r="F574" t="str">
            <v>R00045RREN</v>
          </cell>
          <cell r="G574">
            <v>1</v>
          </cell>
          <cell r="H574" t="str">
            <v>Peninsula House, Rydon Lane, Exeter, Devon</v>
          </cell>
          <cell r="I574" t="str">
            <v>EX2 7HR</v>
          </cell>
          <cell r="J574">
            <v>37347</v>
          </cell>
          <cell r="K574">
            <v>37500</v>
          </cell>
        </row>
        <row r="575">
          <cell r="B575" t="str">
            <v>YES</v>
          </cell>
          <cell r="C575" t="str">
            <v>Lancaster CHP at Lancaster WWTW</v>
          </cell>
          <cell r="D575">
            <v>165</v>
          </cell>
          <cell r="E575" t="str">
            <v>United Utilities Water plc</v>
          </cell>
          <cell r="F575" t="str">
            <v>R00009RREN</v>
          </cell>
          <cell r="G575">
            <v>1</v>
          </cell>
          <cell r="H575" t="str">
            <v>Ashton with Stodday
Lancaster
</v>
          </cell>
          <cell r="I575" t="str">
            <v>LA2 0AG</v>
          </cell>
          <cell r="J575">
            <v>37347</v>
          </cell>
        </row>
        <row r="576">
          <cell r="B576" t="str">
            <v>YES</v>
          </cell>
          <cell r="C576" t="str">
            <v>Leigh CHP at Leigh WWTW</v>
          </cell>
          <cell r="D576">
            <v>121</v>
          </cell>
          <cell r="E576" t="str">
            <v>United Utilities Water plc</v>
          </cell>
          <cell r="F576" t="str">
            <v>R00005RREN</v>
          </cell>
          <cell r="G576">
            <v>1</v>
          </cell>
          <cell r="H576" t="str">
            <v>Hode Carr Lane
Leigh
Lancaster
Lancastershire
</v>
          </cell>
          <cell r="I576" t="str">
            <v>WN7 2PW</v>
          </cell>
          <cell r="J576">
            <v>37347</v>
          </cell>
        </row>
        <row r="577">
          <cell r="B577" t="str">
            <v>YES</v>
          </cell>
          <cell r="C577" t="str">
            <v>Liskeard STW CHP</v>
          </cell>
          <cell r="D577">
            <v>60</v>
          </cell>
          <cell r="E577" t="str">
            <v>South West Water Ltd</v>
          </cell>
          <cell r="F577" t="str">
            <v>R00046RREN</v>
          </cell>
          <cell r="G577">
            <v>1</v>
          </cell>
          <cell r="H577" t="str">
            <v>Peninsula House, Rydon Lane, Exeter, Devon</v>
          </cell>
          <cell r="I577" t="str">
            <v>EX2 7HR</v>
          </cell>
          <cell r="J577">
            <v>37347</v>
          </cell>
          <cell r="K577">
            <v>37500</v>
          </cell>
        </row>
        <row r="578">
          <cell r="B578" t="str">
            <v>YES</v>
          </cell>
          <cell r="C578" t="str">
            <v>Minworth Generating Station</v>
          </cell>
          <cell r="D578">
            <v>9500</v>
          </cell>
          <cell r="E578" t="str">
            <v>Severn Trent Water Ltd</v>
          </cell>
          <cell r="F578" t="str">
            <v>R00023RREN</v>
          </cell>
          <cell r="G578">
            <v>1</v>
          </cell>
          <cell r="H578" t="str">
            <v>Severn Trent Water Ltd Generating Station
Water Orton Lane
Minworth
Sutton Coldfield
</v>
          </cell>
          <cell r="I578" t="str">
            <v>B76 9BE</v>
          </cell>
          <cell r="J578">
            <v>37347</v>
          </cell>
        </row>
        <row r="579">
          <cell r="B579" t="str">
            <v>YES</v>
          </cell>
          <cell r="C579" t="str">
            <v>Mogden STW*</v>
          </cell>
          <cell r="D579">
            <v>8300</v>
          </cell>
          <cell r="E579" t="str">
            <v>Thames Water Utilities Plc</v>
          </cell>
          <cell r="F579" t="str">
            <v>R00043RREN</v>
          </cell>
          <cell r="G579">
            <v>1</v>
          </cell>
          <cell r="H579" t="str">
            <v>Mogden Sewage Treatment Works, Mogden Lane, Isleworth, Middlesex</v>
          </cell>
          <cell r="I579" t="str">
            <v>TW7 7LP</v>
          </cell>
          <cell r="J579">
            <v>37347</v>
          </cell>
          <cell r="K579">
            <v>37469</v>
          </cell>
        </row>
        <row r="580">
          <cell r="B580" t="str">
            <v>YES</v>
          </cell>
          <cell r="C580" t="str">
            <v>Monkmoor STW Generating Station</v>
          </cell>
          <cell r="D580">
            <v>100</v>
          </cell>
          <cell r="E580" t="str">
            <v>Severn Trent Water Ltd</v>
          </cell>
          <cell r="F580" t="str">
            <v>R00096RREN</v>
          </cell>
          <cell r="G580">
            <v>1</v>
          </cell>
          <cell r="H580" t="str">
            <v>Monkmoor Sewage Treatment Works, Monkmoor Road, Shrewsbury</v>
          </cell>
          <cell r="I580" t="str">
            <v>SY2 5TL</v>
          </cell>
          <cell r="J580">
            <v>37742</v>
          </cell>
          <cell r="K580">
            <v>37773</v>
          </cell>
        </row>
        <row r="581">
          <cell r="B581" t="str">
            <v>YES</v>
          </cell>
          <cell r="C581" t="str">
            <v>Oldham CHP at Oldham WWTW</v>
          </cell>
          <cell r="D581">
            <v>630</v>
          </cell>
          <cell r="E581" t="str">
            <v>United Utilities Water plc</v>
          </cell>
          <cell r="F581" t="str">
            <v>R00016RREN</v>
          </cell>
          <cell r="G581">
            <v>1</v>
          </cell>
          <cell r="H581" t="str">
            <v>Foxdenton Lane
Chadderton
Oldham
</v>
          </cell>
          <cell r="I581" t="str">
            <v>OL9 9WR</v>
          </cell>
          <cell r="J581">
            <v>37347</v>
          </cell>
        </row>
        <row r="582">
          <cell r="B582" t="str">
            <v>YES</v>
          </cell>
          <cell r="C582" t="str">
            <v>Oxford (Sandford) STW</v>
          </cell>
          <cell r="D582">
            <v>680</v>
          </cell>
          <cell r="E582" t="str">
            <v>Thames Water Utilities Plc</v>
          </cell>
          <cell r="F582" t="str">
            <v>R00031RREN</v>
          </cell>
          <cell r="G582">
            <v>1</v>
          </cell>
          <cell r="H582" t="str">
            <v>Kiln Lane, Sandford-on-Thames, Oxford, Oxfordshire</v>
          </cell>
          <cell r="I582" t="str">
            <v>OX4 4YX</v>
          </cell>
          <cell r="J582">
            <v>37347</v>
          </cell>
        </row>
        <row r="583">
          <cell r="B583" t="str">
            <v>YES</v>
          </cell>
          <cell r="C583" t="str">
            <v>Plympton STW CHP</v>
          </cell>
          <cell r="D583">
            <v>165</v>
          </cell>
          <cell r="E583" t="str">
            <v>South West Water Ltd</v>
          </cell>
          <cell r="F583" t="str">
            <v>R00047RREN</v>
          </cell>
          <cell r="G583">
            <v>1</v>
          </cell>
          <cell r="H583" t="str">
            <v>Peninsula House, Rydon Lane, Exeter, Devon</v>
          </cell>
          <cell r="I583" t="str">
            <v>EX2 7HR</v>
          </cell>
          <cell r="J583">
            <v>37347</v>
          </cell>
          <cell r="K583">
            <v>37500</v>
          </cell>
        </row>
        <row r="584">
          <cell r="B584" t="str">
            <v>YES</v>
          </cell>
          <cell r="C584" t="str">
            <v>Reading STW</v>
          </cell>
          <cell r="D584">
            <v>680</v>
          </cell>
          <cell r="E584" t="str">
            <v>Thames Water Utilities Plc</v>
          </cell>
          <cell r="F584" t="str">
            <v>R00026RREN</v>
          </cell>
          <cell r="G584">
            <v>1</v>
          </cell>
          <cell r="H584" t="str">
            <v>Manor Farm Road, Off Basingstoke Road, Reading, Berks</v>
          </cell>
          <cell r="I584" t="str">
            <v>RG1 6JJ</v>
          </cell>
          <cell r="J584">
            <v>37347</v>
          </cell>
        </row>
        <row r="585">
          <cell r="B585" t="str">
            <v>YES</v>
          </cell>
          <cell r="C585" t="str">
            <v>Runcorn CHP at Runcorn WWTW</v>
          </cell>
          <cell r="D585">
            <v>255</v>
          </cell>
          <cell r="E585" t="str">
            <v>United Utilities Water plc</v>
          </cell>
          <cell r="F585" t="str">
            <v>R00015RREN</v>
          </cell>
          <cell r="G585">
            <v>1</v>
          </cell>
          <cell r="H585" t="str">
            <v>Warrington Road
Asthmoor
Runcorn
Cheshire
</v>
          </cell>
          <cell r="I585" t="str">
            <v>WA7 1QH</v>
          </cell>
          <cell r="J585">
            <v>37347</v>
          </cell>
        </row>
        <row r="586">
          <cell r="B586" t="str">
            <v>YES</v>
          </cell>
          <cell r="C586" t="str">
            <v>Rushmoor STW</v>
          </cell>
          <cell r="D586">
            <v>110</v>
          </cell>
          <cell r="E586" t="str">
            <v>Severn Trent Water Ltd</v>
          </cell>
          <cell r="F586" t="str">
            <v>R00040RREN</v>
          </cell>
          <cell r="G586">
            <v>1</v>
          </cell>
          <cell r="H586" t="str">
            <v>Severn Trent Water Ltd, Rushmoor STW, Rushmoor, Telford, Shropshire</v>
          </cell>
          <cell r="I586" t="str">
            <v>TF6 5EX</v>
          </cell>
          <cell r="J586">
            <v>37347</v>
          </cell>
        </row>
        <row r="587">
          <cell r="B587" t="str">
            <v>YES</v>
          </cell>
          <cell r="C587" t="str">
            <v>Ryemeads STW</v>
          </cell>
          <cell r="D587">
            <v>1480</v>
          </cell>
          <cell r="E587" t="str">
            <v>Thames Water Utilities Ltd</v>
          </cell>
          <cell r="F587" t="str">
            <v>R00036RREN</v>
          </cell>
          <cell r="G587">
            <v>1</v>
          </cell>
          <cell r="H587" t="str">
            <v>Rye Road, Stanstead Abbotts, Herts</v>
          </cell>
          <cell r="I587" t="str">
            <v>SG12 8JY</v>
          </cell>
          <cell r="J587">
            <v>37347</v>
          </cell>
        </row>
        <row r="588">
          <cell r="B588" t="str">
            <v>YES</v>
          </cell>
          <cell r="C588" t="str">
            <v>Sandon Dock CHP at Liverpool WWTW</v>
          </cell>
          <cell r="D588">
            <v>1800</v>
          </cell>
          <cell r="E588" t="str">
            <v>United Utilities Water plc</v>
          </cell>
          <cell r="F588" t="str">
            <v>R00042RREN</v>
          </cell>
          <cell r="G588">
            <v>1</v>
          </cell>
          <cell r="H588" t="str">
            <v>United Utilities, Liverpool WWTW, Sandon Dock, Regent Road, Liverpool, Merseyside</v>
          </cell>
          <cell r="I588" t="str">
            <v>L3 0BE</v>
          </cell>
          <cell r="J588">
            <v>37438</v>
          </cell>
          <cell r="K588">
            <v>37469</v>
          </cell>
        </row>
        <row r="589">
          <cell r="B589" t="str">
            <v>YES</v>
          </cell>
          <cell r="C589" t="str">
            <v>Sandall WWTW</v>
          </cell>
          <cell r="D589">
            <v>330</v>
          </cell>
          <cell r="E589" t="str">
            <v>Yorkshire Water</v>
          </cell>
          <cell r="F589" t="str">
            <v>R00099RREN</v>
          </cell>
          <cell r="G589">
            <v>1</v>
          </cell>
          <cell r="H589" t="str">
            <v>Wheatley Hall Road, Doncaster, South Yorkshire</v>
          </cell>
          <cell r="I589" t="str">
            <v>DN2 4NU</v>
          </cell>
          <cell r="J589">
            <v>37742</v>
          </cell>
          <cell r="K589">
            <v>37833</v>
          </cell>
        </row>
        <row r="590">
          <cell r="B590" t="str">
            <v>YES</v>
          </cell>
          <cell r="C590" t="str">
            <v>Slough STW</v>
          </cell>
          <cell r="D590">
            <v>680</v>
          </cell>
          <cell r="E590" t="str">
            <v>Thames Water Utilities Plc</v>
          </cell>
          <cell r="F590" t="str">
            <v>R00028RREN</v>
          </cell>
          <cell r="G590">
            <v>1</v>
          </cell>
          <cell r="H590" t="str">
            <v>Wood Lane, Slough, Berkshire</v>
          </cell>
          <cell r="J590">
            <v>37347</v>
          </cell>
        </row>
        <row r="591">
          <cell r="B591" t="str">
            <v>YES</v>
          </cell>
          <cell r="C591" t="str">
            <v>Stockport CHP at Stockport WWTW</v>
          </cell>
          <cell r="D591">
            <v>500</v>
          </cell>
          <cell r="E591" t="str">
            <v>United Utilities Water plc</v>
          </cell>
          <cell r="F591" t="str">
            <v>R00008RREN</v>
          </cell>
          <cell r="G591">
            <v>1</v>
          </cell>
          <cell r="H591" t="str">
            <v>Heathside
Stockport
Cheshire
</v>
          </cell>
          <cell r="J591">
            <v>37347</v>
          </cell>
        </row>
        <row r="592">
          <cell r="B592" t="str">
            <v>YES</v>
          </cell>
          <cell r="C592" t="str">
            <v>Stoke Bardolph STW Generating Station</v>
          </cell>
          <cell r="D592">
            <v>2114</v>
          </cell>
          <cell r="E592" t="str">
            <v>Severn Trent Water Ltd</v>
          </cell>
          <cell r="F592" t="str">
            <v>R00003RREN</v>
          </cell>
          <cell r="G592">
            <v>1</v>
          </cell>
          <cell r="H592" t="str">
            <v>Severn Trent Water Ltd
Stoke Bardolph STW
Stoke Lane
Burton Joyce
Nottingham
</v>
          </cell>
          <cell r="I592" t="str">
            <v>NG14 5HL</v>
          </cell>
          <cell r="J592">
            <v>37347</v>
          </cell>
        </row>
        <row r="593">
          <cell r="B593" t="str">
            <v>YES</v>
          </cell>
          <cell r="C593" t="str">
            <v>Stressholme STW</v>
          </cell>
          <cell r="D593">
            <v>340</v>
          </cell>
          <cell r="E593" t="str">
            <v>Northumbrian Water Ltd</v>
          </cell>
          <cell r="F593" t="str">
            <v>R00020RREN</v>
          </cell>
          <cell r="G593">
            <v>1</v>
          </cell>
          <cell r="H593" t="str">
            <v>Snipe Lane
Blackwell
Darlington
</v>
          </cell>
          <cell r="I593" t="str">
            <v>DL2 2SA</v>
          </cell>
          <cell r="J593">
            <v>37347</v>
          </cell>
        </row>
        <row r="594">
          <cell r="B594" t="str">
            <v>YES</v>
          </cell>
          <cell r="C594" t="str">
            <v>Swindon STW</v>
          </cell>
          <cell r="D594">
            <v>450</v>
          </cell>
          <cell r="E594" t="str">
            <v>Thames Water Utilities Plc</v>
          </cell>
          <cell r="F594" t="str">
            <v>R00027RREN</v>
          </cell>
          <cell r="G594">
            <v>1</v>
          </cell>
          <cell r="H594" t="str">
            <v>Barnfield Road, Swindon, Wiltshire</v>
          </cell>
          <cell r="I594" t="str">
            <v>SN2 2DP</v>
          </cell>
          <cell r="J594">
            <v>37347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Cs claimed but not yet issued"/>
      <sheetName val="ROCs by Month"/>
      <sheetName val="ROCs by Tech &amp; Country"/>
      <sheetName val="Tech &amp; Country Chart"/>
      <sheetName val="ROCs by Tech &amp; Order"/>
      <sheetName val="Tech &amp; Order Chart"/>
      <sheetName val="ROCs by Country Pie Chart"/>
      <sheetName val="DATA"/>
    </sheetNames>
    <sheetDataSet>
      <sheetData sheetId="4">
        <row r="5">
          <cell r="D5" t="str">
            <v>NIROCs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Y97"/>
  <sheetViews>
    <sheetView tabSelected="1" zoomScale="75" zoomScaleNormal="75" workbookViewId="0" topLeftCell="A1">
      <selection activeCell="M33" sqref="M33"/>
    </sheetView>
  </sheetViews>
  <sheetFormatPr defaultColWidth="9.140625" defaultRowHeight="12.75"/>
  <cols>
    <col min="1" max="1" width="2.8515625" style="52" customWidth="1"/>
    <col min="2" max="16384" width="14.140625" style="52" customWidth="1"/>
  </cols>
  <sheetData>
    <row r="1" ht="15.75">
      <c r="F1" s="53"/>
    </row>
    <row r="2" spans="5:18" ht="14.25"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5:25" ht="12.75">
      <c r="O3" s="10"/>
      <c r="P3" s="9"/>
      <c r="Q3" s="9"/>
      <c r="R3" s="9"/>
      <c r="S3" s="9"/>
      <c r="T3" s="9"/>
      <c r="U3" s="9"/>
      <c r="V3" s="9"/>
      <c r="W3" s="9"/>
      <c r="X3" s="9"/>
      <c r="Y3" s="9"/>
    </row>
    <row r="4" spans="15:25" ht="12.75">
      <c r="O4" s="11"/>
      <c r="P4" s="12"/>
      <c r="Q4" s="13"/>
      <c r="R4" s="12"/>
      <c r="S4" s="12"/>
      <c r="T4" s="12"/>
      <c r="U4" s="12"/>
      <c r="V4" s="13"/>
      <c r="W4" s="12"/>
      <c r="X4" s="12"/>
      <c r="Y4" s="14"/>
    </row>
    <row r="5" spans="15:25" ht="12.75">
      <c r="O5" s="11"/>
      <c r="P5" s="12"/>
      <c r="Q5" s="13"/>
      <c r="R5" s="12"/>
      <c r="S5" s="12"/>
      <c r="T5" s="12"/>
      <c r="U5" s="12"/>
      <c r="V5" s="13"/>
      <c r="W5" s="12"/>
      <c r="X5" s="12"/>
      <c r="Y5" s="14"/>
    </row>
    <row r="6" spans="15:25" ht="12.75">
      <c r="O6" s="11"/>
      <c r="P6" s="12"/>
      <c r="Q6" s="15"/>
      <c r="R6" s="12"/>
      <c r="S6" s="12"/>
      <c r="T6" s="12"/>
      <c r="U6" s="12"/>
      <c r="V6" s="13"/>
      <c r="W6" s="12"/>
      <c r="X6" s="12"/>
      <c r="Y6" s="14"/>
    </row>
    <row r="7" spans="15:25" ht="12.75">
      <c r="O7" s="11"/>
      <c r="P7" s="12"/>
      <c r="Q7" s="13"/>
      <c r="R7" s="12"/>
      <c r="S7" s="12"/>
      <c r="T7" s="12"/>
      <c r="U7" s="12"/>
      <c r="V7" s="13"/>
      <c r="W7" s="12"/>
      <c r="X7" s="12"/>
      <c r="Y7" s="14"/>
    </row>
    <row r="8" spans="15:25" ht="12.75">
      <c r="O8" s="11"/>
      <c r="P8" s="12"/>
      <c r="Q8" s="13"/>
      <c r="R8" s="12"/>
      <c r="S8" s="12"/>
      <c r="T8" s="12"/>
      <c r="U8" s="12"/>
      <c r="V8" s="13"/>
      <c r="W8" s="15"/>
      <c r="X8" s="12"/>
      <c r="Y8" s="14"/>
    </row>
    <row r="9" spans="15:25" ht="12.75">
      <c r="O9" s="11"/>
      <c r="P9" s="12"/>
      <c r="Q9" s="13"/>
      <c r="R9" s="12"/>
      <c r="S9" s="12"/>
      <c r="T9" s="12"/>
      <c r="U9" s="12"/>
      <c r="V9" s="13"/>
      <c r="W9" s="12"/>
      <c r="X9" s="12"/>
      <c r="Y9" s="14"/>
    </row>
    <row r="10" spans="15:25" ht="12.75">
      <c r="O10" s="11"/>
      <c r="P10" s="12"/>
      <c r="Q10" s="13"/>
      <c r="R10" s="12"/>
      <c r="S10" s="12"/>
      <c r="T10" s="12"/>
      <c r="U10" s="12"/>
      <c r="V10" s="13"/>
      <c r="W10" s="12"/>
      <c r="X10" s="12"/>
      <c r="Y10" s="14"/>
    </row>
    <row r="11" spans="5:25" ht="14.25"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1"/>
      <c r="P11" s="12"/>
      <c r="Q11" s="13"/>
      <c r="R11" s="15"/>
      <c r="S11" s="15"/>
      <c r="T11" s="12"/>
      <c r="U11" s="12"/>
      <c r="V11" s="13"/>
      <c r="W11" s="12"/>
      <c r="X11" s="16"/>
      <c r="Y11" s="14"/>
    </row>
    <row r="12" spans="5:25" ht="14.25"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1"/>
      <c r="P12" s="12"/>
      <c r="Q12" s="13"/>
      <c r="R12" s="12"/>
      <c r="S12" s="12"/>
      <c r="T12" s="12"/>
      <c r="U12" s="12"/>
      <c r="V12" s="13"/>
      <c r="W12" s="12"/>
      <c r="X12" s="12"/>
      <c r="Y12" s="14"/>
    </row>
    <row r="13" spans="5:25" ht="14.25"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1"/>
      <c r="P13" s="12"/>
      <c r="Q13" s="15"/>
      <c r="R13" s="12"/>
      <c r="S13" s="12"/>
      <c r="T13" s="12"/>
      <c r="U13" s="12"/>
      <c r="V13" s="13"/>
      <c r="W13" s="12"/>
      <c r="X13" s="12"/>
      <c r="Y13" s="14"/>
    </row>
    <row r="14" spans="5:25" ht="14.25"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1"/>
      <c r="P14" s="12"/>
      <c r="Q14" s="13"/>
      <c r="R14" s="12"/>
      <c r="S14" s="12"/>
      <c r="T14" s="12"/>
      <c r="U14" s="12"/>
      <c r="V14" s="13"/>
      <c r="W14" s="12"/>
      <c r="X14" s="12"/>
      <c r="Y14" s="14"/>
    </row>
    <row r="15" spans="5:25" ht="14.25"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1"/>
      <c r="P15" s="12"/>
      <c r="Q15" s="13"/>
      <c r="R15" s="12"/>
      <c r="S15" s="12"/>
      <c r="T15" s="12"/>
      <c r="U15" s="12"/>
      <c r="V15" s="13"/>
      <c r="W15" s="12"/>
      <c r="X15" s="12"/>
      <c r="Y15" s="14"/>
    </row>
    <row r="16" spans="5:25" ht="14.25"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5:18" ht="14.25"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5:18" s="55" customFormat="1" ht="14.25">
      <c r="E18" s="56"/>
      <c r="G18" s="57"/>
      <c r="H18" s="56"/>
      <c r="I18" s="56"/>
      <c r="K18" s="56"/>
      <c r="L18" s="56"/>
      <c r="M18" s="54"/>
      <c r="N18" s="54"/>
      <c r="O18" s="54"/>
      <c r="P18" s="54"/>
      <c r="Q18" s="54"/>
      <c r="R18" s="54"/>
    </row>
    <row r="19" spans="5:18" s="55" customFormat="1" ht="14.25">
      <c r="E19" s="56"/>
      <c r="G19" s="57"/>
      <c r="H19" s="56"/>
      <c r="I19" s="56"/>
      <c r="K19" s="56"/>
      <c r="L19" s="56"/>
      <c r="M19" s="54"/>
      <c r="N19" s="54"/>
      <c r="O19" s="54"/>
      <c r="P19" s="54"/>
      <c r="Q19" s="54"/>
      <c r="R19" s="54"/>
    </row>
    <row r="20" spans="5:18" s="55" customFormat="1" ht="14.25">
      <c r="E20" s="56"/>
      <c r="G20" s="57"/>
      <c r="H20" s="56"/>
      <c r="I20" s="56"/>
      <c r="K20" s="56"/>
      <c r="L20" s="56"/>
      <c r="M20" s="54"/>
      <c r="N20" s="54"/>
      <c r="O20" s="54"/>
      <c r="P20" s="54"/>
      <c r="Q20" s="54"/>
      <c r="R20" s="54"/>
    </row>
    <row r="21" spans="5:18" s="55" customFormat="1" ht="14.25">
      <c r="E21" s="56"/>
      <c r="G21" s="57"/>
      <c r="H21" s="56"/>
      <c r="I21" s="56"/>
      <c r="K21" s="56"/>
      <c r="L21" s="56"/>
      <c r="M21" s="54"/>
      <c r="N21" s="54"/>
      <c r="O21" s="54"/>
      <c r="P21" s="54"/>
      <c r="Q21" s="54"/>
      <c r="R21" s="54"/>
    </row>
    <row r="22" spans="5:18" s="55" customFormat="1" ht="14.25">
      <c r="E22" s="56"/>
      <c r="G22" s="57"/>
      <c r="H22" s="56"/>
      <c r="I22" s="56"/>
      <c r="K22" s="56"/>
      <c r="L22" s="56"/>
      <c r="M22" s="54"/>
      <c r="N22" s="54"/>
      <c r="O22" s="54"/>
      <c r="P22" s="54"/>
      <c r="Q22" s="54"/>
      <c r="R22" s="54"/>
    </row>
    <row r="23" spans="5:18" s="55" customFormat="1" ht="14.25">
      <c r="E23" s="56"/>
      <c r="G23" s="57"/>
      <c r="H23" s="56"/>
      <c r="I23" s="56"/>
      <c r="K23" s="56"/>
      <c r="L23" s="56"/>
      <c r="M23" s="54"/>
      <c r="N23" s="54"/>
      <c r="O23" s="54"/>
      <c r="P23" s="54"/>
      <c r="Q23" s="54"/>
      <c r="R23" s="54"/>
    </row>
    <row r="24" spans="5:18" s="55" customFormat="1" ht="14.25">
      <c r="E24" s="56"/>
      <c r="G24" s="57"/>
      <c r="H24" s="56"/>
      <c r="I24" s="56"/>
      <c r="K24" s="56"/>
      <c r="L24" s="56"/>
      <c r="M24" s="54"/>
      <c r="N24" s="54"/>
      <c r="O24" s="54"/>
      <c r="P24" s="54"/>
      <c r="Q24" s="54"/>
      <c r="R24" s="54"/>
    </row>
    <row r="25" spans="5:18" s="55" customFormat="1" ht="14.25">
      <c r="E25" s="56"/>
      <c r="G25" s="57"/>
      <c r="H25" s="56"/>
      <c r="I25" s="56"/>
      <c r="K25" s="56"/>
      <c r="L25" s="56"/>
      <c r="M25" s="54"/>
      <c r="N25" s="54"/>
      <c r="O25" s="54"/>
      <c r="P25" s="54"/>
      <c r="Q25" s="54"/>
      <c r="R25" s="54"/>
    </row>
    <row r="26" spans="5:18" s="55" customFormat="1" ht="14.25">
      <c r="E26" s="56"/>
      <c r="G26" s="57"/>
      <c r="H26" s="56"/>
      <c r="I26" s="56"/>
      <c r="K26" s="56"/>
      <c r="L26" s="56"/>
      <c r="M26" s="54"/>
      <c r="N26" s="54"/>
      <c r="O26" s="54"/>
      <c r="P26" s="54"/>
      <c r="Q26" s="54"/>
      <c r="R26" s="54"/>
    </row>
    <row r="27" spans="5:18" s="55" customFormat="1" ht="12.75">
      <c r="E27" s="56"/>
      <c r="G27" s="57"/>
      <c r="H27" s="56"/>
      <c r="I27" s="56"/>
      <c r="K27" s="56"/>
      <c r="L27" s="56"/>
      <c r="M27" s="54"/>
      <c r="N27" s="54"/>
      <c r="O27" s="54"/>
      <c r="P27" s="54"/>
      <c r="Q27" s="54"/>
      <c r="R27" s="54"/>
    </row>
    <row r="28" spans="5:18" s="55" customFormat="1" ht="12.75">
      <c r="E28" s="56"/>
      <c r="G28" s="57"/>
      <c r="H28" s="56"/>
      <c r="I28" s="56"/>
      <c r="K28" s="56"/>
      <c r="L28" s="56"/>
      <c r="M28" s="54"/>
      <c r="N28" s="54"/>
      <c r="O28" s="54"/>
      <c r="P28" s="54"/>
      <c r="Q28" s="54"/>
      <c r="R28" s="54"/>
    </row>
    <row r="29" spans="2:18" s="55" customFormat="1" ht="13.5" thickBot="1">
      <c r="B29" s="58" t="s">
        <v>29</v>
      </c>
      <c r="C29" s="59"/>
      <c r="D29" s="60">
        <f>L63+L46+M80+M97</f>
        <v>37814982</v>
      </c>
      <c r="E29" s="56"/>
      <c r="G29" s="57"/>
      <c r="H29" s="56"/>
      <c r="I29" s="56"/>
      <c r="K29" s="56"/>
      <c r="L29" s="56"/>
      <c r="M29" s="54"/>
      <c r="N29" s="54"/>
      <c r="O29" s="54"/>
      <c r="P29" s="54"/>
      <c r="Q29" s="54"/>
      <c r="R29" s="54"/>
    </row>
    <row r="30" spans="2:18" s="55" customFormat="1" ht="12.75">
      <c r="B30" s="61"/>
      <c r="C30" s="62"/>
      <c r="D30" s="63"/>
      <c r="E30" s="56"/>
      <c r="G30" s="57"/>
      <c r="H30" s="56"/>
      <c r="I30" s="56"/>
      <c r="K30" s="56"/>
      <c r="L30" s="56"/>
      <c r="M30" s="54"/>
      <c r="N30" s="54"/>
      <c r="O30" s="54"/>
      <c r="P30" s="54"/>
      <c r="Q30" s="54"/>
      <c r="R30" s="54"/>
    </row>
    <row r="31" spans="2:15" ht="14.25" customHeight="1">
      <c r="B31" s="53"/>
      <c r="C31" s="53"/>
      <c r="E31" s="54"/>
      <c r="F31" s="54"/>
      <c r="G31" s="54"/>
      <c r="L31" s="54"/>
      <c r="M31" s="54"/>
      <c r="N31" s="64"/>
      <c r="O31" s="65"/>
    </row>
    <row r="32" spans="2:13" s="69" customFormat="1" ht="14.25" customHeight="1">
      <c r="B32" s="66" t="s">
        <v>23</v>
      </c>
      <c r="C32" s="74" t="s">
        <v>43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2" s="70" customFormat="1" ht="56.25" customHeight="1">
      <c r="B33" s="25" t="s">
        <v>8</v>
      </c>
      <c r="C33" s="26" t="s">
        <v>2</v>
      </c>
      <c r="D33" s="26" t="s">
        <v>17</v>
      </c>
      <c r="E33" s="26" t="s">
        <v>24</v>
      </c>
      <c r="F33" s="26" t="s">
        <v>25</v>
      </c>
      <c r="G33" s="26" t="s">
        <v>3</v>
      </c>
      <c r="H33" s="26" t="s">
        <v>26</v>
      </c>
      <c r="I33" s="26" t="s">
        <v>5</v>
      </c>
      <c r="J33" s="26" t="s">
        <v>7</v>
      </c>
      <c r="K33" s="26" t="s">
        <v>6</v>
      </c>
      <c r="L33" s="26" t="s">
        <v>27</v>
      </c>
    </row>
    <row r="34" spans="2:13" ht="14.25" customHeight="1">
      <c r="B34" s="2" t="s">
        <v>30</v>
      </c>
      <c r="C34" s="71">
        <v>37092</v>
      </c>
      <c r="D34" s="71">
        <v>0</v>
      </c>
      <c r="E34" s="71">
        <v>14713</v>
      </c>
      <c r="F34" s="71">
        <v>30401</v>
      </c>
      <c r="G34" s="71">
        <v>212260</v>
      </c>
      <c r="H34" s="71">
        <v>2657</v>
      </c>
      <c r="I34" s="71">
        <v>0</v>
      </c>
      <c r="J34" s="71">
        <v>83699</v>
      </c>
      <c r="K34" s="71">
        <v>15451</v>
      </c>
      <c r="L34" s="3">
        <v>396273</v>
      </c>
      <c r="M34" s="55"/>
    </row>
    <row r="35" spans="2:13" ht="14.25" customHeight="1">
      <c r="B35" s="2" t="s">
        <v>31</v>
      </c>
      <c r="C35" s="71">
        <v>44095</v>
      </c>
      <c r="D35" s="71">
        <v>0</v>
      </c>
      <c r="E35" s="71">
        <v>12405</v>
      </c>
      <c r="F35" s="71">
        <v>36395</v>
      </c>
      <c r="G35" s="71">
        <v>214306</v>
      </c>
      <c r="H35" s="71">
        <v>2955</v>
      </c>
      <c r="I35" s="71">
        <v>233</v>
      </c>
      <c r="J35" s="71">
        <v>99278</v>
      </c>
      <c r="K35" s="71">
        <v>16536</v>
      </c>
      <c r="L35" s="3">
        <v>426203</v>
      </c>
      <c r="M35" s="55"/>
    </row>
    <row r="36" spans="2:13" ht="14.25" customHeight="1">
      <c r="B36" s="2" t="s">
        <v>32</v>
      </c>
      <c r="C36" s="71">
        <v>50873</v>
      </c>
      <c r="D36" s="71">
        <v>0</v>
      </c>
      <c r="E36" s="71">
        <v>16770</v>
      </c>
      <c r="F36" s="71">
        <v>37407</v>
      </c>
      <c r="G36" s="71">
        <v>213248</v>
      </c>
      <c r="H36" s="71">
        <v>3728</v>
      </c>
      <c r="I36" s="71">
        <v>221</v>
      </c>
      <c r="J36" s="71">
        <v>88501</v>
      </c>
      <c r="K36" s="71">
        <v>13431</v>
      </c>
      <c r="L36" s="3">
        <v>424179</v>
      </c>
      <c r="M36" s="55"/>
    </row>
    <row r="37" spans="2:13" ht="14.25" customHeight="1">
      <c r="B37" s="2" t="s">
        <v>33</v>
      </c>
      <c r="C37" s="71">
        <v>45547</v>
      </c>
      <c r="D37" s="71">
        <v>0</v>
      </c>
      <c r="E37" s="71">
        <v>19747</v>
      </c>
      <c r="F37" s="71">
        <v>29375</v>
      </c>
      <c r="G37" s="71">
        <v>223729</v>
      </c>
      <c r="H37" s="71">
        <v>3392</v>
      </c>
      <c r="I37" s="71">
        <v>144</v>
      </c>
      <c r="J37" s="71">
        <v>45184</v>
      </c>
      <c r="K37" s="71">
        <v>13022</v>
      </c>
      <c r="L37" s="3">
        <v>380140</v>
      </c>
      <c r="M37" s="55"/>
    </row>
    <row r="38" spans="2:13" ht="14.25" customHeight="1">
      <c r="B38" s="2" t="s">
        <v>34</v>
      </c>
      <c r="C38" s="71">
        <v>55307</v>
      </c>
      <c r="D38" s="71">
        <v>0</v>
      </c>
      <c r="E38" s="71">
        <v>13898</v>
      </c>
      <c r="F38" s="71">
        <v>26797</v>
      </c>
      <c r="G38" s="71">
        <v>222598</v>
      </c>
      <c r="H38" s="71">
        <v>3046</v>
      </c>
      <c r="I38" s="71">
        <v>174</v>
      </c>
      <c r="J38" s="71">
        <v>36072</v>
      </c>
      <c r="K38" s="71">
        <v>12972</v>
      </c>
      <c r="L38" s="3">
        <v>370864</v>
      </c>
      <c r="M38" s="55"/>
    </row>
    <row r="39" spans="2:13" ht="14.25" customHeight="1">
      <c r="B39" s="2" t="s">
        <v>35</v>
      </c>
      <c r="C39" s="71">
        <v>47831</v>
      </c>
      <c r="D39" s="71">
        <v>0</v>
      </c>
      <c r="E39" s="71">
        <v>38082</v>
      </c>
      <c r="F39" s="71">
        <v>32605</v>
      </c>
      <c r="G39" s="71">
        <v>220246</v>
      </c>
      <c r="H39" s="71">
        <v>2623</v>
      </c>
      <c r="I39" s="71">
        <v>95</v>
      </c>
      <c r="J39" s="71">
        <v>39253</v>
      </c>
      <c r="K39" s="71">
        <v>13169</v>
      </c>
      <c r="L39" s="3">
        <v>393904</v>
      </c>
      <c r="M39" s="55"/>
    </row>
    <row r="40" spans="2:13" ht="14.25" customHeight="1">
      <c r="B40" s="2" t="s">
        <v>36</v>
      </c>
      <c r="C40" s="71">
        <v>52046</v>
      </c>
      <c r="D40" s="71">
        <v>0</v>
      </c>
      <c r="E40" s="71">
        <v>44124</v>
      </c>
      <c r="F40" s="71">
        <v>40043</v>
      </c>
      <c r="G40" s="71">
        <v>223909</v>
      </c>
      <c r="H40" s="71">
        <v>2740</v>
      </c>
      <c r="I40" s="71">
        <v>510</v>
      </c>
      <c r="J40" s="71">
        <v>91888</v>
      </c>
      <c r="K40" s="71">
        <v>15000</v>
      </c>
      <c r="L40" s="3">
        <v>470260</v>
      </c>
      <c r="M40" s="55"/>
    </row>
    <row r="41" spans="2:13" ht="14.25" customHeight="1">
      <c r="B41" s="2" t="s">
        <v>37</v>
      </c>
      <c r="C41" s="71">
        <v>47063</v>
      </c>
      <c r="D41" s="71">
        <v>0</v>
      </c>
      <c r="E41" s="71">
        <v>69188</v>
      </c>
      <c r="F41" s="71">
        <v>59095</v>
      </c>
      <c r="G41" s="71">
        <v>231283</v>
      </c>
      <c r="H41" s="71">
        <v>4489</v>
      </c>
      <c r="I41" s="71">
        <v>335</v>
      </c>
      <c r="J41" s="71">
        <v>115228</v>
      </c>
      <c r="K41" s="71">
        <v>15222</v>
      </c>
      <c r="L41" s="3">
        <v>541903</v>
      </c>
      <c r="M41" s="55"/>
    </row>
    <row r="42" spans="2:13" ht="14.25" customHeight="1">
      <c r="B42" s="2" t="s">
        <v>38</v>
      </c>
      <c r="C42" s="71">
        <v>44422</v>
      </c>
      <c r="D42" s="71">
        <v>0</v>
      </c>
      <c r="E42" s="71">
        <v>65610</v>
      </c>
      <c r="F42" s="71">
        <v>49624</v>
      </c>
      <c r="G42" s="71">
        <v>240690</v>
      </c>
      <c r="H42" s="71">
        <v>3764</v>
      </c>
      <c r="I42" s="71">
        <v>213</v>
      </c>
      <c r="J42" s="71">
        <v>121246</v>
      </c>
      <c r="K42" s="71">
        <v>16168</v>
      </c>
      <c r="L42" s="3">
        <v>541737</v>
      </c>
      <c r="M42" s="55"/>
    </row>
    <row r="43" spans="2:13" ht="14.25" customHeight="1">
      <c r="B43" s="2" t="s">
        <v>39</v>
      </c>
      <c r="C43" s="71">
        <v>51675</v>
      </c>
      <c r="D43" s="71">
        <v>33</v>
      </c>
      <c r="E43" s="71">
        <v>63841</v>
      </c>
      <c r="F43" s="71">
        <v>52747</v>
      </c>
      <c r="G43" s="71">
        <v>235715</v>
      </c>
      <c r="H43" s="71">
        <v>4031</v>
      </c>
      <c r="I43" s="71">
        <v>95</v>
      </c>
      <c r="J43" s="71">
        <v>154303</v>
      </c>
      <c r="K43" s="71">
        <v>15648</v>
      </c>
      <c r="L43" s="3">
        <v>578088</v>
      </c>
      <c r="M43" s="55"/>
    </row>
    <row r="44" spans="2:13" ht="14.25" customHeight="1">
      <c r="B44" s="2" t="s">
        <v>40</v>
      </c>
      <c r="C44" s="71">
        <v>62599</v>
      </c>
      <c r="D44" s="71">
        <v>59</v>
      </c>
      <c r="E44" s="71">
        <v>47205</v>
      </c>
      <c r="F44" s="71">
        <v>47676</v>
      </c>
      <c r="G44" s="71">
        <v>223837</v>
      </c>
      <c r="H44" s="71">
        <v>3847</v>
      </c>
      <c r="I44" s="71">
        <v>312</v>
      </c>
      <c r="J44" s="71">
        <v>112699</v>
      </c>
      <c r="K44" s="71">
        <v>15385</v>
      </c>
      <c r="L44" s="3">
        <v>513619</v>
      </c>
      <c r="M44" s="55"/>
    </row>
    <row r="45" spans="2:13" ht="14.25" customHeight="1">
      <c r="B45" s="2" t="s">
        <v>41</v>
      </c>
      <c r="C45" s="71">
        <v>69544</v>
      </c>
      <c r="D45" s="71">
        <v>81</v>
      </c>
      <c r="E45" s="71">
        <v>42930</v>
      </c>
      <c r="F45" s="71">
        <v>56407</v>
      </c>
      <c r="G45" s="71">
        <v>254923</v>
      </c>
      <c r="H45" s="71">
        <v>3648</v>
      </c>
      <c r="I45" s="71">
        <v>15</v>
      </c>
      <c r="J45" s="71">
        <v>102543</v>
      </c>
      <c r="K45" s="71">
        <v>16299</v>
      </c>
      <c r="L45" s="3">
        <v>546390</v>
      </c>
      <c r="M45" s="55"/>
    </row>
    <row r="46" spans="2:13" ht="14.25" customHeight="1">
      <c r="B46" s="2" t="s">
        <v>20</v>
      </c>
      <c r="C46" s="4">
        <v>608094</v>
      </c>
      <c r="D46" s="4">
        <v>173</v>
      </c>
      <c r="E46" s="4">
        <v>448513</v>
      </c>
      <c r="F46" s="4">
        <v>498572</v>
      </c>
      <c r="G46" s="4">
        <v>2716744</v>
      </c>
      <c r="H46" s="4">
        <v>40920</v>
      </c>
      <c r="I46" s="4">
        <v>2347</v>
      </c>
      <c r="J46" s="4">
        <v>1089894</v>
      </c>
      <c r="K46" s="4">
        <v>178303</v>
      </c>
      <c r="L46" s="3">
        <v>5583560</v>
      </c>
      <c r="M46" s="55"/>
    </row>
    <row r="47" spans="2:5" ht="14.25" customHeight="1">
      <c r="B47" s="54"/>
      <c r="C47" s="54"/>
      <c r="D47" s="54"/>
      <c r="E47" s="54"/>
    </row>
    <row r="48" ht="14.25" customHeight="1"/>
    <row r="49" spans="2:12" s="69" customFormat="1" ht="14.25" customHeight="1">
      <c r="B49" s="66" t="s">
        <v>21</v>
      </c>
      <c r="C49" s="67" t="s">
        <v>42</v>
      </c>
      <c r="D49" s="72"/>
      <c r="E49" s="72"/>
      <c r="F49" s="68"/>
      <c r="G49" s="68"/>
      <c r="H49" s="68"/>
      <c r="I49" s="68"/>
      <c r="J49" s="68"/>
      <c r="K49" s="68"/>
      <c r="L49" s="68"/>
    </row>
    <row r="50" spans="2:12" ht="45" customHeight="1">
      <c r="B50" s="25" t="s">
        <v>8</v>
      </c>
      <c r="C50" s="26" t="s">
        <v>44</v>
      </c>
      <c r="D50" s="26" t="s">
        <v>45</v>
      </c>
      <c r="E50" s="26" t="s">
        <v>46</v>
      </c>
      <c r="F50" s="26" t="s">
        <v>47</v>
      </c>
      <c r="G50" s="26" t="s">
        <v>48</v>
      </c>
      <c r="H50" s="26" t="s">
        <v>49</v>
      </c>
      <c r="I50" s="26" t="s">
        <v>50</v>
      </c>
      <c r="J50" s="26" t="s">
        <v>51</v>
      </c>
      <c r="K50" s="26" t="s">
        <v>52</v>
      </c>
      <c r="L50" s="26" t="s">
        <v>27</v>
      </c>
    </row>
    <row r="51" spans="2:12" ht="14.25" customHeight="1">
      <c r="B51" s="2" t="s">
        <v>30</v>
      </c>
      <c r="C51" s="19">
        <f>SUM(68335+0)</f>
        <v>68335</v>
      </c>
      <c r="D51" s="19">
        <f>SUM(139+0)</f>
        <v>139</v>
      </c>
      <c r="E51" s="19">
        <f>SUM(44915+7744)</f>
        <v>52659</v>
      </c>
      <c r="F51" s="19">
        <f>SUM(5797+29284+38)</f>
        <v>35119</v>
      </c>
      <c r="G51" s="19">
        <f>SUM(230096+8734+1095)</f>
        <v>239925</v>
      </c>
      <c r="H51" s="19">
        <f>SUM(73+1450)</f>
        <v>1523</v>
      </c>
      <c r="I51" s="19">
        <v>156</v>
      </c>
      <c r="J51" s="19">
        <f>SUM(54871+32964+490)</f>
        <v>88325</v>
      </c>
      <c r="K51" s="19">
        <v>15566</v>
      </c>
      <c r="L51" s="27">
        <f>SUM(C51:K51)</f>
        <v>501747</v>
      </c>
    </row>
    <row r="52" spans="2:12" ht="14.25" customHeight="1">
      <c r="B52" s="2" t="s">
        <v>31</v>
      </c>
      <c r="C52" s="19">
        <f>SUM(65658+0)</f>
        <v>65658</v>
      </c>
      <c r="D52" s="19">
        <f>SUM(550+0)</f>
        <v>550</v>
      </c>
      <c r="E52" s="19">
        <f>SUM(34554+5765)</f>
        <v>40319</v>
      </c>
      <c r="F52" s="19">
        <f>SUM(12966+70046+38)</f>
        <v>83050</v>
      </c>
      <c r="G52" s="19">
        <f>SUM(241520+11562+4)</f>
        <v>253086</v>
      </c>
      <c r="H52" s="19">
        <f>SUM(115+3306)</f>
        <v>3421</v>
      </c>
      <c r="I52" s="19">
        <f>SUM(224+0)</f>
        <v>224</v>
      </c>
      <c r="J52" s="19">
        <f>SUM(69367+46171+725)</f>
        <v>116263</v>
      </c>
      <c r="K52" s="19">
        <f>SUM(16433+0)</f>
        <v>16433</v>
      </c>
      <c r="L52" s="27">
        <f aca="true" t="shared" si="0" ref="L52:L62">SUM(C52:K52)</f>
        <v>579004</v>
      </c>
    </row>
    <row r="53" spans="2:12" ht="12.75">
      <c r="B53" s="2" t="s">
        <v>32</v>
      </c>
      <c r="C53" s="19">
        <f>SUM(51472+0)</f>
        <v>51472</v>
      </c>
      <c r="D53" s="19">
        <f>SUM(647+0)</f>
        <v>647</v>
      </c>
      <c r="E53" s="19">
        <f>SUM(46789+6189+542)</f>
        <v>53520</v>
      </c>
      <c r="F53" s="19">
        <f>SUM(7578+52514+33)</f>
        <v>60125</v>
      </c>
      <c r="G53" s="19">
        <f>SUM(231310+10715+1360)</f>
        <v>243385</v>
      </c>
      <c r="H53" s="19">
        <f>SUM(73+2227)</f>
        <v>2300</v>
      </c>
      <c r="I53" s="19">
        <f>SUM(257+0)</f>
        <v>257</v>
      </c>
      <c r="J53" s="19">
        <f>SUM(39472+32952+533)</f>
        <v>72957</v>
      </c>
      <c r="K53" s="19">
        <f>SUM(17011+0)</f>
        <v>17011</v>
      </c>
      <c r="L53" s="27">
        <f t="shared" si="0"/>
        <v>501674</v>
      </c>
    </row>
    <row r="54" spans="2:12" ht="12.75">
      <c r="B54" s="2" t="s">
        <v>33</v>
      </c>
      <c r="C54" s="19">
        <f>SUM(55191+0)</f>
        <v>55191</v>
      </c>
      <c r="D54" s="19">
        <f>SUM(793+0)</f>
        <v>793</v>
      </c>
      <c r="E54" s="19">
        <f>SUM(43051+6453+395)</f>
        <v>49899</v>
      </c>
      <c r="F54" s="19">
        <f>SUM(7856+47541+42)</f>
        <v>55439</v>
      </c>
      <c r="G54" s="19">
        <f>SUM(235380+10002+781)</f>
        <v>246163</v>
      </c>
      <c r="H54" s="19">
        <f>SUM(77+1517)</f>
        <v>1594</v>
      </c>
      <c r="I54" s="19">
        <f>SUM(144+0)</f>
        <v>144</v>
      </c>
      <c r="J54" s="19">
        <f>SUM(36661+29922+459)</f>
        <v>67042</v>
      </c>
      <c r="K54" s="19">
        <f>SUM(17782+0)</f>
        <v>17782</v>
      </c>
      <c r="L54" s="27">
        <f t="shared" si="0"/>
        <v>494047</v>
      </c>
    </row>
    <row r="55" spans="2:12" ht="12.75">
      <c r="B55" s="2" t="s">
        <v>34</v>
      </c>
      <c r="C55" s="19">
        <f>SUM(61330+0)</f>
        <v>61330</v>
      </c>
      <c r="D55" s="19">
        <f>SUM(838+0)</f>
        <v>838</v>
      </c>
      <c r="E55" s="19">
        <f>SUM(61042+5710)</f>
        <v>66752</v>
      </c>
      <c r="F55" s="19">
        <f>SUM(6214+53988+22)</f>
        <v>60224</v>
      </c>
      <c r="G55" s="19">
        <f>SUM(236836+10150+897)</f>
        <v>247883</v>
      </c>
      <c r="H55" s="19">
        <f>SUM(23+1505)</f>
        <v>1528</v>
      </c>
      <c r="I55" s="19">
        <f>SUM(207+0)</f>
        <v>207</v>
      </c>
      <c r="J55" s="19">
        <f>SUM(22263+22377+632)</f>
        <v>45272</v>
      </c>
      <c r="K55" s="19">
        <f>SUM(16312+0+56)</f>
        <v>16368</v>
      </c>
      <c r="L55" s="27">
        <f t="shared" si="0"/>
        <v>500402</v>
      </c>
    </row>
    <row r="56" spans="2:12" ht="12.75">
      <c r="B56" s="2" t="s">
        <v>35</v>
      </c>
      <c r="C56" s="19">
        <f>SUM(69166+2984+1)</f>
        <v>72151</v>
      </c>
      <c r="D56" s="19">
        <f>SUM(696+0)</f>
        <v>696</v>
      </c>
      <c r="E56" s="19">
        <f>SUM(63303+5893)</f>
        <v>69196</v>
      </c>
      <c r="F56" s="19">
        <f>SUM(5140+47332+5008)</f>
        <v>57480</v>
      </c>
      <c r="G56" s="19">
        <f>SUM(244623+9566+68)</f>
        <v>254257</v>
      </c>
      <c r="H56" s="19">
        <f>SUM(66+1609)</f>
        <v>1675</v>
      </c>
      <c r="I56" s="19">
        <f>SUM(143+0)</f>
        <v>143</v>
      </c>
      <c r="J56" s="19">
        <f>SUM(26558+28252+746)</f>
        <v>55556</v>
      </c>
      <c r="K56" s="19">
        <f>SUM(16628+0)</f>
        <v>16628</v>
      </c>
      <c r="L56" s="27">
        <f t="shared" si="0"/>
        <v>527782</v>
      </c>
    </row>
    <row r="57" spans="2:12" ht="12.75">
      <c r="B57" s="2" t="s">
        <v>36</v>
      </c>
      <c r="C57" s="19">
        <f>SUM(74473+0)</f>
        <v>74473</v>
      </c>
      <c r="D57" s="19">
        <f>SUM(717+0)</f>
        <v>717</v>
      </c>
      <c r="E57" s="19">
        <f>SUM(80599+5827)</f>
        <v>86426</v>
      </c>
      <c r="F57" s="19">
        <f>SUM(7263+83904+139)</f>
        <v>91306</v>
      </c>
      <c r="G57" s="19">
        <f>SUM(255612+11418+104)</f>
        <v>267134</v>
      </c>
      <c r="H57" s="19">
        <f>SUM(61+2067+1)</f>
        <v>2129</v>
      </c>
      <c r="I57" s="19">
        <f>SUM(247+0)</f>
        <v>247</v>
      </c>
      <c r="J57" s="19">
        <f>SUM(65710+46449+1161)</f>
        <v>113320</v>
      </c>
      <c r="K57" s="19">
        <f>SUM(17869+0+52)</f>
        <v>17921</v>
      </c>
      <c r="L57" s="27">
        <f t="shared" si="0"/>
        <v>653673</v>
      </c>
    </row>
    <row r="58" spans="2:12" ht="12.75">
      <c r="B58" s="2" t="s">
        <v>37</v>
      </c>
      <c r="C58" s="19">
        <v>68022</v>
      </c>
      <c r="D58" s="19">
        <f>SUM(736+0)</f>
        <v>736</v>
      </c>
      <c r="E58" s="19">
        <f>SUM(62488+6588)</f>
        <v>69076</v>
      </c>
      <c r="F58" s="19">
        <f>SUM(12920+99790+531)</f>
        <v>113241</v>
      </c>
      <c r="G58" s="19">
        <f>SUM(252546+12059+126)</f>
        <v>264731</v>
      </c>
      <c r="H58" s="19">
        <f>SUM(80+3113+3)</f>
        <v>3196</v>
      </c>
      <c r="I58" s="19">
        <f>SUM(1682+0)</f>
        <v>1682</v>
      </c>
      <c r="J58" s="19">
        <f>SUM(71997+52051+5639)</f>
        <v>129687</v>
      </c>
      <c r="K58" s="19">
        <f>SUM(15145+0+70)</f>
        <v>15215</v>
      </c>
      <c r="L58" s="27">
        <f t="shared" si="0"/>
        <v>665586</v>
      </c>
    </row>
    <row r="59" spans="2:12" ht="12.75">
      <c r="B59" s="2" t="s">
        <v>38</v>
      </c>
      <c r="C59" s="19">
        <v>76373</v>
      </c>
      <c r="D59" s="19">
        <f>SUM(631+0)</f>
        <v>631</v>
      </c>
      <c r="E59" s="19">
        <f>SUM(60404+6036)</f>
        <v>66440</v>
      </c>
      <c r="F59" s="19">
        <f>SUM(15535+132648+563)</f>
        <v>148746</v>
      </c>
      <c r="G59" s="19">
        <f>SUM(275223+10778+2216)</f>
        <v>288217</v>
      </c>
      <c r="H59" s="19">
        <f>SUM(61+4165+6)</f>
        <v>4232</v>
      </c>
      <c r="I59" s="19">
        <f>SUM(6362+0)</f>
        <v>6362</v>
      </c>
      <c r="J59" s="19">
        <f>SUM(73571+54692+1070)</f>
        <v>129333</v>
      </c>
      <c r="K59" s="19">
        <f>SUM(17827+0+131)</f>
        <v>17958</v>
      </c>
      <c r="L59" s="27">
        <f t="shared" si="0"/>
        <v>738292</v>
      </c>
    </row>
    <row r="60" spans="2:12" ht="12.75">
      <c r="B60" s="2" t="s">
        <v>39</v>
      </c>
      <c r="C60" s="19">
        <f>SUM(74092+0)</f>
        <v>74092</v>
      </c>
      <c r="D60" s="19">
        <f>SUM(457+0)</f>
        <v>457</v>
      </c>
      <c r="E60" s="19">
        <f>SUM(58469+5858)</f>
        <v>64327</v>
      </c>
      <c r="F60" s="19">
        <f>SUM(24445+193029+1000)</f>
        <v>218474</v>
      </c>
      <c r="G60" s="19">
        <f>SUM(274225+5940+1206)</f>
        <v>281371</v>
      </c>
      <c r="H60" s="19">
        <f>SUM(69+4895)</f>
        <v>4964</v>
      </c>
      <c r="I60" s="19">
        <f>SUM(11141+0)</f>
        <v>11141</v>
      </c>
      <c r="J60" s="19">
        <f>SUM(89730+65766+2722)</f>
        <v>158218</v>
      </c>
      <c r="K60" s="19">
        <f>SUM(15722+1+52)</f>
        <v>15775</v>
      </c>
      <c r="L60" s="27">
        <f t="shared" si="0"/>
        <v>828819</v>
      </c>
    </row>
    <row r="61" spans="2:12" ht="12.75">
      <c r="B61" s="2" t="s">
        <v>40</v>
      </c>
      <c r="C61" s="19">
        <f>SUM(61150+5497)</f>
        <v>66647</v>
      </c>
      <c r="D61" s="19">
        <f>SUM(471+0)</f>
        <v>471</v>
      </c>
      <c r="E61" s="19">
        <f>SUM(65600+5591+959)</f>
        <v>72150</v>
      </c>
      <c r="F61" s="19">
        <f>SUM(20674+165527+8055)</f>
        <v>194256</v>
      </c>
      <c r="G61" s="19">
        <f>SUM(259617+10419+3101)</f>
        <v>273137</v>
      </c>
      <c r="H61" s="19">
        <f>SUM(50+4006+5)</f>
        <v>4061</v>
      </c>
      <c r="I61" s="19">
        <f>SUM(8671+0)</f>
        <v>8671</v>
      </c>
      <c r="J61" s="19">
        <f>SUM(66320+53267+11376)</f>
        <v>130963</v>
      </c>
      <c r="K61" s="19">
        <f>SUM(9654+0+15)</f>
        <v>9669</v>
      </c>
      <c r="L61" s="27">
        <f t="shared" si="0"/>
        <v>760025</v>
      </c>
    </row>
    <row r="62" spans="2:12" ht="12.75">
      <c r="B62" s="2" t="s">
        <v>41</v>
      </c>
      <c r="C62" s="19">
        <f>SUM(70574+5428)</f>
        <v>76002</v>
      </c>
      <c r="D62" s="19">
        <f>SUM(440+0)</f>
        <v>440</v>
      </c>
      <c r="E62" s="19">
        <f>SUM(95265+7140+4914)</f>
        <v>107319</v>
      </c>
      <c r="F62" s="19">
        <f>SUM(13307+139287+608)</f>
        <v>153202</v>
      </c>
      <c r="G62" s="19">
        <f>SUM(277931+10878+3432)</f>
        <v>292241</v>
      </c>
      <c r="H62" s="19">
        <f>SUM(113+3232+4)</f>
        <v>3349</v>
      </c>
      <c r="I62" s="19">
        <f>SUM(14578+0)</f>
        <v>14578</v>
      </c>
      <c r="J62" s="19">
        <f>SUM(68051+64389+5656)</f>
        <v>138096</v>
      </c>
      <c r="K62" s="19">
        <f>SUM(16216+352+237)</f>
        <v>16805</v>
      </c>
      <c r="L62" s="27">
        <f t="shared" si="0"/>
        <v>802032</v>
      </c>
    </row>
    <row r="63" spans="2:12" ht="12.75">
      <c r="B63" s="1" t="s">
        <v>22</v>
      </c>
      <c r="C63" s="4">
        <f aca="true" t="shared" si="1" ref="C63:L63">SUM(C51:C62)</f>
        <v>809746</v>
      </c>
      <c r="D63" s="4">
        <f t="shared" si="1"/>
        <v>7115</v>
      </c>
      <c r="E63" s="4">
        <f t="shared" si="1"/>
        <v>798083</v>
      </c>
      <c r="F63" s="4">
        <f t="shared" si="1"/>
        <v>1270662</v>
      </c>
      <c r="G63" s="4">
        <f t="shared" si="1"/>
        <v>3151530</v>
      </c>
      <c r="H63" s="4">
        <f t="shared" si="1"/>
        <v>33972</v>
      </c>
      <c r="I63" s="4">
        <f t="shared" si="1"/>
        <v>43812</v>
      </c>
      <c r="J63" s="4">
        <f t="shared" si="1"/>
        <v>1245032</v>
      </c>
      <c r="K63" s="4">
        <f t="shared" si="1"/>
        <v>193131</v>
      </c>
      <c r="L63" s="20">
        <f t="shared" si="1"/>
        <v>7553083</v>
      </c>
    </row>
    <row r="66" spans="2:4" ht="15.75">
      <c r="B66" s="76" t="s">
        <v>53</v>
      </c>
      <c r="C66" s="77" t="s">
        <v>54</v>
      </c>
      <c r="D66" s="45"/>
    </row>
    <row r="67" spans="2:13" ht="51">
      <c r="B67" s="25" t="s">
        <v>8</v>
      </c>
      <c r="C67" s="26" t="s">
        <v>44</v>
      </c>
      <c r="D67" s="26" t="s">
        <v>45</v>
      </c>
      <c r="E67" s="26" t="s">
        <v>46</v>
      </c>
      <c r="F67" s="26" t="s">
        <v>47</v>
      </c>
      <c r="G67" s="26" t="s">
        <v>48</v>
      </c>
      <c r="H67" s="26" t="s">
        <v>49</v>
      </c>
      <c r="I67" s="26" t="s">
        <v>50</v>
      </c>
      <c r="J67" s="26" t="s">
        <v>51</v>
      </c>
      <c r="K67" s="26" t="s">
        <v>52</v>
      </c>
      <c r="L67" s="26" t="s">
        <v>56</v>
      </c>
      <c r="M67" s="26" t="s">
        <v>27</v>
      </c>
    </row>
    <row r="68" spans="2:13" ht="12.75">
      <c r="B68" s="2" t="s">
        <v>30</v>
      </c>
      <c r="C68" s="73">
        <v>60734</v>
      </c>
      <c r="D68" s="73">
        <v>618</v>
      </c>
      <c r="E68" s="73">
        <v>107434</v>
      </c>
      <c r="F68" s="73">
        <v>122819</v>
      </c>
      <c r="G68" s="73">
        <v>291953</v>
      </c>
      <c r="H68" s="73">
        <v>3615</v>
      </c>
      <c r="I68" s="73">
        <v>13448</v>
      </c>
      <c r="J68" s="73">
        <v>110973</v>
      </c>
      <c r="K68" s="73">
        <v>19222</v>
      </c>
      <c r="L68" s="73"/>
      <c r="M68" s="46">
        <f aca="true" t="shared" si="2" ref="M68:M80">SUM(C68:L68)</f>
        <v>730816</v>
      </c>
    </row>
    <row r="69" spans="2:13" ht="12.75">
      <c r="B69" s="2" t="s">
        <v>31</v>
      </c>
      <c r="C69" s="73">
        <v>78835</v>
      </c>
      <c r="D69" s="73">
        <v>843</v>
      </c>
      <c r="E69" s="73">
        <v>80113</v>
      </c>
      <c r="F69" s="73">
        <v>100621</v>
      </c>
      <c r="G69" s="73">
        <v>301852</v>
      </c>
      <c r="H69" s="73">
        <v>2658</v>
      </c>
      <c r="I69" s="73">
        <v>7551</v>
      </c>
      <c r="J69" s="73">
        <v>56482</v>
      </c>
      <c r="K69" s="73">
        <v>20349</v>
      </c>
      <c r="L69" s="73"/>
      <c r="M69" s="46">
        <f t="shared" si="2"/>
        <v>649304</v>
      </c>
    </row>
    <row r="70" spans="2:13" ht="12.75">
      <c r="B70" s="2" t="s">
        <v>32</v>
      </c>
      <c r="C70" s="73">
        <v>66750</v>
      </c>
      <c r="D70" s="73">
        <v>875</v>
      </c>
      <c r="E70" s="73">
        <v>78079</v>
      </c>
      <c r="F70" s="73">
        <v>66194</v>
      </c>
      <c r="G70" s="73">
        <v>286843</v>
      </c>
      <c r="H70" s="73">
        <v>2353</v>
      </c>
      <c r="I70" s="73">
        <v>15575</v>
      </c>
      <c r="J70" s="73">
        <v>111370</v>
      </c>
      <c r="K70" s="73">
        <v>18921</v>
      </c>
      <c r="L70" s="73"/>
      <c r="M70" s="46">
        <f t="shared" si="2"/>
        <v>646960</v>
      </c>
    </row>
    <row r="71" spans="2:13" ht="12.75">
      <c r="B71" s="2" t="s">
        <v>33</v>
      </c>
      <c r="C71" s="73">
        <v>66574</v>
      </c>
      <c r="D71" s="73">
        <v>883</v>
      </c>
      <c r="E71" s="73">
        <v>109235</v>
      </c>
      <c r="F71" s="73">
        <v>78242</v>
      </c>
      <c r="G71" s="73">
        <v>296545</v>
      </c>
      <c r="H71" s="73">
        <v>2959</v>
      </c>
      <c r="I71" s="73">
        <v>11919</v>
      </c>
      <c r="J71" s="73">
        <v>82421</v>
      </c>
      <c r="K71" s="73">
        <v>19721</v>
      </c>
      <c r="L71" s="73"/>
      <c r="M71" s="46">
        <f t="shared" si="2"/>
        <v>668499</v>
      </c>
    </row>
    <row r="72" spans="2:13" ht="12.75">
      <c r="B72" s="2" t="s">
        <v>34</v>
      </c>
      <c r="C72" s="73">
        <v>68864</v>
      </c>
      <c r="D72" s="73">
        <v>1003</v>
      </c>
      <c r="E72" s="73">
        <v>134773</v>
      </c>
      <c r="F72" s="73">
        <v>108139</v>
      </c>
      <c r="G72" s="73">
        <v>299470</v>
      </c>
      <c r="H72" s="73">
        <v>3966</v>
      </c>
      <c r="I72" s="73">
        <v>15625</v>
      </c>
      <c r="J72" s="73">
        <v>96896</v>
      </c>
      <c r="K72" s="73">
        <v>19569</v>
      </c>
      <c r="L72" s="73"/>
      <c r="M72" s="46">
        <f t="shared" si="2"/>
        <v>748305</v>
      </c>
    </row>
    <row r="73" spans="2:13" ht="12.75">
      <c r="B73" s="2" t="s">
        <v>35</v>
      </c>
      <c r="C73" s="73">
        <v>69876</v>
      </c>
      <c r="D73" s="73">
        <v>1014</v>
      </c>
      <c r="E73" s="73">
        <v>170893</v>
      </c>
      <c r="F73" s="73">
        <v>168437</v>
      </c>
      <c r="G73" s="73">
        <v>295843</v>
      </c>
      <c r="H73" s="73">
        <v>4937</v>
      </c>
      <c r="I73" s="73">
        <v>24890</v>
      </c>
      <c r="J73" s="73">
        <v>179238</v>
      </c>
      <c r="K73" s="73">
        <v>19674</v>
      </c>
      <c r="L73" s="73"/>
      <c r="M73" s="46">
        <f t="shared" si="2"/>
        <v>934802</v>
      </c>
    </row>
    <row r="74" spans="2:13" ht="12.75">
      <c r="B74" s="2" t="s">
        <v>36</v>
      </c>
      <c r="C74" s="73">
        <v>67171</v>
      </c>
      <c r="D74" s="73">
        <v>924</v>
      </c>
      <c r="E74" s="73">
        <v>192292</v>
      </c>
      <c r="F74" s="73">
        <v>218967</v>
      </c>
      <c r="G74" s="73">
        <v>313470</v>
      </c>
      <c r="H74" s="73">
        <v>5082</v>
      </c>
      <c r="I74" s="73">
        <v>20128</v>
      </c>
      <c r="J74" s="73">
        <v>157430</v>
      </c>
      <c r="K74" s="73">
        <v>22382</v>
      </c>
      <c r="L74" s="73"/>
      <c r="M74" s="46">
        <f t="shared" si="2"/>
        <v>997846</v>
      </c>
    </row>
    <row r="75" spans="2:13" ht="12.75">
      <c r="B75" s="2" t="s">
        <v>37</v>
      </c>
      <c r="C75" s="73">
        <v>67058</v>
      </c>
      <c r="D75" s="73">
        <v>875</v>
      </c>
      <c r="E75" s="73">
        <v>233173</v>
      </c>
      <c r="F75" s="73">
        <v>216619</v>
      </c>
      <c r="G75" s="73">
        <v>307907</v>
      </c>
      <c r="H75" s="73">
        <v>4400</v>
      </c>
      <c r="I75" s="73">
        <v>22625</v>
      </c>
      <c r="J75" s="73">
        <v>148600</v>
      </c>
      <c r="K75" s="73">
        <v>19530</v>
      </c>
      <c r="L75" s="73"/>
      <c r="M75" s="46">
        <f t="shared" si="2"/>
        <v>1020787</v>
      </c>
    </row>
    <row r="76" spans="2:13" ht="12.75">
      <c r="B76" s="2" t="s">
        <v>38</v>
      </c>
      <c r="C76" s="73">
        <v>69220</v>
      </c>
      <c r="D76" s="73">
        <v>770</v>
      </c>
      <c r="E76" s="73">
        <v>224714</v>
      </c>
      <c r="F76" s="73">
        <v>230357</v>
      </c>
      <c r="G76" s="73">
        <v>321293</v>
      </c>
      <c r="H76" s="73">
        <v>5378</v>
      </c>
      <c r="I76" s="73">
        <v>34190</v>
      </c>
      <c r="J76" s="73">
        <v>193817</v>
      </c>
      <c r="K76" s="73">
        <v>21969</v>
      </c>
      <c r="L76" s="73"/>
      <c r="M76" s="46">
        <f t="shared" si="2"/>
        <v>1101708</v>
      </c>
    </row>
    <row r="77" spans="2:13" ht="12.75">
      <c r="B77" s="2" t="s">
        <v>39</v>
      </c>
      <c r="C77" s="73">
        <v>71833</v>
      </c>
      <c r="D77" s="73">
        <v>659</v>
      </c>
      <c r="E77" s="73">
        <v>289834</v>
      </c>
      <c r="F77" s="73">
        <v>272932</v>
      </c>
      <c r="G77" s="73">
        <v>320426</v>
      </c>
      <c r="H77" s="73">
        <v>5012</v>
      </c>
      <c r="I77" s="73">
        <v>46000</v>
      </c>
      <c r="J77" s="73">
        <v>262964</v>
      </c>
      <c r="K77" s="73">
        <v>21945</v>
      </c>
      <c r="L77" s="73"/>
      <c r="M77" s="46">
        <f t="shared" si="2"/>
        <v>1291605</v>
      </c>
    </row>
    <row r="78" spans="2:13" ht="12.75">
      <c r="B78" s="2" t="s">
        <v>40</v>
      </c>
      <c r="C78" s="73">
        <v>68045</v>
      </c>
      <c r="D78" s="73">
        <v>695</v>
      </c>
      <c r="E78" s="73">
        <v>281394</v>
      </c>
      <c r="F78" s="73">
        <v>202629</v>
      </c>
      <c r="G78" s="73">
        <v>298487</v>
      </c>
      <c r="H78" s="73">
        <v>4168</v>
      </c>
      <c r="I78" s="73">
        <v>33553</v>
      </c>
      <c r="J78" s="73">
        <v>156040</v>
      </c>
      <c r="K78" s="73">
        <v>22885</v>
      </c>
      <c r="L78" s="73"/>
      <c r="M78" s="46">
        <f t="shared" si="2"/>
        <v>1067896</v>
      </c>
    </row>
    <row r="79" spans="2:13" ht="12.75">
      <c r="B79" s="2" t="s">
        <v>41</v>
      </c>
      <c r="C79" s="73">
        <v>75323</v>
      </c>
      <c r="D79" s="73">
        <v>744</v>
      </c>
      <c r="E79" s="73">
        <v>225751</v>
      </c>
      <c r="F79" s="73">
        <v>182296</v>
      </c>
      <c r="G79" s="73">
        <v>333013</v>
      </c>
      <c r="H79" s="73">
        <v>5549</v>
      </c>
      <c r="I79" s="73">
        <v>31847</v>
      </c>
      <c r="J79" s="73">
        <v>177398</v>
      </c>
      <c r="K79" s="73">
        <v>24813</v>
      </c>
      <c r="L79" s="73">
        <v>28</v>
      </c>
      <c r="M79" s="46">
        <f t="shared" si="2"/>
        <v>1056762</v>
      </c>
    </row>
    <row r="80" spans="2:13" ht="12.75">
      <c r="B80" s="47" t="s">
        <v>55</v>
      </c>
      <c r="C80" s="48">
        <f aca="true" t="shared" si="3" ref="C80:K80">SUM(C68:C79)</f>
        <v>830283</v>
      </c>
      <c r="D80" s="48">
        <f t="shared" si="3"/>
        <v>9903</v>
      </c>
      <c r="E80" s="48">
        <f t="shared" si="3"/>
        <v>2127685</v>
      </c>
      <c r="F80" s="48">
        <f t="shared" si="3"/>
        <v>1968252</v>
      </c>
      <c r="G80" s="48">
        <f t="shared" si="3"/>
        <v>3667102</v>
      </c>
      <c r="H80" s="4">
        <f t="shared" si="3"/>
        <v>50077</v>
      </c>
      <c r="I80" s="48">
        <f t="shared" si="3"/>
        <v>277351</v>
      </c>
      <c r="J80" s="48">
        <f t="shared" si="3"/>
        <v>1733629</v>
      </c>
      <c r="K80" s="48">
        <f t="shared" si="3"/>
        <v>250980</v>
      </c>
      <c r="L80" s="48">
        <f>SUM(L79)</f>
        <v>28</v>
      </c>
      <c r="M80" s="48">
        <f t="shared" si="2"/>
        <v>10915290</v>
      </c>
    </row>
    <row r="82" spans="2:3" ht="15.75">
      <c r="B82" s="53"/>
      <c r="C82" s="53"/>
    </row>
    <row r="83" spans="2:3" s="69" customFormat="1" ht="15.75">
      <c r="B83" s="77" t="s">
        <v>58</v>
      </c>
      <c r="C83" s="77" t="s">
        <v>59</v>
      </c>
    </row>
    <row r="84" spans="2:13" ht="48" customHeight="1">
      <c r="B84" s="78" t="s">
        <v>8</v>
      </c>
      <c r="C84" s="78" t="s">
        <v>2</v>
      </c>
      <c r="D84" s="78" t="s">
        <v>17</v>
      </c>
      <c r="E84" s="78" t="s">
        <v>24</v>
      </c>
      <c r="F84" s="78" t="s">
        <v>25</v>
      </c>
      <c r="G84" s="78" t="s">
        <v>3</v>
      </c>
      <c r="H84" s="78" t="s">
        <v>26</v>
      </c>
      <c r="I84" s="78" t="s">
        <v>5</v>
      </c>
      <c r="J84" s="78" t="s">
        <v>7</v>
      </c>
      <c r="K84" s="78" t="s">
        <v>6</v>
      </c>
      <c r="L84" s="78" t="s">
        <v>60</v>
      </c>
      <c r="M84" s="78" t="s">
        <v>27</v>
      </c>
    </row>
    <row r="85" spans="2:13" ht="12.75">
      <c r="B85" s="46" t="s">
        <v>30</v>
      </c>
      <c r="C85" s="73">
        <v>67012</v>
      </c>
      <c r="D85" s="73">
        <v>721</v>
      </c>
      <c r="E85" s="73">
        <v>212054</v>
      </c>
      <c r="F85" s="73">
        <v>175065</v>
      </c>
      <c r="G85" s="73">
        <v>324576</v>
      </c>
      <c r="H85" s="73">
        <v>4680</v>
      </c>
      <c r="I85" s="73">
        <v>26697</v>
      </c>
      <c r="J85" s="73">
        <v>213167</v>
      </c>
      <c r="K85" s="73">
        <v>26660</v>
      </c>
      <c r="L85" s="73">
        <v>0</v>
      </c>
      <c r="M85" s="73">
        <v>1050632</v>
      </c>
    </row>
    <row r="86" spans="2:13" ht="12.75">
      <c r="B86" s="46" t="s">
        <v>31</v>
      </c>
      <c r="C86" s="73">
        <v>74291</v>
      </c>
      <c r="D86" s="73">
        <v>745</v>
      </c>
      <c r="E86" s="73">
        <v>198717</v>
      </c>
      <c r="F86" s="73">
        <v>160296</v>
      </c>
      <c r="G86" s="73">
        <v>330405</v>
      </c>
      <c r="H86" s="73">
        <v>4070</v>
      </c>
      <c r="I86" s="73">
        <v>32393</v>
      </c>
      <c r="J86" s="73">
        <v>190336</v>
      </c>
      <c r="K86" s="73">
        <v>27979</v>
      </c>
      <c r="L86" s="73">
        <v>0</v>
      </c>
      <c r="M86" s="73">
        <v>1019232</v>
      </c>
    </row>
    <row r="87" spans="2:13" ht="12.75">
      <c r="B87" s="46" t="s">
        <v>32</v>
      </c>
      <c r="C87" s="73">
        <v>61836</v>
      </c>
      <c r="D87" s="73">
        <v>740</v>
      </c>
      <c r="E87" s="73">
        <v>204765</v>
      </c>
      <c r="F87" s="73">
        <v>142120</v>
      </c>
      <c r="G87" s="73">
        <v>316098</v>
      </c>
      <c r="H87" s="73">
        <v>4210</v>
      </c>
      <c r="I87" s="73">
        <v>19339</v>
      </c>
      <c r="J87" s="73">
        <v>116829</v>
      </c>
      <c r="K87" s="73">
        <v>26490</v>
      </c>
      <c r="L87" s="73">
        <v>0</v>
      </c>
      <c r="M87" s="73">
        <v>892427</v>
      </c>
    </row>
    <row r="88" spans="2:13" ht="12.75">
      <c r="B88" s="46" t="s">
        <v>33</v>
      </c>
      <c r="C88" s="73">
        <v>62909</v>
      </c>
      <c r="D88" s="73">
        <v>738</v>
      </c>
      <c r="E88" s="73">
        <v>232960</v>
      </c>
      <c r="F88" s="73">
        <v>83823</v>
      </c>
      <c r="G88" s="73">
        <v>327392</v>
      </c>
      <c r="H88" s="73">
        <v>2357</v>
      </c>
      <c r="I88" s="73">
        <v>20192</v>
      </c>
      <c r="J88" s="73">
        <v>122910</v>
      </c>
      <c r="K88" s="73">
        <v>26929</v>
      </c>
      <c r="L88" s="73">
        <v>0</v>
      </c>
      <c r="M88" s="73">
        <v>880210</v>
      </c>
    </row>
    <row r="89" spans="2:13" ht="12.75">
      <c r="B89" s="46" t="s">
        <v>34</v>
      </c>
      <c r="C89" s="73">
        <v>61830</v>
      </c>
      <c r="D89" s="73">
        <v>654</v>
      </c>
      <c r="E89" s="73">
        <v>250827</v>
      </c>
      <c r="F89" s="73">
        <v>88294</v>
      </c>
      <c r="G89" s="73">
        <v>325811</v>
      </c>
      <c r="H89" s="73">
        <v>2489</v>
      </c>
      <c r="I89" s="73">
        <v>26082</v>
      </c>
      <c r="J89" s="73">
        <v>148976</v>
      </c>
      <c r="K89" s="73">
        <v>25942</v>
      </c>
      <c r="L89" s="73">
        <v>0</v>
      </c>
      <c r="M89" s="73">
        <v>930905</v>
      </c>
    </row>
    <row r="90" spans="2:13" ht="12.75">
      <c r="B90" s="46" t="s">
        <v>35</v>
      </c>
      <c r="C90" s="73">
        <v>70163</v>
      </c>
      <c r="D90" s="73">
        <v>799</v>
      </c>
      <c r="E90" s="73">
        <v>291969</v>
      </c>
      <c r="F90" s="73">
        <v>140486</v>
      </c>
      <c r="G90" s="73">
        <v>316045</v>
      </c>
      <c r="H90" s="73">
        <v>3531</v>
      </c>
      <c r="I90" s="73">
        <v>33942</v>
      </c>
      <c r="J90" s="73">
        <v>234921</v>
      </c>
      <c r="K90" s="73">
        <v>25448</v>
      </c>
      <c r="L90" s="73">
        <v>0</v>
      </c>
      <c r="M90" s="73">
        <v>1117304</v>
      </c>
    </row>
    <row r="91" spans="2:13" ht="12.75">
      <c r="B91" s="46" t="s">
        <v>36</v>
      </c>
      <c r="C91" s="73">
        <v>86437</v>
      </c>
      <c r="D91" s="73">
        <v>703</v>
      </c>
      <c r="E91" s="73">
        <v>263490</v>
      </c>
      <c r="F91" s="73">
        <v>207685</v>
      </c>
      <c r="G91" s="73">
        <v>338970</v>
      </c>
      <c r="H91" s="73">
        <v>4751</v>
      </c>
      <c r="I91" s="73">
        <v>49729</v>
      </c>
      <c r="J91" s="73">
        <v>273289</v>
      </c>
      <c r="K91" s="73">
        <v>27094</v>
      </c>
      <c r="L91" s="73">
        <v>0</v>
      </c>
      <c r="M91" s="73">
        <v>1252148</v>
      </c>
    </row>
    <row r="92" spans="2:13" ht="12.75">
      <c r="B92" s="46" t="s">
        <v>37</v>
      </c>
      <c r="C92" s="73">
        <v>76721</v>
      </c>
      <c r="D92" s="73">
        <v>617</v>
      </c>
      <c r="E92" s="73">
        <v>329770</v>
      </c>
      <c r="F92" s="73">
        <v>237077</v>
      </c>
      <c r="G92" s="73">
        <v>340976</v>
      </c>
      <c r="H92" s="73">
        <v>5291</v>
      </c>
      <c r="I92" s="73">
        <v>53882</v>
      </c>
      <c r="J92" s="73">
        <v>257235</v>
      </c>
      <c r="K92" s="73">
        <v>25725</v>
      </c>
      <c r="L92" s="73">
        <v>0</v>
      </c>
      <c r="M92" s="73">
        <v>1327294</v>
      </c>
    </row>
    <row r="93" spans="2:13" ht="12.75">
      <c r="B93" s="46" t="s">
        <v>38</v>
      </c>
      <c r="C93" s="73">
        <v>88602</v>
      </c>
      <c r="D93" s="73">
        <v>780</v>
      </c>
      <c r="E93" s="73">
        <v>274949</v>
      </c>
      <c r="F93" s="73">
        <v>192608</v>
      </c>
      <c r="G93" s="73">
        <v>356241</v>
      </c>
      <c r="H93" s="73">
        <v>5038</v>
      </c>
      <c r="I93" s="73">
        <v>49160</v>
      </c>
      <c r="J93" s="73">
        <v>239504</v>
      </c>
      <c r="K93" s="73">
        <v>28510</v>
      </c>
      <c r="L93" s="73">
        <v>0</v>
      </c>
      <c r="M93" s="73">
        <v>1235392</v>
      </c>
    </row>
    <row r="94" spans="2:13" ht="12.75">
      <c r="B94" s="46" t="s">
        <v>39</v>
      </c>
      <c r="C94" s="73">
        <v>86790</v>
      </c>
      <c r="D94" s="73">
        <v>680</v>
      </c>
      <c r="E94" s="73">
        <v>339209</v>
      </c>
      <c r="F94" s="73">
        <v>207376</v>
      </c>
      <c r="G94" s="73">
        <v>359019</v>
      </c>
      <c r="H94" s="73">
        <v>5483</v>
      </c>
      <c r="I94" s="73">
        <v>48833</v>
      </c>
      <c r="J94" s="73">
        <v>245279</v>
      </c>
      <c r="K94" s="73">
        <v>26310</v>
      </c>
      <c r="L94" s="73">
        <v>1</v>
      </c>
      <c r="M94" s="73">
        <v>1318980</v>
      </c>
    </row>
    <row r="95" spans="2:13" ht="12.75">
      <c r="B95" s="46" t="s">
        <v>40</v>
      </c>
      <c r="C95" s="73">
        <v>77431</v>
      </c>
      <c r="D95" s="73">
        <v>983</v>
      </c>
      <c r="E95" s="73">
        <v>492124</v>
      </c>
      <c r="F95" s="73">
        <v>149065</v>
      </c>
      <c r="G95" s="73">
        <v>326591</v>
      </c>
      <c r="H95" s="73">
        <v>3881</v>
      </c>
      <c r="I95" s="73">
        <v>55140</v>
      </c>
      <c r="J95" s="73">
        <v>254552</v>
      </c>
      <c r="K95" s="73">
        <v>26389</v>
      </c>
      <c r="L95" s="73">
        <v>2</v>
      </c>
      <c r="M95" s="73">
        <v>1386158</v>
      </c>
    </row>
    <row r="96" spans="2:13" ht="12.75">
      <c r="B96" s="46" t="s">
        <v>41</v>
      </c>
      <c r="C96" s="73">
        <v>84317</v>
      </c>
      <c r="D96" s="73">
        <v>1009</v>
      </c>
      <c r="E96" s="73">
        <v>350835</v>
      </c>
      <c r="F96" s="73">
        <v>151670</v>
      </c>
      <c r="G96" s="73">
        <v>357602</v>
      </c>
      <c r="H96" s="73">
        <v>6083</v>
      </c>
      <c r="I96" s="73">
        <v>71718</v>
      </c>
      <c r="J96" s="73">
        <v>300706</v>
      </c>
      <c r="K96" s="73">
        <v>28360</v>
      </c>
      <c r="L96" s="73">
        <v>67</v>
      </c>
      <c r="M96" s="73">
        <v>1352367</v>
      </c>
    </row>
    <row r="97" spans="2:13" ht="12.75">
      <c r="B97" s="46" t="s">
        <v>61</v>
      </c>
      <c r="C97" s="73">
        <v>898339</v>
      </c>
      <c r="D97" s="73">
        <v>9169</v>
      </c>
      <c r="E97" s="73">
        <v>3441669</v>
      </c>
      <c r="F97" s="73">
        <v>1935565</v>
      </c>
      <c r="G97" s="73">
        <v>4019726</v>
      </c>
      <c r="H97" s="73">
        <v>51864</v>
      </c>
      <c r="I97" s="73">
        <v>487107</v>
      </c>
      <c r="J97" s="73">
        <v>2597704</v>
      </c>
      <c r="K97" s="73">
        <v>321836</v>
      </c>
      <c r="L97" s="73">
        <v>70</v>
      </c>
      <c r="M97" s="73">
        <v>13763049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N80"/>
  <sheetViews>
    <sheetView zoomScale="90" zoomScaleNormal="90" workbookViewId="0" topLeftCell="A1">
      <selection activeCell="G33" sqref="G33"/>
    </sheetView>
  </sheetViews>
  <sheetFormatPr defaultColWidth="9.140625" defaultRowHeight="12.75"/>
  <cols>
    <col min="1" max="1" width="46.28125" style="7" customWidth="1"/>
    <col min="2" max="2" width="11.421875" style="7" bestFit="1" customWidth="1"/>
    <col min="3" max="3" width="10.28125" style="7" bestFit="1" customWidth="1"/>
    <col min="4" max="4" width="11.00390625" style="7" bestFit="1" customWidth="1"/>
    <col min="5" max="5" width="12.421875" style="7" bestFit="1" customWidth="1"/>
    <col min="6" max="6" width="11.7109375" style="21" bestFit="1" customWidth="1"/>
    <col min="7" max="7" width="38.8515625" style="7" customWidth="1"/>
    <col min="8" max="8" width="10.8515625" style="7" customWidth="1"/>
    <col min="9" max="12" width="12.00390625" style="7" customWidth="1"/>
    <col min="13" max="13" width="13.28125" style="7" customWidth="1"/>
    <col min="14" max="16384" width="9.140625" style="7" customWidth="1"/>
  </cols>
  <sheetData>
    <row r="2" spans="1:13" ht="15.75">
      <c r="A2" s="6" t="s">
        <v>65</v>
      </c>
      <c r="H2" s="31"/>
      <c r="I2" s="21"/>
      <c r="J2" s="21"/>
      <c r="K2" s="21"/>
      <c r="L2" s="21"/>
      <c r="M2" s="21"/>
    </row>
    <row r="3" spans="1:13" ht="15" thickBot="1">
      <c r="A3" s="8"/>
      <c r="B3" s="8"/>
      <c r="C3" s="8"/>
      <c r="D3" s="8"/>
      <c r="E3" s="8"/>
      <c r="G3" s="21"/>
      <c r="H3" s="21"/>
      <c r="I3" s="21"/>
      <c r="J3" s="21"/>
      <c r="K3" s="21"/>
      <c r="L3" s="21"/>
      <c r="M3" s="21"/>
    </row>
    <row r="4" spans="1:13" ht="30">
      <c r="A4" s="34"/>
      <c r="B4" s="35" t="s">
        <v>12</v>
      </c>
      <c r="C4" s="35" t="s">
        <v>13</v>
      </c>
      <c r="D4" s="35" t="s">
        <v>14</v>
      </c>
      <c r="E4" s="75" t="s">
        <v>66</v>
      </c>
      <c r="F4" s="35" t="s">
        <v>16</v>
      </c>
      <c r="G4" s="22"/>
      <c r="I4" s="22"/>
      <c r="J4" s="22"/>
      <c r="K4" s="22"/>
      <c r="L4" s="22"/>
      <c r="M4" s="22"/>
    </row>
    <row r="5" spans="1:13" ht="15">
      <c r="A5" s="36" t="s">
        <v>2</v>
      </c>
      <c r="B5" s="30">
        <f>B54+B39+B24+B70</f>
        <v>2988931</v>
      </c>
      <c r="C5" s="30"/>
      <c r="D5" s="30">
        <f>D24+D39+D54+D70</f>
        <v>150748</v>
      </c>
      <c r="E5" s="30">
        <f>E70</f>
        <v>6783</v>
      </c>
      <c r="F5" s="5">
        <f>SUM(B5:E5)</f>
        <v>3146462</v>
      </c>
      <c r="G5" s="5"/>
      <c r="I5" s="30"/>
      <c r="J5" s="30"/>
      <c r="K5" s="30"/>
      <c r="L5" s="5"/>
      <c r="M5" s="5"/>
    </row>
    <row r="6" spans="1:13" ht="15">
      <c r="A6" s="36" t="s">
        <v>17</v>
      </c>
      <c r="B6" s="30">
        <f>B55+B40+B25+B71</f>
        <v>26329</v>
      </c>
      <c r="C6" s="30"/>
      <c r="D6" s="30">
        <f>D25+D40+D55+D71</f>
        <v>31</v>
      </c>
      <c r="E6" s="30"/>
      <c r="F6" s="5">
        <f aca="true" t="shared" si="0" ref="F6:F14">SUM(B6:E6)</f>
        <v>26360</v>
      </c>
      <c r="G6" s="5"/>
      <c r="I6" s="30"/>
      <c r="J6" s="30"/>
      <c r="K6" s="30"/>
      <c r="L6" s="5"/>
      <c r="M6" s="5"/>
    </row>
    <row r="7" spans="1:13" ht="15">
      <c r="A7" s="36" t="s">
        <v>1</v>
      </c>
      <c r="B7" s="30">
        <f>B56+B41+B26+B72</f>
        <v>6457030</v>
      </c>
      <c r="C7" s="30"/>
      <c r="D7" s="30">
        <f>D26+D41+D56+D72</f>
        <v>353015</v>
      </c>
      <c r="E7" s="30">
        <f>E72</f>
        <v>5905</v>
      </c>
      <c r="F7" s="5">
        <f t="shared" si="0"/>
        <v>6815950</v>
      </c>
      <c r="G7" s="5"/>
      <c r="I7" s="30"/>
      <c r="J7" s="30"/>
      <c r="K7" s="30"/>
      <c r="L7" s="5"/>
      <c r="M7" s="5"/>
    </row>
    <row r="8" spans="1:13" ht="15">
      <c r="A8" s="36" t="s">
        <v>15</v>
      </c>
      <c r="B8" s="30">
        <f>B57+B42+B27+B73</f>
        <v>121111</v>
      </c>
      <c r="C8" s="30">
        <f>C57+C42+C27+C73</f>
        <v>515902</v>
      </c>
      <c r="D8" s="30">
        <f>D27+D42+D57+D73</f>
        <v>5028292</v>
      </c>
      <c r="E8" s="30">
        <f>E73</f>
        <v>7746</v>
      </c>
      <c r="F8" s="5">
        <f t="shared" si="0"/>
        <v>5673051</v>
      </c>
      <c r="G8" s="5"/>
      <c r="I8" s="30"/>
      <c r="J8" s="30"/>
      <c r="K8" s="30"/>
      <c r="L8" s="5"/>
      <c r="M8" s="5"/>
    </row>
    <row r="9" spans="1:13" ht="18" customHeight="1">
      <c r="A9" s="36" t="s">
        <v>3</v>
      </c>
      <c r="B9" s="30">
        <f>B58+B43+B28+B74</f>
        <v>12501186</v>
      </c>
      <c r="C9" s="30">
        <f>C58+C43+C28+C74</f>
        <v>328990</v>
      </c>
      <c r="D9" s="30">
        <f>D28+D43+D58+D74</f>
        <v>724926</v>
      </c>
      <c r="E9" s="30"/>
      <c r="F9" s="5">
        <f t="shared" si="0"/>
        <v>13555102</v>
      </c>
      <c r="G9" s="5"/>
      <c r="I9" s="30"/>
      <c r="J9" s="30"/>
      <c r="K9" s="30"/>
      <c r="L9" s="5"/>
      <c r="M9" s="5"/>
    </row>
    <row r="10" spans="1:13" ht="15">
      <c r="A10" s="37" t="s">
        <v>4</v>
      </c>
      <c r="B10" s="30">
        <f>B59+B44+B29+B75</f>
        <v>13757</v>
      </c>
      <c r="C10" s="30">
        <f>C59+C44+C29+C75</f>
        <v>2094</v>
      </c>
      <c r="D10" s="30">
        <f>D29+D44+D59+D75</f>
        <v>160424</v>
      </c>
      <c r="E10" s="30">
        <f>E75</f>
        <v>558</v>
      </c>
      <c r="F10" s="5">
        <f t="shared" si="0"/>
        <v>176833</v>
      </c>
      <c r="G10" s="5"/>
      <c r="I10" s="30"/>
      <c r="J10" s="30"/>
      <c r="K10" s="30"/>
      <c r="L10" s="5"/>
      <c r="M10" s="5"/>
    </row>
    <row r="11" spans="1:13" ht="15">
      <c r="A11" s="36" t="s">
        <v>5</v>
      </c>
      <c r="B11" s="30">
        <f>B60+B45+B30+B76</f>
        <v>405107</v>
      </c>
      <c r="C11" s="30">
        <f>C60+C45+C30+C76</f>
        <v>405510</v>
      </c>
      <c r="D11" s="30"/>
      <c r="E11" s="30"/>
      <c r="F11" s="5">
        <f t="shared" si="0"/>
        <v>810617</v>
      </c>
      <c r="G11" s="5"/>
      <c r="I11" s="30"/>
      <c r="J11" s="30"/>
      <c r="K11" s="30"/>
      <c r="L11" s="5"/>
      <c r="M11" s="5"/>
    </row>
    <row r="12" spans="1:13" ht="15">
      <c r="A12" s="36" t="s">
        <v>7</v>
      </c>
      <c r="B12" s="30">
        <f>B46+B31+B61+B77</f>
        <v>1428283</v>
      </c>
      <c r="C12" s="30">
        <f>C46+C31+C61+C77</f>
        <v>1717175</v>
      </c>
      <c r="D12" s="30">
        <f>D31+D46+D61+D77</f>
        <v>3266912</v>
      </c>
      <c r="E12" s="30">
        <f>E77</f>
        <v>253889</v>
      </c>
      <c r="F12" s="5">
        <f t="shared" si="0"/>
        <v>6666259</v>
      </c>
      <c r="G12" s="5"/>
      <c r="I12" s="30"/>
      <c r="J12" s="30"/>
      <c r="K12" s="30"/>
      <c r="L12" s="5"/>
      <c r="M12" s="5"/>
    </row>
    <row r="13" spans="1:13" ht="15">
      <c r="A13" s="36" t="s">
        <v>6</v>
      </c>
      <c r="B13" s="30">
        <f>B62+B47+B32+B79</f>
        <v>935123</v>
      </c>
      <c r="C13" s="30">
        <f>C62+C47+C32</f>
        <v>1670</v>
      </c>
      <c r="D13" s="30">
        <f>D62+D47+D32+D79</f>
        <v>3124</v>
      </c>
      <c r="E13" s="30"/>
      <c r="F13" s="5">
        <f t="shared" si="0"/>
        <v>939917</v>
      </c>
      <c r="G13" s="5"/>
      <c r="I13" s="30"/>
      <c r="J13" s="30"/>
      <c r="K13" s="30"/>
      <c r="L13" s="5"/>
      <c r="M13" s="5"/>
    </row>
    <row r="14" spans="1:13" ht="15">
      <c r="A14" s="42" t="s">
        <v>56</v>
      </c>
      <c r="B14" s="7">
        <f>B63+B78</f>
        <v>96</v>
      </c>
      <c r="C14" s="7">
        <f>C63+C79</f>
        <v>4333</v>
      </c>
      <c r="E14" s="7">
        <f>E78</f>
        <v>2</v>
      </c>
      <c r="F14" s="5">
        <f t="shared" si="0"/>
        <v>4431</v>
      </c>
      <c r="G14" s="5"/>
      <c r="H14" s="39"/>
      <c r="I14" s="5"/>
      <c r="J14" s="5"/>
      <c r="K14" s="5"/>
      <c r="L14" s="5"/>
      <c r="M14" s="5"/>
    </row>
    <row r="15" spans="1:14" ht="15.75" thickBot="1">
      <c r="A15" s="38" t="s">
        <v>16</v>
      </c>
      <c r="B15" s="24">
        <f>SUM(B5:B14)</f>
        <v>24876953</v>
      </c>
      <c r="C15" s="24">
        <f>SUM(C5:C14)</f>
        <v>2975674</v>
      </c>
      <c r="D15" s="24">
        <f>SUM(D5:D14)</f>
        <v>9687472</v>
      </c>
      <c r="E15" s="24">
        <f>SUM(E5:E14)</f>
        <v>274883</v>
      </c>
      <c r="F15" s="24">
        <f>SUM(B15:D15)</f>
        <v>37540099</v>
      </c>
      <c r="G15" s="21"/>
      <c r="I15" s="21"/>
      <c r="J15" s="30"/>
      <c r="K15" s="30"/>
      <c r="L15" s="30"/>
      <c r="M15" s="21"/>
      <c r="N15" s="21"/>
    </row>
    <row r="16" spans="2:13" ht="14.25" customHeight="1">
      <c r="B16" s="39"/>
      <c r="C16" s="39"/>
      <c r="D16" s="39"/>
      <c r="E16" s="39"/>
      <c r="F16" s="32"/>
      <c r="G16" s="40"/>
      <c r="H16" s="81"/>
      <c r="I16" s="81"/>
      <c r="J16" s="81"/>
      <c r="K16" s="81"/>
      <c r="L16" s="81"/>
      <c r="M16" s="21"/>
    </row>
    <row r="17" spans="6:13" ht="14.25">
      <c r="F17" s="33"/>
      <c r="G17" s="41"/>
      <c r="H17" s="82"/>
      <c r="I17" s="82"/>
      <c r="J17" s="82"/>
      <c r="K17" s="82"/>
      <c r="L17" s="82"/>
      <c r="M17" s="21"/>
    </row>
    <row r="18" spans="1:13" ht="14.25">
      <c r="A18" s="79" t="s">
        <v>0</v>
      </c>
      <c r="B18" s="79"/>
      <c r="C18" s="79"/>
      <c r="D18" s="79"/>
      <c r="E18" s="79"/>
      <c r="H18" s="21"/>
      <c r="I18" s="21"/>
      <c r="J18" s="21"/>
      <c r="K18" s="21"/>
      <c r="L18" s="21"/>
      <c r="M18" s="21"/>
    </row>
    <row r="19" spans="1:12" ht="14.25">
      <c r="A19" s="80"/>
      <c r="B19" s="80"/>
      <c r="C19" s="80"/>
      <c r="D19" s="80"/>
      <c r="E19" s="80"/>
      <c r="G19" s="39"/>
      <c r="L19" s="21"/>
    </row>
    <row r="21" ht="15.75">
      <c r="A21" s="6" t="s">
        <v>18</v>
      </c>
    </row>
    <row r="22" spans="1:6" ht="15.75" thickBot="1">
      <c r="A22" s="8"/>
      <c r="B22" s="8"/>
      <c r="C22" s="8"/>
      <c r="D22" s="8"/>
      <c r="E22" s="8"/>
      <c r="F22" s="22"/>
    </row>
    <row r="23" spans="1:6" ht="12.75" customHeight="1">
      <c r="A23" s="43"/>
      <c r="B23" s="35" t="s">
        <v>12</v>
      </c>
      <c r="C23" s="35" t="s">
        <v>13</v>
      </c>
      <c r="D23" s="35" t="s">
        <v>14</v>
      </c>
      <c r="E23" s="35" t="s">
        <v>16</v>
      </c>
      <c r="F23" s="5"/>
    </row>
    <row r="24" spans="1:6" ht="15">
      <c r="A24" s="29" t="s">
        <v>2</v>
      </c>
      <c r="B24" s="39">
        <v>574828</v>
      </c>
      <c r="C24" s="39"/>
      <c r="D24" s="39">
        <v>33266</v>
      </c>
      <c r="E24" s="28">
        <f aca="true" t="shared" si="1" ref="E24:E32">SUM(B24:D24)</f>
        <v>608094</v>
      </c>
      <c r="F24" s="5"/>
    </row>
    <row r="25" spans="1:6" ht="15">
      <c r="A25" s="29" t="s">
        <v>17</v>
      </c>
      <c r="B25" s="30">
        <v>173</v>
      </c>
      <c r="C25" s="30"/>
      <c r="D25" s="30"/>
      <c r="E25" s="5">
        <f t="shared" si="1"/>
        <v>173</v>
      </c>
      <c r="F25" s="5"/>
    </row>
    <row r="26" spans="1:6" ht="15">
      <c r="A26" s="29" t="s">
        <v>1</v>
      </c>
      <c r="B26" s="39">
        <v>403760</v>
      </c>
      <c r="C26" s="39"/>
      <c r="D26" s="39">
        <v>44753</v>
      </c>
      <c r="E26" s="28">
        <f t="shared" si="1"/>
        <v>448513</v>
      </c>
      <c r="F26" s="5"/>
    </row>
    <row r="27" spans="1:6" ht="15">
      <c r="A27" s="29" t="s">
        <v>15</v>
      </c>
      <c r="B27" s="39">
        <v>20725</v>
      </c>
      <c r="C27" s="39">
        <v>112464</v>
      </c>
      <c r="D27" s="39">
        <v>365383</v>
      </c>
      <c r="E27" s="28">
        <f t="shared" si="1"/>
        <v>498572</v>
      </c>
      <c r="F27" s="5"/>
    </row>
    <row r="28" spans="1:6" ht="15">
      <c r="A28" s="29" t="s">
        <v>3</v>
      </c>
      <c r="B28" s="39">
        <v>2575315</v>
      </c>
      <c r="C28" s="39">
        <v>44896</v>
      </c>
      <c r="D28" s="39">
        <v>96533</v>
      </c>
      <c r="E28" s="28">
        <f t="shared" si="1"/>
        <v>2716744</v>
      </c>
      <c r="F28" s="5"/>
    </row>
    <row r="29" spans="1:6" ht="15">
      <c r="A29" s="44" t="s">
        <v>4</v>
      </c>
      <c r="B29" s="39">
        <v>772</v>
      </c>
      <c r="C29" s="39">
        <v>379</v>
      </c>
      <c r="D29" s="39">
        <v>39769</v>
      </c>
      <c r="E29" s="28">
        <f t="shared" si="1"/>
        <v>40920</v>
      </c>
      <c r="F29" s="5"/>
    </row>
    <row r="30" spans="1:6" ht="15">
      <c r="A30" s="29" t="s">
        <v>5</v>
      </c>
      <c r="B30" s="39">
        <v>2347</v>
      </c>
      <c r="C30" s="39"/>
      <c r="D30" s="39"/>
      <c r="E30" s="28">
        <f t="shared" si="1"/>
        <v>2347</v>
      </c>
      <c r="F30" s="5"/>
    </row>
    <row r="31" spans="1:6" ht="15">
      <c r="A31" s="29" t="s">
        <v>7</v>
      </c>
      <c r="B31" s="39">
        <v>305890</v>
      </c>
      <c r="C31" s="39">
        <v>351326</v>
      </c>
      <c r="D31" s="39">
        <v>432678</v>
      </c>
      <c r="E31" s="28">
        <f t="shared" si="1"/>
        <v>1089894</v>
      </c>
      <c r="F31" s="5"/>
    </row>
    <row r="32" spans="1:6" ht="15">
      <c r="A32" s="29" t="s">
        <v>6</v>
      </c>
      <c r="B32" s="39">
        <v>178303</v>
      </c>
      <c r="C32" s="39"/>
      <c r="D32" s="39"/>
      <c r="E32" s="28">
        <f t="shared" si="1"/>
        <v>178303</v>
      </c>
      <c r="F32" s="5"/>
    </row>
    <row r="33" spans="1:6" ht="15" customHeight="1" thickBot="1">
      <c r="A33" s="23" t="s">
        <v>16</v>
      </c>
      <c r="B33" s="24">
        <f>SUM(B24:B32)</f>
        <v>4062113</v>
      </c>
      <c r="C33" s="24">
        <f>SUM(C24:C32)</f>
        <v>509065</v>
      </c>
      <c r="D33" s="24">
        <f>SUM(D24:D32)</f>
        <v>1012382</v>
      </c>
      <c r="E33" s="24">
        <f>SUM(E24:E32)</f>
        <v>5583560</v>
      </c>
      <c r="F33" s="30"/>
    </row>
    <row r="34" spans="3:5" ht="14.25">
      <c r="C34" s="39"/>
      <c r="D34" s="39"/>
      <c r="E34" s="39"/>
    </row>
    <row r="35" spans="9:11" ht="14.25">
      <c r="I35" s="39"/>
      <c r="J35" s="39"/>
      <c r="K35" s="39"/>
    </row>
    <row r="36" spans="1:7" ht="15.75">
      <c r="A36" s="6" t="s">
        <v>19</v>
      </c>
      <c r="D36" s="42"/>
      <c r="G36" s="21"/>
    </row>
    <row r="37" spans="1:7" ht="15.75" thickBot="1">
      <c r="A37" s="8"/>
      <c r="B37" s="8"/>
      <c r="C37" s="8"/>
      <c r="D37" s="8"/>
      <c r="E37" s="8"/>
      <c r="G37" s="22"/>
    </row>
    <row r="38" spans="1:7" ht="15">
      <c r="A38" s="43"/>
      <c r="B38" s="35" t="s">
        <v>12</v>
      </c>
      <c r="C38" s="35" t="s">
        <v>13</v>
      </c>
      <c r="D38" s="35" t="s">
        <v>14</v>
      </c>
      <c r="E38" s="35" t="s">
        <v>16</v>
      </c>
      <c r="G38" s="28"/>
    </row>
    <row r="39" spans="1:7" ht="15">
      <c r="A39" s="29" t="s">
        <v>2</v>
      </c>
      <c r="B39" s="39">
        <v>795836</v>
      </c>
      <c r="C39" s="39"/>
      <c r="D39" s="39">
        <f>SUM(13909+1)</f>
        <v>13910</v>
      </c>
      <c r="E39" s="28">
        <f aca="true" t="shared" si="2" ref="E39:E47">SUM(B39:D39)</f>
        <v>809746</v>
      </c>
      <c r="G39" s="5"/>
    </row>
    <row r="40" spans="1:7" ht="15">
      <c r="A40" s="29" t="s">
        <v>17</v>
      </c>
      <c r="B40" s="30">
        <v>7115</v>
      </c>
      <c r="C40" s="30"/>
      <c r="D40" s="30"/>
      <c r="E40" s="28">
        <f t="shared" si="2"/>
        <v>7115</v>
      </c>
      <c r="G40" s="28"/>
    </row>
    <row r="41" spans="1:7" ht="15">
      <c r="A41" s="29" t="s">
        <v>1</v>
      </c>
      <c r="B41" s="39">
        <f>SUM(716479+6810)</f>
        <v>723289</v>
      </c>
      <c r="C41" s="39"/>
      <c r="D41" s="39">
        <v>74794</v>
      </c>
      <c r="E41" s="28">
        <f t="shared" si="2"/>
        <v>798083</v>
      </c>
      <c r="G41" s="28"/>
    </row>
    <row r="42" spans="1:7" ht="15">
      <c r="A42" s="29" t="s">
        <v>15</v>
      </c>
      <c r="B42" s="39">
        <f>SUM(26673+1119)</f>
        <v>27792</v>
      </c>
      <c r="C42" s="39">
        <f>SUM(113022+2451)</f>
        <v>115473</v>
      </c>
      <c r="D42" s="30">
        <f>SUM(1114890+12507)</f>
        <v>1127397</v>
      </c>
      <c r="E42" s="28">
        <f t="shared" si="2"/>
        <v>1270662</v>
      </c>
      <c r="G42" s="28"/>
    </row>
    <row r="43" spans="1:7" ht="15">
      <c r="A43" s="29" t="s">
        <v>3</v>
      </c>
      <c r="B43" s="39">
        <f>SUM(2945196+8494)</f>
        <v>2953690</v>
      </c>
      <c r="C43" s="39">
        <f>SUM(69723+549)</f>
        <v>70272</v>
      </c>
      <c r="D43" s="39">
        <f>SUM(122221+5347)</f>
        <v>127568</v>
      </c>
      <c r="E43" s="28">
        <f t="shared" si="2"/>
        <v>3151530</v>
      </c>
      <c r="G43" s="28"/>
    </row>
    <row r="44" spans="1:7" ht="15">
      <c r="A44" s="44" t="s">
        <v>4</v>
      </c>
      <c r="B44" s="39">
        <f>SUM(454+19)</f>
        <v>473</v>
      </c>
      <c r="C44" s="39">
        <v>407</v>
      </c>
      <c r="D44" s="39">
        <v>33092</v>
      </c>
      <c r="E44" s="28">
        <f t="shared" si="2"/>
        <v>33972</v>
      </c>
      <c r="G44" s="28"/>
    </row>
    <row r="45" spans="1:7" ht="15">
      <c r="A45" s="29" t="s">
        <v>5</v>
      </c>
      <c r="B45" s="39">
        <v>3524</v>
      </c>
      <c r="C45" s="39">
        <v>40288</v>
      </c>
      <c r="D45" s="39"/>
      <c r="E45" s="28">
        <f t="shared" si="2"/>
        <v>43812</v>
      </c>
      <c r="G45" s="28"/>
    </row>
    <row r="46" spans="1:7" ht="15">
      <c r="A46" s="29" t="s">
        <v>7</v>
      </c>
      <c r="B46" s="39">
        <f>SUM(308867+7939)</f>
        <v>316806</v>
      </c>
      <c r="C46" s="39">
        <f>SUM(375704+32)</f>
        <v>375736</v>
      </c>
      <c r="D46" s="39">
        <f>SUM(529252+23238)</f>
        <v>552490</v>
      </c>
      <c r="E46" s="28">
        <f t="shared" si="2"/>
        <v>1245032</v>
      </c>
      <c r="G46" s="28"/>
    </row>
    <row r="47" spans="1:7" ht="15">
      <c r="A47" s="29" t="s">
        <v>6</v>
      </c>
      <c r="B47" s="39">
        <f>SUM(192518+613)</f>
        <v>193131</v>
      </c>
      <c r="C47" s="39"/>
      <c r="D47" s="39"/>
      <c r="E47" s="28">
        <f t="shared" si="2"/>
        <v>193131</v>
      </c>
      <c r="G47" s="5"/>
    </row>
    <row r="48" spans="1:7" ht="15.75" thickBot="1">
      <c r="A48" s="23" t="s">
        <v>16</v>
      </c>
      <c r="B48" s="24">
        <f>SUM(B39:B47)</f>
        <v>5021656</v>
      </c>
      <c r="C48" s="24">
        <f>SUM(C39:C47)</f>
        <v>602176</v>
      </c>
      <c r="D48" s="24">
        <f>SUM(D39:D47)</f>
        <v>1929251</v>
      </c>
      <c r="E48" s="24">
        <f>SUM(E39:E47)</f>
        <v>7553083</v>
      </c>
      <c r="G48" s="5"/>
    </row>
    <row r="51" ht="15.75">
      <c r="A51" s="6" t="s">
        <v>57</v>
      </c>
    </row>
    <row r="52" ht="15" thickBot="1"/>
    <row r="53" spans="1:5" ht="15">
      <c r="A53" s="43"/>
      <c r="B53" s="35" t="s">
        <v>12</v>
      </c>
      <c r="C53" s="35" t="s">
        <v>13</v>
      </c>
      <c r="D53" s="35" t="s">
        <v>14</v>
      </c>
      <c r="E53" s="35" t="s">
        <v>16</v>
      </c>
    </row>
    <row r="54" spans="1:5" ht="15">
      <c r="A54" s="29" t="s">
        <v>2</v>
      </c>
      <c r="B54" s="7">
        <v>775568</v>
      </c>
      <c r="D54" s="7">
        <v>54715</v>
      </c>
      <c r="E54" s="42">
        <f aca="true" t="shared" si="3" ref="E54:E63">SUM(B54:D54)</f>
        <v>830283</v>
      </c>
    </row>
    <row r="55" spans="1:5" ht="15">
      <c r="A55" s="29" t="s">
        <v>17</v>
      </c>
      <c r="B55" s="7">
        <v>9903</v>
      </c>
      <c r="E55" s="42">
        <f t="shared" si="3"/>
        <v>9903</v>
      </c>
    </row>
    <row r="56" spans="1:5" ht="15">
      <c r="A56" s="29" t="s">
        <v>1</v>
      </c>
      <c r="B56" s="7">
        <v>2052100</v>
      </c>
      <c r="D56" s="7">
        <v>75585</v>
      </c>
      <c r="E56" s="42">
        <f t="shared" si="3"/>
        <v>2127685</v>
      </c>
    </row>
    <row r="57" spans="1:5" ht="15">
      <c r="A57" s="29" t="s">
        <v>15</v>
      </c>
      <c r="B57" s="7">
        <v>36302</v>
      </c>
      <c r="C57" s="7">
        <v>151003</v>
      </c>
      <c r="D57" s="7">
        <v>1780947</v>
      </c>
      <c r="E57" s="42">
        <f t="shared" si="3"/>
        <v>1968252</v>
      </c>
    </row>
    <row r="58" spans="1:5" ht="15">
      <c r="A58" s="29" t="s">
        <v>3</v>
      </c>
      <c r="B58" s="7">
        <v>3346103</v>
      </c>
      <c r="C58" s="7">
        <v>99885</v>
      </c>
      <c r="D58" s="7">
        <v>221114</v>
      </c>
      <c r="E58" s="42">
        <f t="shared" si="3"/>
        <v>3667102</v>
      </c>
    </row>
    <row r="59" spans="1:5" ht="15">
      <c r="A59" s="44" t="s">
        <v>4</v>
      </c>
      <c r="B59" s="7">
        <v>5517</v>
      </c>
      <c r="C59" s="7">
        <v>615</v>
      </c>
      <c r="D59" s="7">
        <v>43945</v>
      </c>
      <c r="E59" s="42">
        <f t="shared" si="3"/>
        <v>50077</v>
      </c>
    </row>
    <row r="60" spans="1:5" ht="15">
      <c r="A60" s="29" t="s">
        <v>5</v>
      </c>
      <c r="B60" s="7">
        <v>96664</v>
      </c>
      <c r="C60" s="7">
        <v>180687</v>
      </c>
      <c r="E60" s="42">
        <f t="shared" si="3"/>
        <v>277351</v>
      </c>
    </row>
    <row r="61" spans="1:5" ht="15">
      <c r="A61" s="29" t="s">
        <v>7</v>
      </c>
      <c r="B61" s="7">
        <v>378400</v>
      </c>
      <c r="C61" s="7">
        <v>413708</v>
      </c>
      <c r="D61" s="7">
        <v>941521</v>
      </c>
      <c r="E61" s="42">
        <f t="shared" si="3"/>
        <v>1733629</v>
      </c>
    </row>
    <row r="62" spans="1:5" ht="15">
      <c r="A62" s="29" t="s">
        <v>6</v>
      </c>
      <c r="B62" s="7">
        <v>249310</v>
      </c>
      <c r="C62" s="7">
        <v>1670</v>
      </c>
      <c r="E62" s="42">
        <f t="shared" si="3"/>
        <v>250980</v>
      </c>
    </row>
    <row r="63" spans="1:5" ht="15.75" thickBot="1">
      <c r="A63" s="42" t="s">
        <v>56</v>
      </c>
      <c r="B63" s="7">
        <v>28</v>
      </c>
      <c r="E63" s="42">
        <f t="shared" si="3"/>
        <v>28</v>
      </c>
    </row>
    <row r="64" spans="1:5" ht="15.75" thickBot="1">
      <c r="A64" s="49" t="s">
        <v>16</v>
      </c>
      <c r="B64" s="50">
        <f>SUM(B54:B63)</f>
        <v>6949895</v>
      </c>
      <c r="C64" s="50">
        <f>SUM(C54:C63)</f>
        <v>847568</v>
      </c>
      <c r="D64" s="50">
        <f>SUM(D54:D63)</f>
        <v>3117827</v>
      </c>
      <c r="E64" s="51">
        <f>SUM(E54:E63)</f>
        <v>10915290</v>
      </c>
    </row>
    <row r="67" ht="15.75">
      <c r="A67" s="83" t="s">
        <v>62</v>
      </c>
    </row>
    <row r="68" ht="15" thickBot="1"/>
    <row r="69" spans="1:7" ht="15">
      <c r="A69" s="84"/>
      <c r="B69" s="85" t="s">
        <v>12</v>
      </c>
      <c r="C69" s="85" t="s">
        <v>13</v>
      </c>
      <c r="D69" s="85" t="s">
        <v>14</v>
      </c>
      <c r="E69" s="85" t="s">
        <v>63</v>
      </c>
      <c r="F69" s="85" t="s">
        <v>16</v>
      </c>
      <c r="G69" s="21"/>
    </row>
    <row r="70" spans="1:6" ht="15">
      <c r="A70" s="86" t="s">
        <v>2</v>
      </c>
      <c r="B70" s="87">
        <v>842699</v>
      </c>
      <c r="C70" s="87"/>
      <c r="D70" s="87">
        <v>48857</v>
      </c>
      <c r="E70" s="87">
        <v>6783</v>
      </c>
      <c r="F70" s="88">
        <v>898339</v>
      </c>
    </row>
    <row r="71" spans="1:6" ht="15">
      <c r="A71" s="86" t="s">
        <v>17</v>
      </c>
      <c r="B71" s="87">
        <v>9138</v>
      </c>
      <c r="C71" s="87"/>
      <c r="D71" s="87">
        <v>31</v>
      </c>
      <c r="E71" s="87"/>
      <c r="F71" s="88">
        <v>9169</v>
      </c>
    </row>
    <row r="72" spans="1:6" ht="15">
      <c r="A72" s="86" t="s">
        <v>1</v>
      </c>
      <c r="B72" s="87">
        <v>3277881</v>
      </c>
      <c r="C72" s="87"/>
      <c r="D72" s="87">
        <v>157883</v>
      </c>
      <c r="E72" s="87">
        <v>5905</v>
      </c>
      <c r="F72" s="88">
        <v>3441669</v>
      </c>
    </row>
    <row r="73" spans="1:6" ht="15">
      <c r="A73" s="86" t="s">
        <v>15</v>
      </c>
      <c r="B73" s="87">
        <v>36292</v>
      </c>
      <c r="C73" s="87">
        <v>136962</v>
      </c>
      <c r="D73" s="87">
        <v>1754565</v>
      </c>
      <c r="E73" s="87">
        <v>7746</v>
      </c>
      <c r="F73" s="88">
        <v>1935565</v>
      </c>
    </row>
    <row r="74" spans="1:6" ht="15">
      <c r="A74" s="86" t="s">
        <v>3</v>
      </c>
      <c r="B74" s="87">
        <v>3626078</v>
      </c>
      <c r="C74" s="87">
        <v>113937</v>
      </c>
      <c r="D74" s="87">
        <v>279711</v>
      </c>
      <c r="E74" s="87"/>
      <c r="F74" s="88">
        <v>4019726</v>
      </c>
    </row>
    <row r="75" spans="1:6" ht="15">
      <c r="A75" s="86" t="s">
        <v>4</v>
      </c>
      <c r="B75" s="87">
        <v>6995</v>
      </c>
      <c r="C75" s="87">
        <v>693</v>
      </c>
      <c r="D75" s="87">
        <v>43618</v>
      </c>
      <c r="E75" s="87">
        <v>558</v>
      </c>
      <c r="F75" s="88">
        <v>51864</v>
      </c>
    </row>
    <row r="76" spans="1:6" ht="15">
      <c r="A76" s="86" t="s">
        <v>5</v>
      </c>
      <c r="B76" s="87">
        <v>302572</v>
      </c>
      <c r="C76" s="87">
        <v>184535</v>
      </c>
      <c r="D76" s="87"/>
      <c r="E76" s="87"/>
      <c r="F76" s="88">
        <v>487107</v>
      </c>
    </row>
    <row r="77" spans="1:6" ht="15">
      <c r="A77" s="86" t="s">
        <v>7</v>
      </c>
      <c r="B77" s="87">
        <v>427187</v>
      </c>
      <c r="C77" s="87">
        <v>576405</v>
      </c>
      <c r="D77" s="87">
        <v>1340223</v>
      </c>
      <c r="E77" s="87">
        <v>253889</v>
      </c>
      <c r="F77" s="88">
        <v>2597704</v>
      </c>
    </row>
    <row r="78" spans="1:6" ht="15">
      <c r="A78" s="86" t="s">
        <v>64</v>
      </c>
      <c r="B78" s="87">
        <v>68</v>
      </c>
      <c r="C78" s="87"/>
      <c r="D78" s="87"/>
      <c r="E78" s="87">
        <v>2</v>
      </c>
      <c r="F78" s="88">
        <v>70</v>
      </c>
    </row>
    <row r="79" spans="1:6" ht="15.75" thickBot="1">
      <c r="A79" s="86" t="s">
        <v>6</v>
      </c>
      <c r="B79" s="87">
        <v>314379</v>
      </c>
      <c r="C79" s="87">
        <v>4333</v>
      </c>
      <c r="D79" s="87">
        <v>3124</v>
      </c>
      <c r="E79" s="87"/>
      <c r="F79" s="88">
        <v>321836</v>
      </c>
    </row>
    <row r="80" spans="1:6" ht="15.75" thickBot="1">
      <c r="A80" s="89" t="s">
        <v>16</v>
      </c>
      <c r="B80" s="90">
        <v>8843289</v>
      </c>
      <c r="C80" s="90">
        <v>1016865</v>
      </c>
      <c r="D80" s="90">
        <v>3628012</v>
      </c>
      <c r="E80" s="90">
        <v>274883</v>
      </c>
      <c r="F80" s="91">
        <v>13763049</v>
      </c>
    </row>
  </sheetData>
  <mergeCells count="2">
    <mergeCell ref="A18:E19"/>
    <mergeCell ref="H16:L17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3:AK79"/>
  <sheetViews>
    <sheetView zoomScale="90" zoomScaleNormal="90" workbookViewId="0" topLeftCell="A1">
      <selection activeCell="F44" sqref="F44"/>
    </sheetView>
  </sheetViews>
  <sheetFormatPr defaultColWidth="9.140625" defaultRowHeight="12.75"/>
  <cols>
    <col min="1" max="1" width="5.7109375" style="111" customWidth="1"/>
    <col min="2" max="2" width="40.140625" style="111" customWidth="1"/>
    <col min="3" max="3" width="15.8515625" style="111" bestFit="1" customWidth="1"/>
    <col min="4" max="4" width="14.7109375" style="111" customWidth="1"/>
    <col min="5" max="5" width="13.8515625" style="111" bestFit="1" customWidth="1"/>
    <col min="6" max="6" width="13.7109375" style="111" customWidth="1"/>
    <col min="7" max="7" width="9.140625" style="111" customWidth="1"/>
    <col min="8" max="8" width="34.57421875" style="111" customWidth="1"/>
    <col min="9" max="12" width="12.00390625" style="111" customWidth="1"/>
    <col min="13" max="31" width="9.140625" style="111" customWidth="1"/>
    <col min="32" max="32" width="13.57421875" style="111" customWidth="1"/>
    <col min="33" max="33" width="7.28125" style="111" bestFit="1" customWidth="1"/>
    <col min="34" max="34" width="8.140625" style="111" bestFit="1" customWidth="1"/>
    <col min="35" max="35" width="7.421875" style="111" bestFit="1" customWidth="1"/>
    <col min="36" max="16384" width="9.140625" style="111" customWidth="1"/>
  </cols>
  <sheetData>
    <row r="3" spans="2:15" ht="12.75">
      <c r="B3" s="96" t="s">
        <v>28</v>
      </c>
      <c r="H3" s="92"/>
      <c r="I3" s="112"/>
      <c r="J3" s="112"/>
      <c r="K3" s="112"/>
      <c r="L3" s="112"/>
      <c r="M3" s="112"/>
      <c r="N3" s="112"/>
      <c r="O3" s="112"/>
    </row>
    <row r="4" spans="2:15" ht="13.5" thickBot="1">
      <c r="B4" s="113"/>
      <c r="C4" s="113"/>
      <c r="D4" s="113"/>
      <c r="E4" s="113"/>
      <c r="H4" s="112"/>
      <c r="I4" s="112"/>
      <c r="J4" s="112"/>
      <c r="K4" s="112"/>
      <c r="L4" s="112"/>
      <c r="M4" s="112"/>
      <c r="N4" s="112"/>
      <c r="O4" s="112"/>
    </row>
    <row r="5" spans="2:15" ht="12.75">
      <c r="B5" s="114" t="s">
        <v>9</v>
      </c>
      <c r="C5" s="115" t="s">
        <v>11</v>
      </c>
      <c r="D5" s="115" t="s">
        <v>10</v>
      </c>
      <c r="E5" s="115" t="s">
        <v>67</v>
      </c>
      <c r="F5" s="115" t="s">
        <v>16</v>
      </c>
      <c r="H5" s="92"/>
      <c r="I5" s="116"/>
      <c r="J5" s="116"/>
      <c r="K5" s="116"/>
      <c r="L5" s="116"/>
      <c r="M5" s="112"/>
      <c r="N5" s="112"/>
      <c r="O5" s="112"/>
    </row>
    <row r="6" spans="2:15" ht="12.75">
      <c r="B6" s="92" t="s">
        <v>2</v>
      </c>
      <c r="C6" s="93">
        <f>C37+C22+C52+C68</f>
        <v>2988931</v>
      </c>
      <c r="D6" s="93">
        <f>D37+D22+D52+D68</f>
        <v>150748</v>
      </c>
      <c r="E6" s="93">
        <f>E68</f>
        <v>6783</v>
      </c>
      <c r="F6" s="94">
        <f>SUM(C6:E6)</f>
        <v>3146462</v>
      </c>
      <c r="H6" s="92"/>
      <c r="I6" s="95"/>
      <c r="J6" s="95"/>
      <c r="K6" s="94"/>
      <c r="L6" s="94"/>
      <c r="M6" s="112"/>
      <c r="N6" s="112"/>
      <c r="O6" s="112"/>
    </row>
    <row r="7" spans="2:15" ht="12.75">
      <c r="B7" s="92" t="s">
        <v>17</v>
      </c>
      <c r="C7" s="93">
        <f>C38+C23+C53+C69</f>
        <v>26329</v>
      </c>
      <c r="D7" s="93">
        <f>D38+D23+D53+D69</f>
        <v>31</v>
      </c>
      <c r="E7" s="93"/>
      <c r="F7" s="94">
        <f aca="true" t="shared" si="0" ref="F7:F15">SUM(C7:E7)</f>
        <v>26360</v>
      </c>
      <c r="H7" s="92"/>
      <c r="I7" s="95"/>
      <c r="J7" s="95"/>
      <c r="K7" s="94"/>
      <c r="L7" s="94"/>
      <c r="M7" s="112"/>
      <c r="N7" s="112"/>
      <c r="O7" s="112"/>
    </row>
    <row r="8" spans="2:15" ht="12.75">
      <c r="B8" s="92" t="s">
        <v>1</v>
      </c>
      <c r="C8" s="93">
        <f>C39+C24+C54+C70</f>
        <v>6398709</v>
      </c>
      <c r="D8" s="93">
        <f>D39+D24+D54+D70</f>
        <v>411336</v>
      </c>
      <c r="E8" s="93">
        <f>E70</f>
        <v>5905</v>
      </c>
      <c r="F8" s="94">
        <f t="shared" si="0"/>
        <v>6815950</v>
      </c>
      <c r="H8" s="92"/>
      <c r="I8" s="95"/>
      <c r="J8" s="95"/>
      <c r="K8" s="94"/>
      <c r="L8" s="94"/>
      <c r="M8" s="112"/>
      <c r="N8" s="112"/>
      <c r="O8" s="112"/>
    </row>
    <row r="9" spans="2:15" ht="12.75">
      <c r="B9" s="92" t="s">
        <v>15</v>
      </c>
      <c r="C9" s="93">
        <f>C40+C25+C55+C71</f>
        <v>643380</v>
      </c>
      <c r="D9" s="93">
        <f>D40+D25+D55+D71</f>
        <v>5021925</v>
      </c>
      <c r="E9" s="93">
        <f>E71</f>
        <v>7746</v>
      </c>
      <c r="F9" s="94">
        <f t="shared" si="0"/>
        <v>5673051</v>
      </c>
      <c r="G9" s="96"/>
      <c r="H9" s="92"/>
      <c r="I9" s="95"/>
      <c r="J9" s="95"/>
      <c r="K9" s="94"/>
      <c r="L9" s="94"/>
      <c r="M9" s="112"/>
      <c r="N9" s="112"/>
      <c r="O9" s="112"/>
    </row>
    <row r="10" spans="2:15" ht="12.75">
      <c r="B10" s="92" t="s">
        <v>3</v>
      </c>
      <c r="C10" s="93">
        <f>C41+C26+C56+C72</f>
        <v>12830176</v>
      </c>
      <c r="D10" s="93">
        <f>D41+D26+D56+D72</f>
        <v>724926</v>
      </c>
      <c r="E10" s="93"/>
      <c r="F10" s="94">
        <f t="shared" si="0"/>
        <v>13555102</v>
      </c>
      <c r="H10" s="92"/>
      <c r="I10" s="95"/>
      <c r="J10" s="95"/>
      <c r="K10" s="94"/>
      <c r="L10" s="94"/>
      <c r="M10" s="112"/>
      <c r="N10" s="112"/>
      <c r="O10" s="112"/>
    </row>
    <row r="11" spans="2:37" ht="12.75">
      <c r="B11" s="92" t="s">
        <v>4</v>
      </c>
      <c r="C11" s="93">
        <f>C42+C27+C57+C73</f>
        <v>15851</v>
      </c>
      <c r="D11" s="93">
        <f>D42+D27+D57+D73</f>
        <v>160424</v>
      </c>
      <c r="E11" s="93">
        <f>E73</f>
        <v>558</v>
      </c>
      <c r="F11" s="94">
        <f t="shared" si="0"/>
        <v>176833</v>
      </c>
      <c r="H11" s="92"/>
      <c r="I11" s="95"/>
      <c r="J11" s="95"/>
      <c r="K11" s="94"/>
      <c r="L11" s="94"/>
      <c r="M11" s="112"/>
      <c r="N11" s="112"/>
      <c r="O11" s="112"/>
      <c r="AF11" s="117"/>
      <c r="AG11" s="117"/>
      <c r="AH11" s="117"/>
      <c r="AI11" s="117"/>
      <c r="AJ11" s="117"/>
      <c r="AK11" s="117"/>
    </row>
    <row r="12" spans="2:37" ht="12.75">
      <c r="B12" s="92" t="s">
        <v>5</v>
      </c>
      <c r="C12" s="93">
        <f>C43+C28+C58+C74</f>
        <v>810617</v>
      </c>
      <c r="D12" s="93"/>
      <c r="E12" s="93"/>
      <c r="F12" s="94">
        <f t="shared" si="0"/>
        <v>810617</v>
      </c>
      <c r="H12" s="92"/>
      <c r="I12" s="95"/>
      <c r="J12" s="95"/>
      <c r="K12" s="94"/>
      <c r="L12" s="94"/>
      <c r="M12" s="112"/>
      <c r="N12" s="112"/>
      <c r="O12" s="112"/>
      <c r="AF12" s="18" t="s">
        <v>9</v>
      </c>
      <c r="AG12" s="97" t="s">
        <v>11</v>
      </c>
      <c r="AH12" s="97" t="s">
        <v>10</v>
      </c>
      <c r="AI12" s="97" t="s">
        <v>16</v>
      </c>
      <c r="AJ12" s="117"/>
      <c r="AK12" s="117"/>
    </row>
    <row r="13" spans="2:37" ht="12.75">
      <c r="B13" s="92" t="s">
        <v>7</v>
      </c>
      <c r="C13" s="93">
        <f>C44+C29+C59+C75</f>
        <v>3374413</v>
      </c>
      <c r="D13" s="93">
        <f>D44+D29+D59+D75</f>
        <v>3037957</v>
      </c>
      <c r="E13" s="93">
        <f>E75</f>
        <v>253889</v>
      </c>
      <c r="F13" s="94">
        <f t="shared" si="0"/>
        <v>6666259</v>
      </c>
      <c r="H13" s="92"/>
      <c r="I13" s="95"/>
      <c r="J13" s="95"/>
      <c r="K13" s="94"/>
      <c r="L13" s="94"/>
      <c r="M13" s="112"/>
      <c r="N13" s="112"/>
      <c r="O13" s="112"/>
      <c r="AF13" s="117"/>
      <c r="AG13" s="117"/>
      <c r="AH13" s="117"/>
      <c r="AI13" s="117"/>
      <c r="AJ13" s="117"/>
      <c r="AK13" s="117"/>
    </row>
    <row r="14" spans="2:37" ht="12.75">
      <c r="B14" s="92" t="s">
        <v>6</v>
      </c>
      <c r="C14" s="93">
        <f>C45+C30+C60+C77</f>
        <v>935866</v>
      </c>
      <c r="D14" s="93">
        <f>D45+D30+D60+D77</f>
        <v>8384</v>
      </c>
      <c r="E14" s="93"/>
      <c r="F14" s="94">
        <f t="shared" si="0"/>
        <v>944250</v>
      </c>
      <c r="H14" s="92"/>
      <c r="I14" s="95"/>
      <c r="J14" s="95"/>
      <c r="K14" s="94"/>
      <c r="L14" s="94"/>
      <c r="M14" s="112"/>
      <c r="N14" s="112"/>
      <c r="O14" s="112"/>
      <c r="AF14" s="18" t="s">
        <v>19</v>
      </c>
      <c r="AG14" s="117"/>
      <c r="AH14" s="117"/>
      <c r="AI14" s="117"/>
      <c r="AJ14" s="117"/>
      <c r="AK14" s="117"/>
    </row>
    <row r="15" spans="2:37" ht="13.5" thickBot="1">
      <c r="B15" s="92" t="s">
        <v>69</v>
      </c>
      <c r="C15" s="93">
        <f>C76+C61</f>
        <v>96</v>
      </c>
      <c r="D15" s="93"/>
      <c r="E15" s="93">
        <f>E76</f>
        <v>2</v>
      </c>
      <c r="F15" s="94">
        <f t="shared" si="0"/>
        <v>98</v>
      </c>
      <c r="H15" s="92"/>
      <c r="I15" s="95"/>
      <c r="J15" s="95"/>
      <c r="K15" s="94"/>
      <c r="L15" s="94"/>
      <c r="M15" s="112"/>
      <c r="N15" s="112"/>
      <c r="O15" s="112"/>
      <c r="AF15" s="18"/>
      <c r="AG15" s="117"/>
      <c r="AH15" s="117"/>
      <c r="AI15" s="117"/>
      <c r="AJ15" s="117"/>
      <c r="AK15" s="117"/>
    </row>
    <row r="16" spans="2:37" ht="13.5" thickBot="1">
      <c r="B16" s="98" t="s">
        <v>16</v>
      </c>
      <c r="C16" s="99">
        <f>SUM(C6:C15)</f>
        <v>28024368</v>
      </c>
      <c r="D16" s="99">
        <f>SUM(D6:D15)</f>
        <v>9515731</v>
      </c>
      <c r="E16" s="99">
        <f>SUM(E6:E15)</f>
        <v>274883</v>
      </c>
      <c r="F16" s="100">
        <f>SUM(C16:E16)</f>
        <v>37814982</v>
      </c>
      <c r="H16" s="92"/>
      <c r="I16" s="94"/>
      <c r="J16" s="94"/>
      <c r="K16" s="94"/>
      <c r="L16" s="94"/>
      <c r="M16" s="112"/>
      <c r="N16" s="112"/>
      <c r="O16" s="112"/>
      <c r="AF16" s="18" t="s">
        <v>3</v>
      </c>
      <c r="AG16" s="101">
        <v>9043</v>
      </c>
      <c r="AH16" s="101">
        <v>5347</v>
      </c>
      <c r="AI16" s="102">
        <f aca="true" t="shared" si="1" ref="AI16:AI21">AG16+AH16</f>
        <v>14390</v>
      </c>
      <c r="AJ16" s="117"/>
      <c r="AK16" s="117"/>
    </row>
    <row r="17" spans="3:37" ht="15" customHeight="1">
      <c r="C17" s="93"/>
      <c r="D17" s="93"/>
      <c r="E17" s="93"/>
      <c r="F17" s="93"/>
      <c r="AF17" s="18" t="s">
        <v>2</v>
      </c>
      <c r="AG17" s="101"/>
      <c r="AH17" s="101">
        <v>1</v>
      </c>
      <c r="AI17" s="102">
        <f t="shared" si="1"/>
        <v>1</v>
      </c>
      <c r="AJ17" s="117"/>
      <c r="AK17" s="117"/>
    </row>
    <row r="18" spans="4:37" ht="12.75">
      <c r="D18" s="94"/>
      <c r="AF18" s="18" t="s">
        <v>6</v>
      </c>
      <c r="AG18" s="101">
        <v>572</v>
      </c>
      <c r="AH18" s="101"/>
      <c r="AI18" s="102">
        <f t="shared" si="1"/>
        <v>572</v>
      </c>
      <c r="AJ18" s="117"/>
      <c r="AK18" s="117"/>
    </row>
    <row r="19" spans="2:37" ht="12.75">
      <c r="B19" s="96" t="s">
        <v>18</v>
      </c>
      <c r="AF19" s="18" t="s">
        <v>17</v>
      </c>
      <c r="AG19" s="101"/>
      <c r="AH19" s="101"/>
      <c r="AI19" s="102">
        <f t="shared" si="1"/>
        <v>0</v>
      </c>
      <c r="AJ19" s="117"/>
      <c r="AK19" s="117"/>
    </row>
    <row r="20" spans="2:37" ht="13.5" thickBot="1">
      <c r="B20" s="113"/>
      <c r="C20" s="113"/>
      <c r="D20" s="113"/>
      <c r="E20" s="113"/>
      <c r="AF20" s="18" t="s">
        <v>7</v>
      </c>
      <c r="AG20" s="101">
        <v>4235</v>
      </c>
      <c r="AH20" s="101">
        <v>22976</v>
      </c>
      <c r="AI20" s="102">
        <f t="shared" si="1"/>
        <v>27211</v>
      </c>
      <c r="AJ20" s="117"/>
      <c r="AK20" s="117"/>
    </row>
    <row r="21" spans="2:37" ht="12.75">
      <c r="B21" s="114" t="s">
        <v>9</v>
      </c>
      <c r="C21" s="115" t="s">
        <v>11</v>
      </c>
      <c r="D21" s="115" t="s">
        <v>10</v>
      </c>
      <c r="E21" s="115" t="s">
        <v>16</v>
      </c>
      <c r="AF21" s="18" t="s">
        <v>5</v>
      </c>
      <c r="AG21" s="101"/>
      <c r="AH21" s="101"/>
      <c r="AI21" s="102">
        <f t="shared" si="1"/>
        <v>0</v>
      </c>
      <c r="AJ21" s="117"/>
      <c r="AK21" s="117"/>
    </row>
    <row r="22" spans="2:37" ht="12.75">
      <c r="B22" s="103" t="s">
        <v>2</v>
      </c>
      <c r="C22" s="104">
        <v>574828</v>
      </c>
      <c r="D22" s="104">
        <v>33266</v>
      </c>
      <c r="E22" s="105">
        <f aca="true" t="shared" si="2" ref="E22:E30">C22+D22</f>
        <v>608094</v>
      </c>
      <c r="AF22" s="117"/>
      <c r="AG22" s="117"/>
      <c r="AH22" s="117"/>
      <c r="AI22" s="117"/>
      <c r="AJ22" s="117"/>
      <c r="AK22" s="117"/>
    </row>
    <row r="23" spans="2:37" ht="12.75">
      <c r="B23" s="92" t="s">
        <v>17</v>
      </c>
      <c r="C23" s="95">
        <v>173</v>
      </c>
      <c r="D23" s="95"/>
      <c r="E23" s="94">
        <f t="shared" si="2"/>
        <v>173</v>
      </c>
      <c r="AF23" s="117"/>
      <c r="AG23" s="117"/>
      <c r="AH23" s="117"/>
      <c r="AI23" s="117"/>
      <c r="AJ23" s="117"/>
      <c r="AK23" s="117"/>
    </row>
    <row r="24" spans="2:37" ht="12.75">
      <c r="B24" s="92" t="s">
        <v>1</v>
      </c>
      <c r="C24" s="95">
        <v>403760</v>
      </c>
      <c r="D24" s="95">
        <v>44753</v>
      </c>
      <c r="E24" s="94">
        <f t="shared" si="2"/>
        <v>448513</v>
      </c>
      <c r="AF24" s="18" t="s">
        <v>15</v>
      </c>
      <c r="AG24" s="101">
        <v>3245</v>
      </c>
      <c r="AH24" s="101">
        <v>12507</v>
      </c>
      <c r="AI24" s="102">
        <f>AG24+AH24</f>
        <v>15752</v>
      </c>
      <c r="AJ24" s="117"/>
      <c r="AK24" s="117"/>
    </row>
    <row r="25" spans="2:37" ht="12.75">
      <c r="B25" s="92" t="s">
        <v>15</v>
      </c>
      <c r="C25" s="95">
        <v>136085</v>
      </c>
      <c r="D25" s="95">
        <v>362487</v>
      </c>
      <c r="E25" s="94">
        <f t="shared" si="2"/>
        <v>498572</v>
      </c>
      <c r="AF25" s="18" t="s">
        <v>4</v>
      </c>
      <c r="AG25" s="101">
        <v>19</v>
      </c>
      <c r="AH25" s="101"/>
      <c r="AI25" s="102">
        <f>AG25+AH25</f>
        <v>19</v>
      </c>
      <c r="AJ25" s="117"/>
      <c r="AK25" s="117"/>
    </row>
    <row r="26" spans="2:37" ht="12.75">
      <c r="B26" s="92" t="s">
        <v>3</v>
      </c>
      <c r="C26" s="95">
        <v>2620211</v>
      </c>
      <c r="D26" s="95">
        <v>96533</v>
      </c>
      <c r="E26" s="94">
        <f t="shared" si="2"/>
        <v>2716744</v>
      </c>
      <c r="AF26" s="18" t="s">
        <v>16</v>
      </c>
      <c r="AG26" s="102">
        <f>SUM(AG12:AG22)</f>
        <v>13850</v>
      </c>
      <c r="AH26" s="102">
        <f>SUM(AH12:AH22)</f>
        <v>28324</v>
      </c>
      <c r="AI26" s="102">
        <f>SUM(AI12:AI22)</f>
        <v>42174</v>
      </c>
      <c r="AJ26" s="117"/>
      <c r="AK26" s="117"/>
    </row>
    <row r="27" spans="2:5" ht="12.75">
      <c r="B27" s="92" t="s">
        <v>4</v>
      </c>
      <c r="C27" s="95">
        <v>1151</v>
      </c>
      <c r="D27" s="95">
        <v>39769</v>
      </c>
      <c r="E27" s="94">
        <f t="shared" si="2"/>
        <v>40920</v>
      </c>
    </row>
    <row r="28" spans="2:5" ht="12.75">
      <c r="B28" s="92" t="s">
        <v>5</v>
      </c>
      <c r="C28" s="95">
        <v>2347</v>
      </c>
      <c r="D28" s="95"/>
      <c r="E28" s="94">
        <f t="shared" si="2"/>
        <v>2347</v>
      </c>
    </row>
    <row r="29" spans="2:37" ht="12.75">
      <c r="B29" s="92" t="s">
        <v>7</v>
      </c>
      <c r="C29" s="95">
        <v>657216</v>
      </c>
      <c r="D29" s="95">
        <v>432678</v>
      </c>
      <c r="E29" s="94">
        <f t="shared" si="2"/>
        <v>1089894</v>
      </c>
      <c r="AF29" s="117"/>
      <c r="AG29" s="117"/>
      <c r="AH29" s="117"/>
      <c r="AI29" s="117"/>
      <c r="AJ29" s="117"/>
      <c r="AK29" s="117"/>
    </row>
    <row r="30" spans="2:5" ht="13.5" thickBot="1">
      <c r="B30" s="106" t="s">
        <v>6</v>
      </c>
      <c r="C30" s="107">
        <v>178303</v>
      </c>
      <c r="D30" s="107"/>
      <c r="E30" s="108">
        <f t="shared" si="2"/>
        <v>178303</v>
      </c>
    </row>
    <row r="31" spans="2:5" ht="13.5" thickBot="1">
      <c r="B31" s="106" t="s">
        <v>16</v>
      </c>
      <c r="C31" s="108">
        <f>SUM(C22:C30)</f>
        <v>4574074</v>
      </c>
      <c r="D31" s="108">
        <f>SUM(D22:D30)</f>
        <v>1009486</v>
      </c>
      <c r="E31" s="108">
        <f>SUM(E22:E30)</f>
        <v>5583560</v>
      </c>
    </row>
    <row r="32" ht="12.75">
      <c r="B32" s="109"/>
    </row>
    <row r="34" ht="12.75">
      <c r="B34" s="96" t="s">
        <v>19</v>
      </c>
    </row>
    <row r="35" spans="2:5" ht="13.5" thickBot="1">
      <c r="B35" s="113"/>
      <c r="C35" s="113"/>
      <c r="D35" s="113"/>
      <c r="E35" s="113"/>
    </row>
    <row r="36" spans="2:5" ht="12.75">
      <c r="B36" s="114" t="s">
        <v>9</v>
      </c>
      <c r="C36" s="115" t="s">
        <v>11</v>
      </c>
      <c r="D36" s="115" t="s">
        <v>10</v>
      </c>
      <c r="E36" s="115" t="s">
        <v>16</v>
      </c>
    </row>
    <row r="37" spans="2:5" ht="12.75">
      <c r="B37" s="103" t="s">
        <v>2</v>
      </c>
      <c r="C37" s="93">
        <v>795836</v>
      </c>
      <c r="D37" s="93">
        <f>SUM(13909+1)</f>
        <v>13910</v>
      </c>
      <c r="E37" s="105">
        <f aca="true" t="shared" si="3" ref="E37:E45">C37+D37</f>
        <v>809746</v>
      </c>
    </row>
    <row r="38" spans="2:5" ht="12.75">
      <c r="B38" s="92" t="s">
        <v>17</v>
      </c>
      <c r="C38" s="95">
        <v>7115</v>
      </c>
      <c r="D38" s="95"/>
      <c r="E38" s="94">
        <f t="shared" si="3"/>
        <v>7115</v>
      </c>
    </row>
    <row r="39" spans="2:5" ht="12.75">
      <c r="B39" s="92" t="s">
        <v>1</v>
      </c>
      <c r="C39" s="93">
        <f>SUM(716479+6810)</f>
        <v>723289</v>
      </c>
      <c r="D39" s="93">
        <v>74794</v>
      </c>
      <c r="E39" s="94">
        <f t="shared" si="3"/>
        <v>798083</v>
      </c>
    </row>
    <row r="40" spans="2:5" ht="12.75">
      <c r="B40" s="92" t="s">
        <v>15</v>
      </c>
      <c r="C40" s="93">
        <f>SUM(137775+3570)</f>
        <v>141345</v>
      </c>
      <c r="D40" s="95">
        <f>SUM(1116810+12507)</f>
        <v>1129317</v>
      </c>
      <c r="E40" s="94">
        <f t="shared" si="3"/>
        <v>1270662</v>
      </c>
    </row>
    <row r="41" spans="2:5" ht="12.75">
      <c r="B41" s="92" t="s">
        <v>3</v>
      </c>
      <c r="C41" s="93">
        <f>SUM(3014919+9043)</f>
        <v>3023962</v>
      </c>
      <c r="D41" s="93">
        <f>SUM(122221+5347)</f>
        <v>127568</v>
      </c>
      <c r="E41" s="94">
        <f t="shared" si="3"/>
        <v>3151530</v>
      </c>
    </row>
    <row r="42" spans="2:5" ht="12.75">
      <c r="B42" s="92" t="s">
        <v>4</v>
      </c>
      <c r="C42" s="95">
        <f>SUM(861+19)</f>
        <v>880</v>
      </c>
      <c r="D42" s="93">
        <v>33092</v>
      </c>
      <c r="E42" s="94">
        <f t="shared" si="3"/>
        <v>33972</v>
      </c>
    </row>
    <row r="43" spans="2:5" ht="12.75">
      <c r="B43" s="92" t="s">
        <v>5</v>
      </c>
      <c r="C43" s="95">
        <v>43812</v>
      </c>
      <c r="D43" s="95"/>
      <c r="E43" s="94">
        <f t="shared" si="3"/>
        <v>43812</v>
      </c>
    </row>
    <row r="44" spans="2:5" ht="12.75">
      <c r="B44" s="92" t="s">
        <v>7</v>
      </c>
      <c r="C44" s="95">
        <f>SUM(684571+7971)</f>
        <v>692542</v>
      </c>
      <c r="D44" s="95">
        <f>SUM(529252+23238)</f>
        <v>552490</v>
      </c>
      <c r="E44" s="94">
        <f t="shared" si="3"/>
        <v>1245032</v>
      </c>
    </row>
    <row r="45" spans="2:5" ht="13.5" thickBot="1">
      <c r="B45" s="106" t="s">
        <v>6</v>
      </c>
      <c r="C45" s="107">
        <f>SUM(192165+613)</f>
        <v>192778</v>
      </c>
      <c r="D45" s="107">
        <v>353</v>
      </c>
      <c r="E45" s="108">
        <f t="shared" si="3"/>
        <v>193131</v>
      </c>
    </row>
    <row r="46" spans="2:5" ht="13.5" thickBot="1">
      <c r="B46" s="106" t="s">
        <v>16</v>
      </c>
      <c r="C46" s="108">
        <f>SUM(C37:C45)</f>
        <v>5621559</v>
      </c>
      <c r="D46" s="108">
        <f>SUM(D37:D45)</f>
        <v>1931524</v>
      </c>
      <c r="E46" s="108">
        <f>SUM(E37:E45)</f>
        <v>7553083</v>
      </c>
    </row>
    <row r="49" ht="12.75">
      <c r="B49" s="96" t="s">
        <v>57</v>
      </c>
    </row>
    <row r="50" ht="13.5" thickBot="1"/>
    <row r="51" spans="2:5" ht="12.75">
      <c r="B51" s="114" t="s">
        <v>9</v>
      </c>
      <c r="C51" s="115" t="s">
        <v>11</v>
      </c>
      <c r="D51" s="115" t="s">
        <v>10</v>
      </c>
      <c r="E51" s="115" t="s">
        <v>16</v>
      </c>
    </row>
    <row r="52" spans="2:5" ht="12.75">
      <c r="B52" s="103" t="s">
        <v>2</v>
      </c>
      <c r="C52" s="111">
        <v>775568</v>
      </c>
      <c r="D52" s="111">
        <v>54715</v>
      </c>
      <c r="E52" s="96">
        <f aca="true" t="shared" si="4" ref="E52:E61">SUM(C52:D52)</f>
        <v>830283</v>
      </c>
    </row>
    <row r="53" spans="2:5" ht="12.75">
      <c r="B53" s="92" t="s">
        <v>17</v>
      </c>
      <c r="C53" s="111">
        <v>9903</v>
      </c>
      <c r="E53" s="96">
        <f t="shared" si="4"/>
        <v>9903</v>
      </c>
    </row>
    <row r="54" spans="2:5" ht="12.75">
      <c r="B54" s="92" t="s">
        <v>1</v>
      </c>
      <c r="C54" s="111">
        <v>2046576</v>
      </c>
      <c r="D54" s="111">
        <v>81109</v>
      </c>
      <c r="E54" s="96">
        <f t="shared" si="4"/>
        <v>2127685</v>
      </c>
    </row>
    <row r="55" spans="2:5" ht="12.75">
      <c r="B55" s="92" t="s">
        <v>15</v>
      </c>
      <c r="C55" s="111">
        <v>189365</v>
      </c>
      <c r="D55" s="111">
        <v>1778887</v>
      </c>
      <c r="E55" s="96">
        <f t="shared" si="4"/>
        <v>1968252</v>
      </c>
    </row>
    <row r="56" spans="2:5" ht="12.75">
      <c r="B56" s="92" t="s">
        <v>3</v>
      </c>
      <c r="C56" s="111">
        <v>3445988</v>
      </c>
      <c r="D56" s="111">
        <v>221114</v>
      </c>
      <c r="E56" s="96">
        <f t="shared" si="4"/>
        <v>3667102</v>
      </c>
    </row>
    <row r="57" spans="2:5" ht="12.75">
      <c r="B57" s="92" t="s">
        <v>4</v>
      </c>
      <c r="C57" s="111">
        <v>6132</v>
      </c>
      <c r="D57" s="111">
        <v>43945</v>
      </c>
      <c r="E57" s="96">
        <f t="shared" si="4"/>
        <v>50077</v>
      </c>
    </row>
    <row r="58" spans="2:5" ht="12.75">
      <c r="B58" s="92" t="s">
        <v>5</v>
      </c>
      <c r="C58" s="111">
        <v>277351</v>
      </c>
      <c r="E58" s="96">
        <f t="shared" si="4"/>
        <v>277351</v>
      </c>
    </row>
    <row r="59" spans="2:5" ht="12.75">
      <c r="B59" s="92" t="s">
        <v>7</v>
      </c>
      <c r="C59" s="111">
        <v>895969</v>
      </c>
      <c r="D59" s="111">
        <v>837660</v>
      </c>
      <c r="E59" s="96">
        <f t="shared" si="4"/>
        <v>1733629</v>
      </c>
    </row>
    <row r="60" spans="2:5" ht="12.75">
      <c r="B60" s="92" t="s">
        <v>6</v>
      </c>
      <c r="C60" s="111">
        <v>247407</v>
      </c>
      <c r="D60" s="111">
        <v>3573</v>
      </c>
      <c r="E60" s="96">
        <f t="shared" si="4"/>
        <v>250980</v>
      </c>
    </row>
    <row r="61" spans="2:5" ht="13.5" thickBot="1">
      <c r="B61" s="92" t="s">
        <v>56</v>
      </c>
      <c r="C61" s="111">
        <v>28</v>
      </c>
      <c r="D61" s="111">
        <v>0</v>
      </c>
      <c r="E61" s="96">
        <f t="shared" si="4"/>
        <v>28</v>
      </c>
    </row>
    <row r="62" spans="2:5" ht="13.5" thickBot="1">
      <c r="B62" s="110" t="s">
        <v>16</v>
      </c>
      <c r="C62" s="118">
        <f>SUM(C52:C61)</f>
        <v>7894287</v>
      </c>
      <c r="D62" s="118">
        <f>SUM(D52:D61)</f>
        <v>3021003</v>
      </c>
      <c r="E62" s="119">
        <f>SUM(E52:E61)</f>
        <v>10915290</v>
      </c>
    </row>
    <row r="65" ht="12.75">
      <c r="B65" s="96" t="s">
        <v>62</v>
      </c>
    </row>
    <row r="66" ht="13.5" thickBot="1">
      <c r="B66" s="96"/>
    </row>
    <row r="67" spans="2:6" ht="13.5" thickBot="1">
      <c r="B67" s="120" t="s">
        <v>9</v>
      </c>
      <c r="C67" s="120" t="s">
        <v>11</v>
      </c>
      <c r="D67" s="120" t="s">
        <v>10</v>
      </c>
      <c r="E67" s="120" t="s">
        <v>67</v>
      </c>
      <c r="F67" s="120" t="s">
        <v>16</v>
      </c>
    </row>
    <row r="68" spans="2:6" ht="12.75">
      <c r="B68" s="96" t="s">
        <v>2</v>
      </c>
      <c r="C68" s="111">
        <v>842699</v>
      </c>
      <c r="D68" s="111">
        <v>48857</v>
      </c>
      <c r="E68" s="111">
        <v>6783</v>
      </c>
      <c r="F68" s="96">
        <v>898339</v>
      </c>
    </row>
    <row r="69" spans="2:6" ht="12.75">
      <c r="B69" s="96" t="s">
        <v>17</v>
      </c>
      <c r="C69" s="111">
        <v>9138</v>
      </c>
      <c r="D69" s="111">
        <v>31</v>
      </c>
      <c r="E69" s="111">
        <v>0</v>
      </c>
      <c r="F69" s="96">
        <v>9169</v>
      </c>
    </row>
    <row r="70" spans="2:6" ht="12.75">
      <c r="B70" s="96" t="s">
        <v>1</v>
      </c>
      <c r="C70" s="111">
        <v>3225084</v>
      </c>
      <c r="D70" s="111">
        <v>210680</v>
      </c>
      <c r="E70" s="111">
        <v>5905</v>
      </c>
      <c r="F70" s="96">
        <v>3441669</v>
      </c>
    </row>
    <row r="71" spans="2:6" ht="12.75">
      <c r="B71" s="96" t="s">
        <v>15</v>
      </c>
      <c r="C71" s="111">
        <v>176585</v>
      </c>
      <c r="D71" s="111">
        <v>1751234</v>
      </c>
      <c r="E71" s="111">
        <v>7746</v>
      </c>
      <c r="F71" s="96">
        <v>1935565</v>
      </c>
    </row>
    <row r="72" spans="2:6" ht="12.75">
      <c r="B72" s="96" t="s">
        <v>3</v>
      </c>
      <c r="C72" s="111">
        <v>3740015</v>
      </c>
      <c r="D72" s="111">
        <v>279711</v>
      </c>
      <c r="E72" s="111">
        <v>0</v>
      </c>
      <c r="F72" s="96">
        <v>4019726</v>
      </c>
    </row>
    <row r="73" spans="2:6" ht="12.75">
      <c r="B73" s="96" t="s">
        <v>4</v>
      </c>
      <c r="C73" s="111">
        <v>7688</v>
      </c>
      <c r="D73" s="111">
        <v>43618</v>
      </c>
      <c r="E73" s="111">
        <v>558</v>
      </c>
      <c r="F73" s="96">
        <v>51864</v>
      </c>
    </row>
    <row r="74" spans="2:6" ht="12.75">
      <c r="B74" s="96" t="s">
        <v>5</v>
      </c>
      <c r="C74" s="111">
        <v>487107</v>
      </c>
      <c r="D74" s="111">
        <v>0</v>
      </c>
      <c r="E74" s="111">
        <v>0</v>
      </c>
      <c r="F74" s="96">
        <v>487107</v>
      </c>
    </row>
    <row r="75" spans="2:6" ht="12.75">
      <c r="B75" s="96" t="s">
        <v>7</v>
      </c>
      <c r="C75" s="111">
        <v>1128686</v>
      </c>
      <c r="D75" s="111">
        <v>1215129</v>
      </c>
      <c r="E75" s="111">
        <v>253889</v>
      </c>
      <c r="F75" s="96">
        <v>2597704</v>
      </c>
    </row>
    <row r="76" spans="2:6" ht="12.75">
      <c r="B76" s="96" t="s">
        <v>64</v>
      </c>
      <c r="C76" s="111">
        <v>68</v>
      </c>
      <c r="D76" s="111">
        <v>0</v>
      </c>
      <c r="E76" s="111">
        <v>2</v>
      </c>
      <c r="F76" s="96">
        <v>70</v>
      </c>
    </row>
    <row r="77" spans="2:6" ht="12.75">
      <c r="B77" s="96" t="s">
        <v>6</v>
      </c>
      <c r="C77" s="111">
        <v>317378</v>
      </c>
      <c r="D77" s="111">
        <v>4458</v>
      </c>
      <c r="E77" s="111">
        <v>0</v>
      </c>
      <c r="F77" s="96">
        <v>321836</v>
      </c>
    </row>
    <row r="78" spans="2:6" ht="13.5" thickBot="1">
      <c r="B78" s="96" t="s">
        <v>68</v>
      </c>
      <c r="C78" s="111">
        <v>0</v>
      </c>
      <c r="D78" s="111">
        <v>0</v>
      </c>
      <c r="E78" s="111">
        <v>0</v>
      </c>
      <c r="F78" s="96">
        <v>0</v>
      </c>
    </row>
    <row r="79" spans="2:6" ht="13.5" thickBot="1">
      <c r="B79" s="120" t="s">
        <v>16</v>
      </c>
      <c r="C79" s="120">
        <v>9934448</v>
      </c>
      <c r="D79" s="120">
        <v>3553718</v>
      </c>
      <c r="E79" s="120">
        <v>274883</v>
      </c>
      <c r="F79" s="120">
        <v>13763049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ROCs issued between April 2002 - March 2006</dc:title>
  <dc:subject/>
  <dc:creator/>
  <cp:keywords>RESTATS</cp:keywords>
  <dc:description/>
  <cp:lastModifiedBy>Rebecca Langford</cp:lastModifiedBy>
  <cp:lastPrinted>2006-04-25T11:29:53Z</cp:lastPrinted>
  <dcterms:created xsi:type="dcterms:W3CDTF">2002-05-31T13:36:42Z</dcterms:created>
  <dcterms:modified xsi:type="dcterms:W3CDTF">2007-10-08T13:57:43Z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::">
    <vt:lpwstr>- Subsidiary Document</vt:lpwstr>
  </property>
  <property fmtid="{D5CDD505-2E9C-101B-9397-08002B2CF9AE}" pid="3" name="Overview">
    <vt:lpwstr>This section contains data relating to the number of Renewables Obligation Certificates (ROCs) issued from April 2002 to March 2006</vt:lpwstr>
  </property>
  <property fmtid="{D5CDD505-2E9C-101B-9397-08002B2CF9AE}" pid="4" name=":">
    <vt:lpwstr>2007/03/27 - Summary of ROCs issued</vt:lpwstr>
  </property>
  <property fmtid="{D5CDD505-2E9C-101B-9397-08002B2CF9AE}" pid="5" name="Keywords-">
    <vt:lpwstr>RESTATS</vt:lpwstr>
  </property>
  <property fmtid="{D5CDD505-2E9C-101B-9397-08002B2CF9AE}" pid="6" name="Title-">
    <vt:lpwstr>Summary of ROCs issued between April 2002 - March 2005</vt:lpwstr>
  </property>
  <property fmtid="{D5CDD505-2E9C-101B-9397-08002B2CF9AE}" pid="7" name="Publication Date:">
    <vt:lpwstr>2006-11-03T00:00:00Z</vt:lpwstr>
  </property>
  <property fmtid="{D5CDD505-2E9C-101B-9397-08002B2CF9AE}" pid="8" name="Relation-">
    <vt:lpwstr/>
  </property>
  <property fmtid="{D5CDD505-2E9C-101B-9397-08002B2CF9AE}" pid="9" name="ContentType">
    <vt:lpwstr>Other</vt:lpwstr>
  </property>
  <property fmtid="{D5CDD505-2E9C-101B-9397-08002B2CF9AE}" pid="10" name="Filename">
    <vt:lpwstr>13876-RO_Weblist_0203_0304_and_0405_Oct06update.xls</vt:lpwstr>
  </property>
  <property fmtid="{D5CDD505-2E9C-101B-9397-08002B2CF9AE}" pid="11" name="Work Area">
    <vt:lpwstr>Environment</vt:lpwstr>
  </property>
  <property fmtid="{D5CDD505-2E9C-101B-9397-08002B2CF9AE}" pid="12" name="Standard">
    <vt:lpwstr/>
  </property>
  <property fmtid="{D5CDD505-2E9C-101B-9397-08002B2CF9AE}" pid="13" name="Format-">
    <vt:lpwstr>English</vt:lpwstr>
  </property>
  <property fmtid="{D5CDD505-2E9C-101B-9397-08002B2CF9AE}" pid="14" name="Ref No">
    <vt:lpwstr/>
  </property>
  <property fmtid="{D5CDD505-2E9C-101B-9397-08002B2CF9AE}" pid="15" name="Content Type Name">
    <vt:lpwstr>Other</vt:lpwstr>
  </property>
  <property fmtid="{D5CDD505-2E9C-101B-9397-08002B2CF9AE}" pid="16" name="Title">
    <vt:lpwstr/>
  </property>
  <property fmtid="{D5CDD505-2E9C-101B-9397-08002B2CF9AE}" pid="17" name="ContentTypeId">
    <vt:lpwstr>0x0101001B29A5457858BB40B9775B98A0F7A81700F51EB3B3F5A2FA428BECA20A9FE13DD3</vt:lpwstr>
  </property>
  <property fmtid="{D5CDD505-2E9C-101B-9397-08002B2CF9AE}" pid="18" name="Organisation">
    <vt:lpwstr>Choose an Organisation</vt:lpwstr>
  </property>
  <property fmtid="{D5CDD505-2E9C-101B-9397-08002B2CF9AE}" pid="19" name="_Status">
    <vt:lpwstr>Draft</vt:lpwstr>
  </property>
  <property fmtid="{D5CDD505-2E9C-101B-9397-08002B2CF9AE}" pid="20" name="Type of Document">
    <vt:lpwstr>Choose a Type</vt:lpwstr>
  </property>
</Properties>
</file>