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502"/>
  <workbookPr filterPrivacy="1" codeName="ThisWorkbook" defaultThemeVersion="124226"/>
  <xr:revisionPtr revIDLastSave="0" documentId="8_{7877B041-8A74-43C7-A996-5E579F889E8E}" xr6:coauthVersionLast="47" xr6:coauthVersionMax="47" xr10:uidLastSave="{00000000-0000-0000-0000-000000000000}"/>
  <bookViews>
    <workbookView xWindow="-23235" yWindow="-21720" windowWidth="38640" windowHeight="21120" tabRatio="866" firstSheet="2" activeTab="2" xr2:uid="{00000000-000D-0000-FFFF-FFFF00000000}"/>
  </bookViews>
  <sheets>
    <sheet name="Cover" sheetId="92" r:id="rId1"/>
    <sheet name="Version Control" sheetId="89" r:id="rId2"/>
    <sheet name="Inputs" sheetId="6" r:id="rId3"/>
    <sheet name="Data Sources" sheetId="80" r:id="rId4"/>
    <sheet name="Costs &amp; Revenue" sheetId="87" r:id="rId5"/>
    <sheet name="ORA Adjustment" sheetId="86" r:id="rId6"/>
    <sheet name="DC Adjustment" sheetId="84" r:id="rId7"/>
    <sheet name="Indexation" sheetId="34" r:id="rId8"/>
    <sheet name="Availability" sheetId="82" r:id="rId9"/>
    <sheet name="Assessment" sheetId="63" r:id="rId10"/>
    <sheet name="Revenue Adjustment" sheetId="65" r:id="rId11"/>
    <sheet name="Audit" sheetId="90" r:id="rId12"/>
  </sheets>
  <externalReferences>
    <externalReference r:id="rId13"/>
  </externalReferences>
  <definedNames>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RandomNumberGenerator" hidden="1">0</definedName>
    <definedName name="_AtRisk_SimSetting_ReportsList" hidden="1">0</definedName>
    <definedName name="_AtRisk_SimSetting_SimNameCount" hidden="1">0</definedName>
    <definedName name="_AtRisk_SimSetting_SmartSensitivityAnalysisEnabled" hidden="1">TRUE</definedName>
    <definedName name="_AtRisk_SimSetting_StdRecalcBehavior" hidden="1">0</definedName>
    <definedName name="_AtRisk_SimSetting_StdRecalcWithoutRiskStatic" hidden="1">0</definedName>
    <definedName name="_AtRisk_SimSetting_StdRecalcWithoutRiskStaticPercentile" hidden="1">0.5</definedName>
    <definedName name="_xleta.AND" hidden="1" xlm="1">#NAME?</definedName>
    <definedName name="_xleta.IF" hidden="1" xlm="1">#NAME?</definedName>
    <definedName name="base_year">Inputs!$I$11</definedName>
    <definedName name="CF_currency">Inputs!$I$13</definedName>
    <definedName name="DCC_Adj_1st">Inputs!$I$214</definedName>
    <definedName name="DCC_Adj_2nd">Inputs!$I$220</definedName>
    <definedName name="DCC_Adj_3rd">Inputs!$I$226</definedName>
    <definedName name="DCC_Adj_4th">Inputs!$I$232</definedName>
    <definedName name="DCC_Adj_Latest">Inputs!$I$206</definedName>
    <definedName name="DCF_Adj_1st">Inputs!$I$215</definedName>
    <definedName name="DCF_Adj_2nd">Inputs!$I$221</definedName>
    <definedName name="DCF_Adj_3rd">Inputs!$I$227</definedName>
    <definedName name="DCF_Adj_4th">Inputs!$I$233</definedName>
    <definedName name="DCF_Adj_Latest">Inputs!$I$207</definedName>
    <definedName name="op_years">Inputs!$I$21</definedName>
    <definedName name="ORAAF_Adj">Inputs!$I$193</definedName>
    <definedName name="ORAC_Adj">Inputs!$I$191</definedName>
    <definedName name="ORANF_Adj">Inputs!$I$192</definedName>
    <definedName name="PCAAF_Adj">Inputs!$I$35</definedName>
    <definedName name="PCAAFDS_Adj">Inputs!$I$36</definedName>
    <definedName name="PCAC_Adj">Inputs!$I$33</definedName>
    <definedName name="PCANF_Adj">Inputs!$I$34</definedName>
    <definedName name="Prel_ActualFloor">Inputs!$I$30</definedName>
    <definedName name="Prel_Cap">Inputs!$I$28</definedName>
    <definedName name="Prel_NotionalFloor">Inputs!$I$29</definedName>
    <definedName name="_xlnm.Print_Area" localSheetId="9">Assessment!$A$1:$BB$152</definedName>
    <definedName name="_xlnm.Print_Area" localSheetId="11">Audit!$A$1:$BB$64</definedName>
    <definedName name="_xlnm.Print_Area" localSheetId="8">Availability!$A$1:$BB$33</definedName>
    <definedName name="_xlnm.Print_Area" localSheetId="3">'Data Sources'!$A$1:$BB$156</definedName>
    <definedName name="_xlnm.Print_Area" localSheetId="7">Indexation!$A$1:$BB$73</definedName>
    <definedName name="_xlnm.Print_Area" localSheetId="2">Inputs!$A$1:$BB$249</definedName>
    <definedName name="_xlnm.Print_Area" localSheetId="10">'Revenue Adjustment'!$A$1:$BB$25</definedName>
    <definedName name="_xlnm.Print_Titles" localSheetId="9">Assessment!$1:$4</definedName>
    <definedName name="_xlnm.Print_Titles" localSheetId="11">Audit!$1:$4</definedName>
    <definedName name="_xlnm.Print_Titles" localSheetId="8">Availability!$1:$4</definedName>
    <definedName name="_xlnm.Print_Titles" localSheetId="3">'Data Sources'!$1:$2</definedName>
    <definedName name="_xlnm.Print_Titles" localSheetId="7">Indexation!$1:$4</definedName>
    <definedName name="_xlnm.Print_Titles" localSheetId="2">Inputs!$1:$4</definedName>
    <definedName name="_xlnm.Print_Titles" localSheetId="10">'Revenue Adjustment'!$1:$4</definedName>
    <definedName name="RiskAfterRecalcMacro" hidden="1">"Simulation"</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NumIterations" hidden="1">100</definedName>
    <definedName name="RiskNumSimulations" hidden="1">1</definedName>
    <definedName name="RiskPauseOnError" hidden="1">FALSE</definedName>
    <definedName name="RiskRunAfterRecalcMacro" hidden="1">TRUE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FALSE</definedName>
    <definedName name="WDA_Dis">'[1]fis-Standard Data'!$B$41</definedName>
    <definedName name="WDA_FYA">'[1]fis-Standard Data'!$B$40</definedName>
    <definedName name="WDA_LLA">'[1]fis-Standard Data'!$B$39</definedName>
    <definedName name="WDA_Plant">'[1]fis-Standard Data'!$B$38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BB70" i="6" l="1"/>
  <c r="BA70" i="6"/>
  <c r="AZ70" i="6"/>
  <c r="AY70" i="6"/>
  <c r="AX70" i="6"/>
  <c r="AW70" i="6"/>
  <c r="AV70" i="6"/>
  <c r="AU70" i="6"/>
  <c r="AT70" i="6"/>
  <c r="AS70" i="6"/>
  <c r="AR70" i="6"/>
  <c r="AQ70" i="6"/>
  <c r="AP70" i="6"/>
  <c r="AO70" i="6"/>
  <c r="AN70" i="6"/>
  <c r="AM70" i="6"/>
  <c r="AL70" i="6"/>
  <c r="AK70" i="6"/>
  <c r="AJ70" i="6"/>
  <c r="AI70" i="6"/>
  <c r="AH70" i="6"/>
  <c r="AG70" i="6"/>
  <c r="AF70" i="6"/>
  <c r="AE70" i="6"/>
  <c r="AD70" i="6"/>
  <c r="AC70" i="6"/>
  <c r="AB70" i="6"/>
  <c r="AA70" i="6"/>
  <c r="Z70" i="6"/>
  <c r="Y70" i="6"/>
  <c r="X70" i="6"/>
  <c r="W70" i="6"/>
  <c r="V70" i="6"/>
  <c r="U70" i="6"/>
  <c r="T70" i="6"/>
  <c r="S70" i="6"/>
  <c r="R70" i="6"/>
  <c r="Q70" i="6"/>
  <c r="P70" i="6"/>
  <c r="I82" i="6"/>
  <c r="I67" i="6"/>
  <c r="O70" i="6"/>
  <c r="AO246" i="6"/>
  <c r="I185" i="6" l="1"/>
  <c r="R155" i="6" l="1"/>
  <c r="S155" i="6" s="1"/>
  <c r="T155" i="6" s="1"/>
  <c r="U155" i="6" s="1"/>
  <c r="V155" i="6" s="1"/>
  <c r="W155" i="6" s="1"/>
  <c r="X155" i="6" s="1"/>
  <c r="Y155" i="6" s="1"/>
  <c r="Z155" i="6" s="1"/>
  <c r="AA155" i="6" s="1"/>
  <c r="AB155" i="6" s="1"/>
  <c r="AC155" i="6" s="1"/>
  <c r="AD155" i="6" s="1"/>
  <c r="AE155" i="6" s="1"/>
  <c r="AF155" i="6" s="1"/>
  <c r="AG155" i="6" s="1"/>
  <c r="AH155" i="6" s="1"/>
  <c r="AI155" i="6" s="1"/>
  <c r="AJ155" i="6" s="1"/>
  <c r="AK155" i="6" s="1"/>
  <c r="AL155" i="6" s="1"/>
  <c r="AM155" i="6" s="1"/>
  <c r="AN155" i="6" s="1"/>
  <c r="AO155" i="6" s="1"/>
  <c r="AP155" i="6" s="1"/>
  <c r="AQ155" i="6" s="1"/>
  <c r="AR155" i="6" s="1"/>
  <c r="AS155" i="6" s="1"/>
  <c r="AT155" i="6" s="1"/>
  <c r="AU155" i="6" s="1"/>
  <c r="AV155" i="6" s="1"/>
  <c r="AW155" i="6" s="1"/>
  <c r="AX155" i="6" s="1"/>
  <c r="AY155" i="6" s="1"/>
  <c r="AZ155" i="6" s="1"/>
  <c r="BA155" i="6" s="1"/>
  <c r="BB155" i="6" s="1"/>
  <c r="Q155" i="6"/>
  <c r="G34" i="34" l="1"/>
  <c r="G25" i="34"/>
  <c r="BB70" i="84"/>
  <c r="BA70" i="84"/>
  <c r="AZ70" i="84"/>
  <c r="AY70" i="84"/>
  <c r="AX70" i="84"/>
  <c r="AW70" i="84"/>
  <c r="AV70" i="84"/>
  <c r="AU70" i="84"/>
  <c r="AT70" i="84"/>
  <c r="AS70" i="84"/>
  <c r="AR70" i="84"/>
  <c r="AQ70" i="84"/>
  <c r="AP70" i="84"/>
  <c r="AO70" i="84"/>
  <c r="BB57" i="84"/>
  <c r="BA57" i="84"/>
  <c r="AZ57" i="84"/>
  <c r="AY57" i="84"/>
  <c r="AX57" i="84"/>
  <c r="AW57" i="84"/>
  <c r="AV57" i="84"/>
  <c r="AU57" i="84"/>
  <c r="AT57" i="84"/>
  <c r="AS57" i="84"/>
  <c r="AR57" i="84"/>
  <c r="AQ57" i="84"/>
  <c r="AP57" i="84"/>
  <c r="AO57" i="84"/>
  <c r="BB41" i="86"/>
  <c r="BA41" i="86"/>
  <c r="AZ41" i="86"/>
  <c r="AY41" i="86"/>
  <c r="AX41" i="86"/>
  <c r="AW41" i="86"/>
  <c r="AV41" i="86"/>
  <c r="AU41" i="86"/>
  <c r="AT41" i="86"/>
  <c r="AS41" i="86"/>
  <c r="AR41" i="86"/>
  <c r="AQ41" i="86"/>
  <c r="AP41" i="86"/>
  <c r="AO41" i="86"/>
  <c r="BB31" i="86"/>
  <c r="BA31" i="86"/>
  <c r="AZ31" i="86"/>
  <c r="AY31" i="86"/>
  <c r="AX31" i="86"/>
  <c r="AW31" i="86"/>
  <c r="AV31" i="86"/>
  <c r="AU31" i="86"/>
  <c r="AT31" i="86"/>
  <c r="AS31" i="86"/>
  <c r="AR31" i="86"/>
  <c r="AQ31" i="86"/>
  <c r="AP31" i="86"/>
  <c r="AO31" i="86"/>
  <c r="BB21" i="86"/>
  <c r="BA21" i="86"/>
  <c r="AZ21" i="86"/>
  <c r="AY21" i="86"/>
  <c r="AX21" i="86"/>
  <c r="AW21" i="86"/>
  <c r="AV21" i="86"/>
  <c r="AU21" i="86"/>
  <c r="AT21" i="86"/>
  <c r="AS21" i="86"/>
  <c r="AR21" i="86"/>
  <c r="AQ21" i="86"/>
  <c r="AP21" i="86"/>
  <c r="AO21" i="86"/>
  <c r="E15" i="80"/>
  <c r="E154" i="80" l="1"/>
  <c r="I154" i="80"/>
  <c r="E149" i="80"/>
  <c r="I149" i="80"/>
  <c r="E144" i="80"/>
  <c r="I144" i="80"/>
  <c r="E139" i="80"/>
  <c r="I139" i="80"/>
  <c r="I53" i="80"/>
  <c r="I52" i="80"/>
  <c r="I51" i="80"/>
  <c r="I50" i="80"/>
  <c r="G53" i="80"/>
  <c r="G52" i="80"/>
  <c r="G51" i="80"/>
  <c r="G50" i="80"/>
  <c r="E53" i="80"/>
  <c r="E52" i="80"/>
  <c r="E51" i="80"/>
  <c r="E50" i="80"/>
  <c r="I93" i="80"/>
  <c r="I92" i="80"/>
  <c r="I65" i="80"/>
  <c r="I94" i="80"/>
  <c r="H94" i="80"/>
  <c r="G94" i="80"/>
  <c r="G65" i="80"/>
  <c r="G93" i="80"/>
  <c r="G92" i="80"/>
  <c r="I41" i="80"/>
  <c r="G41" i="80"/>
  <c r="E41" i="80"/>
  <c r="I29" i="80"/>
  <c r="I28" i="80"/>
  <c r="H28" i="80"/>
  <c r="G36" i="6"/>
  <c r="G29" i="80" s="1"/>
  <c r="E29" i="80"/>
  <c r="E28" i="80"/>
  <c r="I24" i="80"/>
  <c r="I23" i="80"/>
  <c r="E24" i="80"/>
  <c r="E17" i="80"/>
  <c r="E23" i="80"/>
  <c r="I17" i="80"/>
  <c r="I16" i="80"/>
  <c r="I15" i="80"/>
  <c r="G15" i="80"/>
  <c r="BB147" i="63" l="1"/>
  <c r="BA147" i="63"/>
  <c r="AZ147" i="63"/>
  <c r="AY147" i="63"/>
  <c r="AX147" i="63"/>
  <c r="AW147" i="63"/>
  <c r="AV147" i="63"/>
  <c r="AU147" i="63"/>
  <c r="AT147" i="63"/>
  <c r="AS147" i="63"/>
  <c r="AR147" i="63"/>
  <c r="AQ147" i="63"/>
  <c r="AP147" i="63"/>
  <c r="AO147" i="63"/>
  <c r="AN147" i="63"/>
  <c r="AM147" i="63"/>
  <c r="AL147" i="63"/>
  <c r="AK147" i="63"/>
  <c r="AJ147" i="63"/>
  <c r="AI147" i="63"/>
  <c r="AH147" i="63"/>
  <c r="AG147" i="63"/>
  <c r="AF147" i="63"/>
  <c r="AE147" i="63"/>
  <c r="AD147" i="63"/>
  <c r="AC147" i="63"/>
  <c r="AB147" i="63"/>
  <c r="AA147" i="63"/>
  <c r="Z147" i="63"/>
  <c r="Y147" i="63"/>
  <c r="X147" i="63"/>
  <c r="W147" i="63"/>
  <c r="V147" i="63"/>
  <c r="U147" i="63"/>
  <c r="T147" i="63"/>
  <c r="S147" i="63"/>
  <c r="R147" i="63"/>
  <c r="Q147" i="63"/>
  <c r="P147" i="63"/>
  <c r="O170" i="6" l="1"/>
  <c r="BB50" i="82"/>
  <c r="BA50" i="82"/>
  <c r="AZ50" i="82"/>
  <c r="AY50" i="82"/>
  <c r="AX50" i="82"/>
  <c r="AW50" i="82"/>
  <c r="AV50" i="82"/>
  <c r="AU50" i="82"/>
  <c r="AT50" i="82"/>
  <c r="AS50" i="82"/>
  <c r="AR50" i="82"/>
  <c r="AQ50" i="82"/>
  <c r="AP50" i="82"/>
  <c r="AO50" i="82"/>
  <c r="AN50" i="82"/>
  <c r="AM50" i="82"/>
  <c r="AL50" i="82"/>
  <c r="AK50" i="82"/>
  <c r="AJ50" i="82"/>
  <c r="AI50" i="82"/>
  <c r="AH50" i="82"/>
  <c r="AG50" i="82"/>
  <c r="AF50" i="82"/>
  <c r="AE50" i="82"/>
  <c r="AD50" i="82"/>
  <c r="AC50" i="82"/>
  <c r="AB50" i="82"/>
  <c r="AA50" i="82"/>
  <c r="Z50" i="82"/>
  <c r="Y50" i="82"/>
  <c r="X50" i="82"/>
  <c r="W50" i="82"/>
  <c r="V50" i="82"/>
  <c r="U50" i="82"/>
  <c r="T50" i="82"/>
  <c r="S50" i="82"/>
  <c r="R50" i="82"/>
  <c r="Q50" i="82"/>
  <c r="P50" i="82"/>
  <c r="G93" i="84" l="1"/>
  <c r="G91" i="84"/>
  <c r="G90" i="84"/>
  <c r="G89" i="84"/>
  <c r="G88" i="84"/>
  <c r="G87" i="84"/>
  <c r="G86" i="84"/>
  <c r="G85" i="84"/>
  <c r="G80" i="84"/>
  <c r="G78" i="84"/>
  <c r="G77" i="84"/>
  <c r="G76" i="84"/>
  <c r="G75" i="84"/>
  <c r="G74" i="84"/>
  <c r="G73" i="84"/>
  <c r="G72" i="84"/>
  <c r="G67" i="84"/>
  <c r="G65" i="84"/>
  <c r="G64" i="84"/>
  <c r="G63" i="84"/>
  <c r="G62" i="84"/>
  <c r="G61" i="84"/>
  <c r="G60" i="84"/>
  <c r="G59" i="84"/>
  <c r="G50" i="84"/>
  <c r="G46" i="84"/>
  <c r="G42" i="84"/>
  <c r="G38" i="84"/>
  <c r="G32" i="84"/>
  <c r="G28" i="84"/>
  <c r="G24" i="84"/>
  <c r="G20" i="84"/>
  <c r="G15" i="84"/>
  <c r="G11" i="84"/>
  <c r="G47" i="86"/>
  <c r="G45" i="86"/>
  <c r="G44" i="86"/>
  <c r="G43" i="86"/>
  <c r="G37" i="86"/>
  <c r="G35" i="86"/>
  <c r="G34" i="86"/>
  <c r="G33" i="86"/>
  <c r="G27" i="86"/>
  <c r="G25" i="86"/>
  <c r="G24" i="86"/>
  <c r="G23" i="86"/>
  <c r="G15" i="86"/>
  <c r="G11" i="86"/>
  <c r="G13" i="87"/>
  <c r="G12" i="87"/>
  <c r="G11" i="87"/>
  <c r="O5" i="90" l="1"/>
  <c r="G234" i="6" l="1"/>
  <c r="G154" i="80" s="1"/>
  <c r="G228" i="6"/>
  <c r="G149" i="80" s="1"/>
  <c r="G222" i="6"/>
  <c r="G144" i="80" s="1"/>
  <c r="BB19" i="90" l="1"/>
  <c r="BA19" i="90"/>
  <c r="AZ19" i="90"/>
  <c r="AY19" i="90"/>
  <c r="AX19" i="90"/>
  <c r="AW19" i="90"/>
  <c r="AV19" i="90"/>
  <c r="AU19" i="90"/>
  <c r="AT19" i="90"/>
  <c r="AS19" i="90"/>
  <c r="AR19" i="90"/>
  <c r="AQ19" i="90"/>
  <c r="AP19" i="90"/>
  <c r="AO19" i="90"/>
  <c r="AN19" i="90"/>
  <c r="AM19" i="90"/>
  <c r="AL19" i="90"/>
  <c r="AK19" i="90"/>
  <c r="AJ19" i="90"/>
  <c r="AI19" i="90"/>
  <c r="AH19" i="90"/>
  <c r="AG19" i="90"/>
  <c r="AF19" i="90"/>
  <c r="AE19" i="90"/>
  <c r="AD19" i="90"/>
  <c r="AC19" i="90"/>
  <c r="AB19" i="90"/>
  <c r="AA19" i="90"/>
  <c r="Z19" i="90"/>
  <c r="Y19" i="90"/>
  <c r="X19" i="90"/>
  <c r="W19" i="90"/>
  <c r="V19" i="90"/>
  <c r="U19" i="90"/>
  <c r="T19" i="90"/>
  <c r="S19" i="90"/>
  <c r="R19" i="90"/>
  <c r="Q19" i="90"/>
  <c r="P19" i="90"/>
  <c r="U49" i="82" l="1"/>
  <c r="Y49" i="82"/>
  <c r="AU49" i="82"/>
  <c r="T49" i="82"/>
  <c r="Z49" i="82"/>
  <c r="AV49" i="82"/>
  <c r="AW49" i="82"/>
  <c r="AB49" i="82"/>
  <c r="AX49" i="82"/>
  <c r="AA49" i="82"/>
  <c r="AY49" i="82"/>
  <c r="P49" i="82"/>
  <c r="V49" i="82"/>
  <c r="AD49" i="82"/>
  <c r="AZ49" i="82"/>
  <c r="S49" i="82"/>
  <c r="AE49" i="82"/>
  <c r="BA49" i="82"/>
  <c r="X49" i="82"/>
  <c r="AF49" i="82"/>
  <c r="BB49" i="82"/>
  <c r="AG49" i="82"/>
  <c r="Q49" i="82"/>
  <c r="W49" i="82"/>
  <c r="AH49" i="82"/>
  <c r="R49" i="82"/>
  <c r="AC49" i="82"/>
  <c r="AI49" i="82"/>
  <c r="AJ49" i="82"/>
  <c r="AK49" i="82"/>
  <c r="AL49" i="82"/>
  <c r="AM49" i="82"/>
  <c r="AN49" i="82"/>
  <c r="AO49" i="82"/>
  <c r="AP49" i="82"/>
  <c r="AQ49" i="82"/>
  <c r="AR49" i="82"/>
  <c r="AS49" i="82"/>
  <c r="AT49" i="82"/>
  <c r="I34" i="34" l="1"/>
  <c r="I52" i="34"/>
  <c r="I49" i="34"/>
  <c r="I46" i="34"/>
  <c r="I43" i="34"/>
  <c r="G216" i="6"/>
  <c r="G139" i="80" s="1"/>
  <c r="I40" i="86"/>
  <c r="G233" i="6"/>
  <c r="G227" i="6"/>
  <c r="G221" i="6"/>
  <c r="G208" i="6"/>
  <c r="I82" i="84"/>
  <c r="AH83" i="84" l="1"/>
  <c r="AG83" i="84"/>
  <c r="BB83" i="84"/>
  <c r="AF83" i="84"/>
  <c r="BA83" i="84"/>
  <c r="AZ83" i="84"/>
  <c r="AY83" i="84"/>
  <c r="AC83" i="84"/>
  <c r="AX83" i="84"/>
  <c r="AB83" i="84"/>
  <c r="AA83" i="84"/>
  <c r="AW83" i="84"/>
  <c r="AV83" i="84"/>
  <c r="Z83" i="84"/>
  <c r="AT83" i="84"/>
  <c r="AU83" i="84"/>
  <c r="Y83" i="84"/>
  <c r="AS83" i="84"/>
  <c r="W83" i="84"/>
  <c r="AP83" i="84"/>
  <c r="AR83" i="84"/>
  <c r="V83" i="84"/>
  <c r="U83" i="84"/>
  <c r="AQ83" i="84"/>
  <c r="AM83" i="84"/>
  <c r="Q83" i="84"/>
  <c r="S83" i="84"/>
  <c r="AL83" i="84"/>
  <c r="P83" i="84"/>
  <c r="AE83" i="84"/>
  <c r="AO83" i="84"/>
  <c r="R83" i="84"/>
  <c r="AK83" i="84"/>
  <c r="O83" i="84"/>
  <c r="AD83" i="84"/>
  <c r="AJ83" i="84"/>
  <c r="X83" i="84"/>
  <c r="T83" i="84"/>
  <c r="AN83" i="84"/>
  <c r="AI83" i="84"/>
  <c r="AH41" i="86"/>
  <c r="U41" i="86"/>
  <c r="T41" i="86"/>
  <c r="AD41" i="86"/>
  <c r="AB41" i="86"/>
  <c r="AA41" i="86"/>
  <c r="Y41" i="86"/>
  <c r="W41" i="86"/>
  <c r="X41" i="86"/>
  <c r="S41" i="86"/>
  <c r="Z41" i="86"/>
  <c r="AN41" i="86"/>
  <c r="R41" i="86"/>
  <c r="Q41" i="86"/>
  <c r="AM41" i="86"/>
  <c r="AL41" i="86"/>
  <c r="P41" i="86"/>
  <c r="AK41" i="86"/>
  <c r="AJ41" i="86"/>
  <c r="AI41" i="86"/>
  <c r="AG41" i="86"/>
  <c r="AF41" i="86"/>
  <c r="AE41" i="86"/>
  <c r="AC41" i="86"/>
  <c r="V41" i="86"/>
  <c r="O41" i="86"/>
  <c r="BB44" i="82"/>
  <c r="BA44" i="82"/>
  <c r="AZ44" i="82"/>
  <c r="AY44" i="82"/>
  <c r="AX44" i="82"/>
  <c r="AW44" i="82"/>
  <c r="AV44" i="82"/>
  <c r="AU44" i="82"/>
  <c r="AT44" i="82"/>
  <c r="AS44" i="82"/>
  <c r="AR44" i="82"/>
  <c r="AQ44" i="82"/>
  <c r="AP44" i="82"/>
  <c r="AO44" i="82"/>
  <c r="AN44" i="82"/>
  <c r="AM44" i="82"/>
  <c r="AL44" i="82"/>
  <c r="AK44" i="82"/>
  <c r="AJ44" i="82"/>
  <c r="AI44" i="82"/>
  <c r="AH44" i="82"/>
  <c r="AG44" i="82"/>
  <c r="AF44" i="82"/>
  <c r="AE44" i="82"/>
  <c r="AD44" i="82"/>
  <c r="AC44" i="82"/>
  <c r="AB44" i="82"/>
  <c r="AA44" i="82"/>
  <c r="Z44" i="82"/>
  <c r="Y44" i="82"/>
  <c r="X44" i="82"/>
  <c r="W44" i="82"/>
  <c r="V44" i="82"/>
  <c r="U44" i="82"/>
  <c r="T44" i="82"/>
  <c r="S44" i="82"/>
  <c r="R44" i="82"/>
  <c r="Q44" i="82"/>
  <c r="P44" i="82"/>
  <c r="O5" i="65"/>
  <c r="O5" i="63"/>
  <c r="O5" i="82"/>
  <c r="O5" i="34"/>
  <c r="AX25" i="87"/>
  <c r="AA25" i="87"/>
  <c r="Z25" i="87"/>
  <c r="BB23" i="87"/>
  <c r="BB25" i="87" s="1"/>
  <c r="BA23" i="87"/>
  <c r="BA25" i="87" s="1"/>
  <c r="AZ23" i="87"/>
  <c r="AZ25" i="87" s="1"/>
  <c r="AY23" i="87"/>
  <c r="AY25" i="87" s="1"/>
  <c r="AX23" i="87"/>
  <c r="AW23" i="87"/>
  <c r="AW25" i="87" s="1"/>
  <c r="AV23" i="87"/>
  <c r="AV25" i="87" s="1"/>
  <c r="AU23" i="87"/>
  <c r="AU25" i="87" s="1"/>
  <c r="AT23" i="87"/>
  <c r="AT25" i="87" s="1"/>
  <c r="AS23" i="87"/>
  <c r="AS25" i="87" s="1"/>
  <c r="AR23" i="87"/>
  <c r="AR25" i="87" s="1"/>
  <c r="AQ23" i="87"/>
  <c r="AQ25" i="87" s="1"/>
  <c r="AP23" i="87"/>
  <c r="AP25" i="87" s="1"/>
  <c r="AO23" i="87"/>
  <c r="AO25" i="87" s="1"/>
  <c r="AN23" i="87"/>
  <c r="AN25" i="87" s="1"/>
  <c r="AM23" i="87"/>
  <c r="AM25" i="87" s="1"/>
  <c r="AL23" i="87"/>
  <c r="AL25" i="87" s="1"/>
  <c r="AK23" i="87"/>
  <c r="AK25" i="87" s="1"/>
  <c r="AJ23" i="87"/>
  <c r="AJ25" i="87" s="1"/>
  <c r="AI23" i="87"/>
  <c r="AI25" i="87" s="1"/>
  <c r="AH23" i="87"/>
  <c r="AH25" i="87" s="1"/>
  <c r="AG23" i="87"/>
  <c r="AG25" i="87" s="1"/>
  <c r="AF23" i="87"/>
  <c r="AF25" i="87" s="1"/>
  <c r="AE23" i="87"/>
  <c r="AE25" i="87" s="1"/>
  <c r="AD23" i="87"/>
  <c r="AD25" i="87" s="1"/>
  <c r="AC23" i="87"/>
  <c r="AC25" i="87" s="1"/>
  <c r="AB23" i="87"/>
  <c r="AB25" i="87" s="1"/>
  <c r="AA23" i="87"/>
  <c r="Z23" i="87"/>
  <c r="Y23" i="87"/>
  <c r="Y25" i="87" s="1"/>
  <c r="X23" i="87"/>
  <c r="X25" i="87" s="1"/>
  <c r="W23" i="87"/>
  <c r="W25" i="87" s="1"/>
  <c r="V23" i="87"/>
  <c r="V25" i="87" s="1"/>
  <c r="U23" i="87"/>
  <c r="U25" i="87" s="1"/>
  <c r="T23" i="87"/>
  <c r="T25" i="87" s="1"/>
  <c r="S23" i="87"/>
  <c r="S25" i="87" s="1"/>
  <c r="R23" i="87"/>
  <c r="R25" i="87" s="1"/>
  <c r="Q23" i="87"/>
  <c r="Q25" i="87" s="1"/>
  <c r="P23" i="87"/>
  <c r="P25" i="87" s="1"/>
  <c r="BB19" i="87"/>
  <c r="BA19" i="87"/>
  <c r="AZ19" i="87"/>
  <c r="AY19" i="87"/>
  <c r="AX19" i="87"/>
  <c r="AW19" i="87"/>
  <c r="AV19" i="87"/>
  <c r="AU19" i="87"/>
  <c r="AT19" i="87"/>
  <c r="AS19" i="87"/>
  <c r="AR19" i="87"/>
  <c r="AQ19" i="87"/>
  <c r="AP19" i="87"/>
  <c r="AO19" i="87"/>
  <c r="AN19" i="87"/>
  <c r="AM19" i="87"/>
  <c r="AL19" i="87"/>
  <c r="AK19" i="87"/>
  <c r="AJ19" i="87"/>
  <c r="AI19" i="87"/>
  <c r="AH19" i="87"/>
  <c r="AG19" i="87"/>
  <c r="AF19" i="87"/>
  <c r="AE19" i="87"/>
  <c r="AD19" i="87"/>
  <c r="AC19" i="87"/>
  <c r="AB19" i="87"/>
  <c r="AA19" i="87"/>
  <c r="Z19" i="87"/>
  <c r="Y19" i="87"/>
  <c r="X19" i="87"/>
  <c r="W19" i="87"/>
  <c r="V19" i="87"/>
  <c r="U19" i="87"/>
  <c r="T19" i="87"/>
  <c r="S19" i="87"/>
  <c r="R19" i="87"/>
  <c r="Q19" i="87"/>
  <c r="P19" i="87"/>
  <c r="BB13" i="87"/>
  <c r="BA13" i="87"/>
  <c r="AZ13" i="87"/>
  <c r="AY13" i="87"/>
  <c r="AX13" i="87"/>
  <c r="AW13" i="87"/>
  <c r="AV13" i="87"/>
  <c r="AU13" i="87"/>
  <c r="AT13" i="87"/>
  <c r="AS13" i="87"/>
  <c r="AR13" i="87"/>
  <c r="AQ13" i="87"/>
  <c r="AP13" i="87"/>
  <c r="AO13" i="87"/>
  <c r="AN13" i="87"/>
  <c r="AM13" i="87"/>
  <c r="AL13" i="87"/>
  <c r="AK13" i="87"/>
  <c r="AJ13" i="87"/>
  <c r="AI13" i="87"/>
  <c r="AH13" i="87"/>
  <c r="AG13" i="87"/>
  <c r="AF13" i="87"/>
  <c r="AE13" i="87"/>
  <c r="AD13" i="87"/>
  <c r="AC13" i="87"/>
  <c r="AB13" i="87"/>
  <c r="AA13" i="87"/>
  <c r="Z13" i="87"/>
  <c r="Y13" i="87"/>
  <c r="X13" i="87"/>
  <c r="W13" i="87"/>
  <c r="V13" i="87"/>
  <c r="U13" i="87"/>
  <c r="T13" i="87"/>
  <c r="S13" i="87"/>
  <c r="R13" i="87"/>
  <c r="Q13" i="87"/>
  <c r="BB12" i="87"/>
  <c r="BA12" i="87"/>
  <c r="AZ12" i="87"/>
  <c r="AY12" i="87"/>
  <c r="AX12" i="87"/>
  <c r="AW12" i="87"/>
  <c r="AV12" i="87"/>
  <c r="AU12" i="87"/>
  <c r="AT12" i="87"/>
  <c r="AS12" i="87"/>
  <c r="AR12" i="87"/>
  <c r="AQ12" i="87"/>
  <c r="AP12" i="87"/>
  <c r="AO12" i="87"/>
  <c r="AN12" i="87"/>
  <c r="AM12" i="87"/>
  <c r="AL12" i="87"/>
  <c r="AK12" i="87"/>
  <c r="AJ12" i="87"/>
  <c r="AI12" i="87"/>
  <c r="AH12" i="87"/>
  <c r="AG12" i="87"/>
  <c r="AF12" i="87"/>
  <c r="AE12" i="87"/>
  <c r="AD12" i="87"/>
  <c r="AC12" i="87"/>
  <c r="AB12" i="87"/>
  <c r="AA12" i="87"/>
  <c r="Z12" i="87"/>
  <c r="Y12" i="87"/>
  <c r="X12" i="87"/>
  <c r="W12" i="87"/>
  <c r="V12" i="87"/>
  <c r="U12" i="87"/>
  <c r="T12" i="87"/>
  <c r="S12" i="87"/>
  <c r="R12" i="87"/>
  <c r="Q12" i="87"/>
  <c r="BB11" i="87"/>
  <c r="BA11" i="87"/>
  <c r="AZ11" i="87"/>
  <c r="AY11" i="87"/>
  <c r="AX11" i="87"/>
  <c r="AW11" i="87"/>
  <c r="AV11" i="87"/>
  <c r="AU11" i="87"/>
  <c r="AT11" i="87"/>
  <c r="AS11" i="87"/>
  <c r="AR11" i="87"/>
  <c r="AQ11" i="87"/>
  <c r="AP11" i="87"/>
  <c r="AO11" i="87"/>
  <c r="AN11" i="87"/>
  <c r="AM11" i="87"/>
  <c r="AL11" i="87"/>
  <c r="AK11" i="87"/>
  <c r="AJ11" i="87"/>
  <c r="AI11" i="87"/>
  <c r="AH11" i="87"/>
  <c r="AG11" i="87"/>
  <c r="AF11" i="87"/>
  <c r="AE11" i="87"/>
  <c r="AD11" i="87"/>
  <c r="AC11" i="87"/>
  <c r="AB11" i="87"/>
  <c r="AA11" i="87"/>
  <c r="Z11" i="87"/>
  <c r="Y11" i="87"/>
  <c r="X11" i="87"/>
  <c r="W11" i="87"/>
  <c r="V11" i="87"/>
  <c r="U11" i="87"/>
  <c r="T11" i="87"/>
  <c r="S11" i="87"/>
  <c r="R11" i="87"/>
  <c r="Q11" i="87"/>
  <c r="P13" i="87"/>
  <c r="P12" i="87"/>
  <c r="P11" i="87"/>
  <c r="O5" i="87"/>
  <c r="I30" i="86"/>
  <c r="I20" i="86"/>
  <c r="BB11" i="86"/>
  <c r="BA11" i="86"/>
  <c r="AZ11" i="86"/>
  <c r="AY11" i="86"/>
  <c r="AX11" i="86"/>
  <c r="AW11" i="86"/>
  <c r="AV11" i="86"/>
  <c r="AU11" i="86"/>
  <c r="AT11" i="86"/>
  <c r="AS11" i="86"/>
  <c r="AR11" i="86"/>
  <c r="AQ11" i="86"/>
  <c r="AP11" i="86"/>
  <c r="AO11" i="86"/>
  <c r="AN11" i="86"/>
  <c r="AM11" i="86"/>
  <c r="AL11" i="86"/>
  <c r="AK11" i="86"/>
  <c r="AJ11" i="86"/>
  <c r="AI11" i="86"/>
  <c r="AH11" i="86"/>
  <c r="AG11" i="86"/>
  <c r="AF11" i="86"/>
  <c r="AE11" i="86"/>
  <c r="AD11" i="86"/>
  <c r="AC11" i="86"/>
  <c r="AB11" i="86"/>
  <c r="AA11" i="86"/>
  <c r="Z11" i="86"/>
  <c r="Y11" i="86"/>
  <c r="X11" i="86"/>
  <c r="W11" i="86"/>
  <c r="V11" i="86"/>
  <c r="U11" i="86"/>
  <c r="T11" i="86"/>
  <c r="S11" i="86"/>
  <c r="R11" i="86"/>
  <c r="Q11" i="86"/>
  <c r="P11" i="86"/>
  <c r="O5" i="86"/>
  <c r="O5" i="84"/>
  <c r="I69" i="84"/>
  <c r="I56" i="84"/>
  <c r="I50" i="84"/>
  <c r="I46" i="84"/>
  <c r="I42" i="84"/>
  <c r="I38" i="84"/>
  <c r="I32" i="84"/>
  <c r="I28" i="84"/>
  <c r="I24" i="84"/>
  <c r="I20" i="84"/>
  <c r="BB11" i="84"/>
  <c r="BA11" i="84"/>
  <c r="AZ11" i="84"/>
  <c r="AY11" i="84"/>
  <c r="AX11" i="84"/>
  <c r="AW11" i="84"/>
  <c r="AV11" i="84"/>
  <c r="AU11" i="84"/>
  <c r="AT11" i="84"/>
  <c r="AS11" i="84"/>
  <c r="AR11" i="84"/>
  <c r="AQ11" i="84"/>
  <c r="AP11" i="84"/>
  <c r="AO11" i="84"/>
  <c r="AN11" i="84"/>
  <c r="AM11" i="84"/>
  <c r="AL11" i="84"/>
  <c r="AK11" i="84"/>
  <c r="AJ11" i="84"/>
  <c r="AI11" i="84"/>
  <c r="AH11" i="84"/>
  <c r="AG11" i="84"/>
  <c r="AF11" i="84"/>
  <c r="AE11" i="84"/>
  <c r="AD11" i="84"/>
  <c r="AC11" i="84"/>
  <c r="AB11" i="84"/>
  <c r="AA11" i="84"/>
  <c r="Z11" i="84"/>
  <c r="Y11" i="84"/>
  <c r="X11" i="84"/>
  <c r="W11" i="84"/>
  <c r="V11" i="84"/>
  <c r="U11" i="84"/>
  <c r="T11" i="84"/>
  <c r="S11" i="84"/>
  <c r="R11" i="84"/>
  <c r="Q11" i="84"/>
  <c r="P11" i="84"/>
  <c r="AD70" i="84" l="1"/>
  <c r="Y70" i="84"/>
  <c r="AN70" i="84"/>
  <c r="Q70" i="84"/>
  <c r="AC70" i="84"/>
  <c r="AB70" i="84"/>
  <c r="AA70" i="84"/>
  <c r="R70" i="84"/>
  <c r="AJ70" i="84"/>
  <c r="Z70" i="84"/>
  <c r="AH70" i="84"/>
  <c r="X70" i="84"/>
  <c r="O70" i="84"/>
  <c r="W70" i="84"/>
  <c r="P70" i="84"/>
  <c r="V70" i="84"/>
  <c r="AL70" i="84"/>
  <c r="AG70" i="84"/>
  <c r="AE70" i="84"/>
  <c r="U70" i="84"/>
  <c r="AI70" i="84"/>
  <c r="AF70" i="84"/>
  <c r="T70" i="84"/>
  <c r="S70" i="84"/>
  <c r="AM70" i="84"/>
  <c r="AK70" i="84"/>
  <c r="AJ31" i="86"/>
  <c r="AI31" i="86"/>
  <c r="V31" i="86"/>
  <c r="AM31" i="86"/>
  <c r="O31" i="86"/>
  <c r="AH31" i="86"/>
  <c r="AC31" i="86"/>
  <c r="U31" i="86"/>
  <c r="S31" i="86"/>
  <c r="AG31" i="86"/>
  <c r="AB31" i="86"/>
  <c r="AF31" i="86"/>
  <c r="AE31" i="86"/>
  <c r="W31" i="86"/>
  <c r="R31" i="86"/>
  <c r="AD31" i="86"/>
  <c r="Y31" i="86"/>
  <c r="AL31" i="86"/>
  <c r="X31" i="86"/>
  <c r="AA31" i="86"/>
  <c r="Z31" i="86"/>
  <c r="AK31" i="86"/>
  <c r="T31" i="86"/>
  <c r="AN31" i="86"/>
  <c r="Q31" i="86"/>
  <c r="P31" i="86"/>
  <c r="AJ21" i="86"/>
  <c r="AI21" i="86"/>
  <c r="AH21" i="86"/>
  <c r="AN21" i="86"/>
  <c r="AG21" i="86"/>
  <c r="X21" i="86"/>
  <c r="U21" i="86"/>
  <c r="S21" i="86"/>
  <c r="AL21" i="86"/>
  <c r="AF21" i="86"/>
  <c r="Y21" i="86"/>
  <c r="AM21" i="86"/>
  <c r="AE21" i="86"/>
  <c r="AC21" i="86"/>
  <c r="AA21" i="86"/>
  <c r="T21" i="86"/>
  <c r="AD21" i="86"/>
  <c r="Z21" i="86"/>
  <c r="W21" i="86"/>
  <c r="V21" i="86"/>
  <c r="Q21" i="86"/>
  <c r="O21" i="86"/>
  <c r="AB21" i="86"/>
  <c r="R21" i="86"/>
  <c r="AK21" i="86"/>
  <c r="P21" i="86"/>
  <c r="Z57" i="84"/>
  <c r="Y57" i="84"/>
  <c r="X57" i="84"/>
  <c r="W57" i="84"/>
  <c r="AA57" i="84"/>
  <c r="V57" i="84"/>
  <c r="AI57" i="84"/>
  <c r="U57" i="84"/>
  <c r="O57" i="84"/>
  <c r="AH57" i="84"/>
  <c r="T57" i="84"/>
  <c r="AK57" i="84"/>
  <c r="AE57" i="84"/>
  <c r="S57" i="84"/>
  <c r="AD57" i="84"/>
  <c r="AN57" i="84"/>
  <c r="R57" i="84"/>
  <c r="Q57" i="84"/>
  <c r="AF57" i="84"/>
  <c r="AC57" i="84"/>
  <c r="AM57" i="84"/>
  <c r="AJ57" i="84"/>
  <c r="AG57" i="84"/>
  <c r="AB57" i="84"/>
  <c r="AL57" i="84"/>
  <c r="P57" i="84"/>
  <c r="BA134" i="63"/>
  <c r="R134" i="63"/>
  <c r="V134" i="63"/>
  <c r="AK134" i="63"/>
  <c r="Z134" i="63"/>
  <c r="T134" i="63"/>
  <c r="Y134" i="63"/>
  <c r="AF134" i="63"/>
  <c r="U134" i="63"/>
  <c r="AJ134" i="63"/>
  <c r="AA134" i="63"/>
  <c r="P134" i="63"/>
  <c r="AL134" i="63"/>
  <c r="AB134" i="63"/>
  <c r="Q134" i="63"/>
  <c r="AM134" i="63"/>
  <c r="AX134" i="63"/>
  <c r="AN134" i="63"/>
  <c r="AZ134" i="63"/>
  <c r="AO134" i="63"/>
  <c r="AP134" i="63"/>
  <c r="AQ134" i="63"/>
  <c r="AR134" i="63"/>
  <c r="AS134" i="63"/>
  <c r="X134" i="63"/>
  <c r="AT134" i="63"/>
  <c r="AU134" i="63"/>
  <c r="AV134" i="63"/>
  <c r="AW134" i="63"/>
  <c r="AC134" i="63"/>
  <c r="AY134" i="63"/>
  <c r="AD134" i="63"/>
  <c r="AE134" i="63"/>
  <c r="BB134" i="63"/>
  <c r="AG134" i="63"/>
  <c r="S134" i="63"/>
  <c r="AH134" i="63"/>
  <c r="AI134" i="63"/>
  <c r="W134" i="63"/>
  <c r="BB15" i="84" l="1"/>
  <c r="BA15" i="84"/>
  <c r="AZ15" i="84"/>
  <c r="AY15" i="84"/>
  <c r="AX15" i="84"/>
  <c r="AW15" i="84"/>
  <c r="AV15" i="84"/>
  <c r="AU15" i="84"/>
  <c r="AT15" i="84"/>
  <c r="AS15" i="84"/>
  <c r="AR15" i="84"/>
  <c r="AQ15" i="84"/>
  <c r="AP15" i="84"/>
  <c r="AO15" i="84"/>
  <c r="AN15" i="84"/>
  <c r="AM15" i="84"/>
  <c r="AL15" i="84"/>
  <c r="AK15" i="84"/>
  <c r="AJ15" i="84"/>
  <c r="AI15" i="84"/>
  <c r="AH15" i="84"/>
  <c r="AG15" i="84"/>
  <c r="AF15" i="84"/>
  <c r="AE15" i="84"/>
  <c r="AD15" i="84"/>
  <c r="AC15" i="84"/>
  <c r="AB15" i="84"/>
  <c r="AA15" i="84"/>
  <c r="Z15" i="84"/>
  <c r="Y15" i="84"/>
  <c r="X15" i="84"/>
  <c r="W15" i="84"/>
  <c r="V15" i="84"/>
  <c r="U15" i="84"/>
  <c r="T15" i="84"/>
  <c r="S15" i="84"/>
  <c r="R15" i="84"/>
  <c r="Q15" i="84"/>
  <c r="P15" i="84"/>
  <c r="BB17" i="87"/>
  <c r="BB21" i="87" s="1"/>
  <c r="BA17" i="87"/>
  <c r="BA21" i="87" s="1"/>
  <c r="AZ17" i="87"/>
  <c r="AZ21" i="87" s="1"/>
  <c r="AY17" i="87"/>
  <c r="AY21" i="87" s="1"/>
  <c r="AX17" i="87"/>
  <c r="AX21" i="87" s="1"/>
  <c r="AW17" i="87"/>
  <c r="AW21" i="87" s="1"/>
  <c r="AV17" i="87"/>
  <c r="AV21" i="87" s="1"/>
  <c r="AU17" i="87"/>
  <c r="AU21" i="87" s="1"/>
  <c r="AT17" i="87"/>
  <c r="AT21" i="87" s="1"/>
  <c r="AS17" i="87"/>
  <c r="AS21" i="87" s="1"/>
  <c r="AR17" i="87"/>
  <c r="AR21" i="87" s="1"/>
  <c r="AQ17" i="87"/>
  <c r="AQ21" i="87" s="1"/>
  <c r="AP17" i="87"/>
  <c r="AP21" i="87" s="1"/>
  <c r="AO17" i="87"/>
  <c r="AO21" i="87" s="1"/>
  <c r="AN17" i="87"/>
  <c r="AN21" i="87" s="1"/>
  <c r="AM17" i="87"/>
  <c r="AM21" i="87" s="1"/>
  <c r="AL17" i="87"/>
  <c r="AL21" i="87" s="1"/>
  <c r="AK17" i="87"/>
  <c r="AK21" i="87" s="1"/>
  <c r="AJ17" i="87"/>
  <c r="AJ21" i="87" s="1"/>
  <c r="AI17" i="87"/>
  <c r="AI21" i="87" s="1"/>
  <c r="AH17" i="87"/>
  <c r="AH21" i="87" s="1"/>
  <c r="AG17" i="87"/>
  <c r="AG21" i="87" s="1"/>
  <c r="AF17" i="87"/>
  <c r="AF21" i="87" s="1"/>
  <c r="AE17" i="87"/>
  <c r="AE21" i="87" s="1"/>
  <c r="AD17" i="87"/>
  <c r="AD21" i="87" s="1"/>
  <c r="AC17" i="87"/>
  <c r="AC21" i="87" s="1"/>
  <c r="AB17" i="87"/>
  <c r="AB21" i="87" s="1"/>
  <c r="AA17" i="87"/>
  <c r="AA21" i="87" s="1"/>
  <c r="Z17" i="87"/>
  <c r="Z21" i="87" s="1"/>
  <c r="Y17" i="87"/>
  <c r="Y21" i="87" s="1"/>
  <c r="X17" i="87"/>
  <c r="X21" i="87" s="1"/>
  <c r="W17" i="87"/>
  <c r="W21" i="87" s="1"/>
  <c r="V17" i="87"/>
  <c r="V21" i="87" s="1"/>
  <c r="U17" i="87"/>
  <c r="U21" i="87" s="1"/>
  <c r="T17" i="87"/>
  <c r="T21" i="87" s="1"/>
  <c r="S17" i="87"/>
  <c r="S21" i="87" s="1"/>
  <c r="R17" i="87"/>
  <c r="R21" i="87" s="1"/>
  <c r="Q17" i="87"/>
  <c r="Q21" i="87" s="1"/>
  <c r="P17" i="87"/>
  <c r="P21" i="87" s="1"/>
  <c r="BB15" i="86"/>
  <c r="BA15" i="86"/>
  <c r="AZ15" i="86"/>
  <c r="AY15" i="86"/>
  <c r="AX15" i="86"/>
  <c r="AW15" i="86"/>
  <c r="AV15" i="86"/>
  <c r="AU15" i="86"/>
  <c r="AT15" i="86"/>
  <c r="AS15" i="86"/>
  <c r="AR15" i="86"/>
  <c r="AQ15" i="86"/>
  <c r="AP15" i="86"/>
  <c r="AO15" i="86"/>
  <c r="AN15" i="86"/>
  <c r="AM15" i="86"/>
  <c r="AL15" i="86"/>
  <c r="AK15" i="86"/>
  <c r="AJ15" i="86"/>
  <c r="AI15" i="86"/>
  <c r="AH15" i="86"/>
  <c r="AG15" i="86"/>
  <c r="AF15" i="86"/>
  <c r="AE15" i="86"/>
  <c r="AD15" i="86"/>
  <c r="AC15" i="86"/>
  <c r="AB15" i="86"/>
  <c r="AA15" i="86"/>
  <c r="Z15" i="86"/>
  <c r="Y15" i="86"/>
  <c r="X15" i="86"/>
  <c r="W15" i="86"/>
  <c r="V15" i="86"/>
  <c r="U15" i="86"/>
  <c r="T15" i="86"/>
  <c r="S15" i="86"/>
  <c r="R15" i="86"/>
  <c r="Q15" i="86"/>
  <c r="P15" i="86"/>
  <c r="AA130" i="63" l="1"/>
  <c r="AY130" i="63"/>
  <c r="AZ130" i="63"/>
  <c r="BB130" i="63"/>
  <c r="AG130" i="63"/>
  <c r="AH130" i="63"/>
  <c r="P130" i="63"/>
  <c r="AB130" i="63"/>
  <c r="AD130" i="63"/>
  <c r="T130" i="63"/>
  <c r="AU130" i="63"/>
  <c r="AV130" i="63"/>
  <c r="AW130" i="63"/>
  <c r="AX130" i="63"/>
  <c r="BA130" i="63"/>
  <c r="AF130" i="63"/>
  <c r="AI130" i="63"/>
  <c r="AJ130" i="63"/>
  <c r="AK130" i="63"/>
  <c r="AM130" i="63"/>
  <c r="R130" i="63"/>
  <c r="AN130" i="63"/>
  <c r="S130" i="63"/>
  <c r="AO130" i="63"/>
  <c r="AP130" i="63"/>
  <c r="AQ130" i="63"/>
  <c r="V130" i="63"/>
  <c r="AR130" i="63"/>
  <c r="W130" i="63"/>
  <c r="AS130" i="63"/>
  <c r="Y130" i="63"/>
  <c r="Z130" i="63"/>
  <c r="AC130" i="63"/>
  <c r="AE130" i="63"/>
  <c r="AL130" i="63"/>
  <c r="Q130" i="63"/>
  <c r="U130" i="63"/>
  <c r="X130" i="63"/>
  <c r="AT130" i="63"/>
  <c r="BB123" i="63"/>
  <c r="BB58" i="90" s="1"/>
  <c r="BA123" i="63"/>
  <c r="BA58" i="90" s="1"/>
  <c r="AZ123" i="63"/>
  <c r="AZ58" i="90" s="1"/>
  <c r="AY123" i="63"/>
  <c r="AY58" i="90" s="1"/>
  <c r="AX93" i="63"/>
  <c r="AX47" i="90" s="1"/>
  <c r="AT123" i="63"/>
  <c r="AT58" i="90" s="1"/>
  <c r="AS123" i="63"/>
  <c r="AS58" i="90" s="1"/>
  <c r="AR123" i="63"/>
  <c r="AR58" i="90" s="1"/>
  <c r="AQ123" i="63"/>
  <c r="AQ58" i="90" s="1"/>
  <c r="AP123" i="63"/>
  <c r="AP58" i="90" s="1"/>
  <c r="AO123" i="63"/>
  <c r="AO58" i="90" s="1"/>
  <c r="AN123" i="63"/>
  <c r="AN58" i="90" s="1"/>
  <c r="AM123" i="63"/>
  <c r="AM58" i="90" s="1"/>
  <c r="AL123" i="63"/>
  <c r="AL58" i="90" s="1"/>
  <c r="AK123" i="63"/>
  <c r="AK58" i="90" s="1"/>
  <c r="AJ123" i="63"/>
  <c r="AJ58" i="90" s="1"/>
  <c r="AI123" i="63"/>
  <c r="AI58" i="90" s="1"/>
  <c r="AG123" i="63"/>
  <c r="AG58" i="90" s="1"/>
  <c r="AF123" i="63"/>
  <c r="AF58" i="90" s="1"/>
  <c r="AE123" i="63"/>
  <c r="AE58" i="90" s="1"/>
  <c r="AD123" i="63"/>
  <c r="AD58" i="90" s="1"/>
  <c r="AC123" i="63"/>
  <c r="AC58" i="90" s="1"/>
  <c r="AB93" i="63"/>
  <c r="AB47" i="90" s="1"/>
  <c r="AA93" i="63"/>
  <c r="AA47" i="90" s="1"/>
  <c r="Z93" i="63"/>
  <c r="Z47" i="90" s="1"/>
  <c r="Y93" i="63"/>
  <c r="Y47" i="90" s="1"/>
  <c r="X93" i="63"/>
  <c r="X47" i="90" s="1"/>
  <c r="W123" i="63"/>
  <c r="W58" i="90" s="1"/>
  <c r="V123" i="63"/>
  <c r="V58" i="90" s="1"/>
  <c r="U123" i="63"/>
  <c r="U58" i="90" s="1"/>
  <c r="T123" i="63"/>
  <c r="T58" i="90" s="1"/>
  <c r="S123" i="63"/>
  <c r="S58" i="90" s="1"/>
  <c r="R123" i="63"/>
  <c r="R58" i="90" s="1"/>
  <c r="Q123" i="63"/>
  <c r="Q58" i="90" s="1"/>
  <c r="P123" i="63"/>
  <c r="P58" i="90" s="1"/>
  <c r="U93" i="63" l="1"/>
  <c r="U47" i="90" s="1"/>
  <c r="V93" i="63"/>
  <c r="V47" i="90" s="1"/>
  <c r="AC93" i="63"/>
  <c r="AC47" i="90" s="1"/>
  <c r="AD93" i="63"/>
  <c r="AD47" i="90" s="1"/>
  <c r="AE93" i="63"/>
  <c r="AE47" i="90" s="1"/>
  <c r="AG93" i="63"/>
  <c r="AG47" i="90" s="1"/>
  <c r="AI93" i="63"/>
  <c r="AI47" i="90" s="1"/>
  <c r="AN93" i="63"/>
  <c r="AN47" i="90" s="1"/>
  <c r="AF93" i="63"/>
  <c r="AF47" i="90" s="1"/>
  <c r="AO93" i="63"/>
  <c r="AO47" i="90" s="1"/>
  <c r="AP93" i="63"/>
  <c r="AP47" i="90" s="1"/>
  <c r="AQ93" i="63"/>
  <c r="AQ47" i="90" s="1"/>
  <c r="AR93" i="63"/>
  <c r="AR47" i="90" s="1"/>
  <c r="Y123" i="63"/>
  <c r="Y58" i="90" s="1"/>
  <c r="AS93" i="63"/>
  <c r="AS47" i="90" s="1"/>
  <c r="AT93" i="63"/>
  <c r="AT47" i="90" s="1"/>
  <c r="X123" i="63"/>
  <c r="X58" i="90" s="1"/>
  <c r="AY93" i="63"/>
  <c r="AY47" i="90" s="1"/>
  <c r="R93" i="63"/>
  <c r="R47" i="90" s="1"/>
  <c r="AZ93" i="63"/>
  <c r="AZ47" i="90" s="1"/>
  <c r="S93" i="63"/>
  <c r="S47" i="90" s="1"/>
  <c r="BA93" i="63"/>
  <c r="BA47" i="90" s="1"/>
  <c r="W93" i="63"/>
  <c r="W47" i="90" s="1"/>
  <c r="T93" i="63"/>
  <c r="T47" i="90" s="1"/>
  <c r="BB93" i="63"/>
  <c r="BB47" i="90" s="1"/>
  <c r="AU93" i="63"/>
  <c r="AU47" i="90" s="1"/>
  <c r="AU123" i="63"/>
  <c r="AU58" i="90" s="1"/>
  <c r="AV93" i="63"/>
  <c r="AV47" i="90" s="1"/>
  <c r="AV123" i="63"/>
  <c r="AV58" i="90" s="1"/>
  <c r="AW93" i="63"/>
  <c r="AW47" i="90" s="1"/>
  <c r="AW123" i="63"/>
  <c r="AW58" i="90" s="1"/>
  <c r="AH123" i="63"/>
  <c r="AH58" i="90" s="1"/>
  <c r="AH93" i="63"/>
  <c r="AH47" i="90" s="1"/>
  <c r="Z123" i="63"/>
  <c r="Z58" i="90" s="1"/>
  <c r="AJ93" i="63"/>
  <c r="AJ47" i="90" s="1"/>
  <c r="AK93" i="63"/>
  <c r="AK47" i="90" s="1"/>
  <c r="P93" i="63"/>
  <c r="P47" i="90" s="1"/>
  <c r="AL93" i="63"/>
  <c r="AL47" i="90" s="1"/>
  <c r="Q93" i="63"/>
  <c r="Q47" i="90" s="1"/>
  <c r="AM93" i="63"/>
  <c r="AM47" i="90" s="1"/>
  <c r="AB123" i="63"/>
  <c r="AB58" i="90" s="1"/>
  <c r="AA123" i="63"/>
  <c r="AA58" i="90" s="1"/>
  <c r="AX123" i="63"/>
  <c r="AX58" i="90" s="1"/>
  <c r="I25" i="34" l="1"/>
  <c r="BC18" i="34"/>
  <c r="G31" i="6"/>
  <c r="G24" i="80" s="1"/>
  <c r="T169" i="6"/>
  <c r="U169" i="6" s="1"/>
  <c r="O12" i="34"/>
  <c r="P170" i="6" l="1"/>
  <c r="P12" i="34" s="1"/>
  <c r="V169" i="6"/>
  <c r="Q170" i="6" l="1"/>
  <c r="R170" i="6" s="1"/>
  <c r="W169" i="6"/>
  <c r="Q12" i="34" l="1"/>
  <c r="S170" i="6"/>
  <c r="R12" i="34"/>
  <c r="X169" i="6"/>
  <c r="T170" i="6" l="1"/>
  <c r="S12" i="34"/>
  <c r="Y169" i="6"/>
  <c r="U170" i="6" l="1"/>
  <c r="T12" i="34"/>
  <c r="Z169" i="6"/>
  <c r="V170" i="6" l="1"/>
  <c r="U12" i="34"/>
  <c r="AA169" i="6"/>
  <c r="W170" i="6" l="1"/>
  <c r="V12" i="34"/>
  <c r="AB169" i="6"/>
  <c r="X170" i="6" l="1"/>
  <c r="W12" i="34"/>
  <c r="AC169" i="6"/>
  <c r="Y170" i="6" l="1"/>
  <c r="X12" i="34"/>
  <c r="AD169" i="6"/>
  <c r="Z170" i="6" l="1"/>
  <c r="Y12" i="34"/>
  <c r="AE169" i="6"/>
  <c r="AA170" i="6" l="1"/>
  <c r="Z12" i="34"/>
  <c r="AF169" i="6"/>
  <c r="AB170" i="6" l="1"/>
  <c r="AA12" i="34"/>
  <c r="AG169" i="6"/>
  <c r="AC170" i="6" l="1"/>
  <c r="AB12" i="34"/>
  <c r="AH169" i="6"/>
  <c r="AD170" i="6" l="1"/>
  <c r="AC12" i="34"/>
  <c r="AI169" i="6"/>
  <c r="AE170" i="6" l="1"/>
  <c r="AD12" i="34"/>
  <c r="AJ169" i="6"/>
  <c r="AF170" i="6" l="1"/>
  <c r="AE12" i="34"/>
  <c r="AK169" i="6"/>
  <c r="AG170" i="6" l="1"/>
  <c r="AF12" i="34"/>
  <c r="AL169" i="6"/>
  <c r="AH170" i="6" l="1"/>
  <c r="AG12" i="34"/>
  <c r="AM169" i="6"/>
  <c r="AI170" i="6" l="1"/>
  <c r="AH12" i="34"/>
  <c r="AN169" i="6"/>
  <c r="AJ170" i="6" l="1"/>
  <c r="AI12" i="34"/>
  <c r="AO169" i="6"/>
  <c r="AK170" i="6" l="1"/>
  <c r="AJ12" i="34"/>
  <c r="AP169" i="6"/>
  <c r="AL170" i="6" l="1"/>
  <c r="AK12" i="34"/>
  <c r="AQ169" i="6"/>
  <c r="AM170" i="6" l="1"/>
  <c r="AL12" i="34"/>
  <c r="AR169" i="6"/>
  <c r="AN170" i="6" l="1"/>
  <c r="AM12" i="34"/>
  <c r="AS169" i="6"/>
  <c r="AO170" i="6" l="1"/>
  <c r="AN12" i="34"/>
  <c r="AT169" i="6"/>
  <c r="AP170" i="6" l="1"/>
  <c r="AO12" i="34"/>
  <c r="AU169" i="6"/>
  <c r="AQ170" i="6" l="1"/>
  <c r="AP12" i="34"/>
  <c r="AV169" i="6"/>
  <c r="AR170" i="6" l="1"/>
  <c r="AQ12" i="34"/>
  <c r="AW169" i="6"/>
  <c r="AS170" i="6" l="1"/>
  <c r="AR12" i="34"/>
  <c r="AX169" i="6"/>
  <c r="AT170" i="6" l="1"/>
  <c r="AS12" i="34"/>
  <c r="AY169" i="6"/>
  <c r="AU170" i="6" l="1"/>
  <c r="AT12" i="34"/>
  <c r="AZ169" i="6"/>
  <c r="AV170" i="6" l="1"/>
  <c r="AU12" i="34"/>
  <c r="BA169" i="6"/>
  <c r="AW170" i="6" l="1"/>
  <c r="AV12" i="34"/>
  <c r="BB169" i="6"/>
  <c r="AX170" i="6" l="1"/>
  <c r="AW12" i="34"/>
  <c r="AY170" i="6" l="1"/>
  <c r="AX12" i="34"/>
  <c r="AZ170" i="6" l="1"/>
  <c r="AY12" i="34"/>
  <c r="BA170" i="6" l="1"/>
  <c r="AZ12" i="34"/>
  <c r="BB170" i="6" l="1"/>
  <c r="BB12" i="34" s="1"/>
  <c r="BA12" i="34"/>
  <c r="I49" i="80" l="1"/>
  <c r="I48" i="80"/>
  <c r="G49" i="80"/>
  <c r="G48" i="80"/>
  <c r="E49" i="80"/>
  <c r="E48" i="80"/>
  <c r="S164" i="6" l="1"/>
  <c r="S13" i="63" s="1"/>
  <c r="R164" i="6"/>
  <c r="R13" i="63" s="1"/>
  <c r="Q164" i="6"/>
  <c r="Q13" i="63" s="1"/>
  <c r="P164" i="6"/>
  <c r="P13" i="63" s="1"/>
  <c r="O164" i="6"/>
  <c r="T162" i="6"/>
  <c r="U162" i="6" s="1"/>
  <c r="V162" i="6" s="1"/>
  <c r="W162" i="6" s="1"/>
  <c r="X162" i="6" s="1"/>
  <c r="Y162" i="6" s="1"/>
  <c r="Z162" i="6" s="1"/>
  <c r="AA162" i="6" s="1"/>
  <c r="AB162" i="6" s="1"/>
  <c r="AC162" i="6" s="1"/>
  <c r="AD162" i="6" s="1"/>
  <c r="AE162" i="6" s="1"/>
  <c r="AF162" i="6" s="1"/>
  <c r="AG162" i="6" s="1"/>
  <c r="AH162" i="6" s="1"/>
  <c r="AI162" i="6" s="1"/>
  <c r="AJ162" i="6" s="1"/>
  <c r="AK162" i="6" s="1"/>
  <c r="AL162" i="6" s="1"/>
  <c r="AM162" i="6" s="1"/>
  <c r="AN162" i="6" s="1"/>
  <c r="AO162" i="6" s="1"/>
  <c r="AP162" i="6" s="1"/>
  <c r="AQ162" i="6" s="1"/>
  <c r="AR162" i="6" s="1"/>
  <c r="AS162" i="6" s="1"/>
  <c r="AT162" i="6" s="1"/>
  <c r="AU162" i="6" s="1"/>
  <c r="AV162" i="6" s="1"/>
  <c r="AW162" i="6" s="1"/>
  <c r="AX162" i="6" s="1"/>
  <c r="AY162" i="6" s="1"/>
  <c r="AZ162" i="6" s="1"/>
  <c r="BA162" i="6" s="1"/>
  <c r="BB162" i="6" s="1"/>
  <c r="BB164" i="6" s="1"/>
  <c r="BB13" i="63" s="1"/>
  <c r="AK164" i="6" l="1"/>
  <c r="AK13" i="63" s="1"/>
  <c r="AG164" i="6"/>
  <c r="AG13" i="63" s="1"/>
  <c r="AH164" i="6"/>
  <c r="AH13" i="63" s="1"/>
  <c r="AI164" i="6"/>
  <c r="AI13" i="63" s="1"/>
  <c r="AJ164" i="6"/>
  <c r="AJ13" i="63" s="1"/>
  <c r="AM164" i="6"/>
  <c r="AM13" i="63" s="1"/>
  <c r="AN164" i="6"/>
  <c r="AN13" i="63" s="1"/>
  <c r="AO164" i="6"/>
  <c r="AO13" i="63" s="1"/>
  <c r="AP164" i="6"/>
  <c r="AP13" i="63" s="1"/>
  <c r="U164" i="6"/>
  <c r="U13" i="63" s="1"/>
  <c r="V164" i="6"/>
  <c r="V13" i="63" s="1"/>
  <c r="W164" i="6"/>
  <c r="W13" i="63" s="1"/>
  <c r="X164" i="6"/>
  <c r="X13" i="63" s="1"/>
  <c r="Y164" i="6"/>
  <c r="Y13" i="63" s="1"/>
  <c r="Z164" i="6"/>
  <c r="Z13" i="63" s="1"/>
  <c r="AA164" i="6"/>
  <c r="AA13" i="63" s="1"/>
  <c r="AB164" i="6"/>
  <c r="AB13" i="63" s="1"/>
  <c r="AY164" i="6"/>
  <c r="AY13" i="63" s="1"/>
  <c r="AD164" i="6"/>
  <c r="AD13" i="63" s="1"/>
  <c r="AZ164" i="6"/>
  <c r="AZ13" i="63" s="1"/>
  <c r="AE164" i="6"/>
  <c r="AE13" i="63" s="1"/>
  <c r="BA164" i="6"/>
  <c r="BA13" i="63" s="1"/>
  <c r="AL164" i="6"/>
  <c r="AL13" i="63" s="1"/>
  <c r="T164" i="6"/>
  <c r="T13" i="63" s="1"/>
  <c r="AQ164" i="6"/>
  <c r="AQ13" i="63" s="1"/>
  <c r="AR164" i="6"/>
  <c r="AR13" i="63" s="1"/>
  <c r="AS164" i="6"/>
  <c r="AS13" i="63" s="1"/>
  <c r="AT164" i="6"/>
  <c r="AT13" i="63" s="1"/>
  <c r="AU164" i="6"/>
  <c r="AU13" i="63" s="1"/>
  <c r="AV164" i="6"/>
  <c r="AV13" i="63" s="1"/>
  <c r="AW164" i="6"/>
  <c r="AW13" i="63" s="1"/>
  <c r="AX164" i="6"/>
  <c r="AX13" i="63" s="1"/>
  <c r="AC164" i="6"/>
  <c r="AC13" i="63" s="1"/>
  <c r="AF164" i="6"/>
  <c r="AF13" i="63" s="1"/>
  <c r="E47" i="63"/>
  <c r="E49" i="63" l="1"/>
  <c r="P120" i="63"/>
  <c r="P108" i="63" s="1"/>
  <c r="P18" i="90" s="1"/>
  <c r="P38" i="90" s="1"/>
  <c r="P52" i="82" l="1"/>
  <c r="P90" i="63"/>
  <c r="P86" i="63" s="1"/>
  <c r="P17" i="90" s="1"/>
  <c r="P30" i="90" s="1"/>
  <c r="G53" i="82"/>
  <c r="I40" i="82"/>
  <c r="E34" i="82"/>
  <c r="E33" i="82"/>
  <c r="I25" i="82"/>
  <c r="G25" i="82"/>
  <c r="E25" i="82"/>
  <c r="I20" i="82"/>
  <c r="I17" i="82"/>
  <c r="G52" i="34"/>
  <c r="G49" i="34"/>
  <c r="G46" i="34"/>
  <c r="G43" i="34"/>
  <c r="G40" i="34"/>
  <c r="G193" i="6"/>
  <c r="G37" i="34"/>
  <c r="I33" i="34"/>
  <c r="G35" i="6"/>
  <c r="G28" i="80" s="1"/>
  <c r="G33" i="34"/>
  <c r="I24" i="34"/>
  <c r="G24" i="34"/>
  <c r="G30" i="6" l="1"/>
  <c r="G23" i="80" s="1"/>
  <c r="P141" i="6"/>
  <c r="P28" i="82" s="1"/>
  <c r="Q141" i="6"/>
  <c r="Q28" i="82" s="1"/>
  <c r="R141" i="6"/>
  <c r="R28" i="82" s="1"/>
  <c r="S141" i="6"/>
  <c r="S28" i="82" s="1"/>
  <c r="T141" i="6"/>
  <c r="T28" i="82" s="1"/>
  <c r="P144" i="6"/>
  <c r="P43" i="82" s="1"/>
  <c r="Q144" i="6"/>
  <c r="Q43" i="82" s="1"/>
  <c r="R144" i="6"/>
  <c r="R43" i="82" s="1"/>
  <c r="S144" i="6"/>
  <c r="S43" i="82" s="1"/>
  <c r="T144" i="6"/>
  <c r="T43" i="82" s="1"/>
  <c r="I151" i="6"/>
  <c r="O160" i="6" s="1"/>
  <c r="O11" i="63" s="1"/>
  <c r="I21" i="80"/>
  <c r="E62" i="6" l="1"/>
  <c r="I62" i="6"/>
  <c r="I20" i="6"/>
  <c r="O246" i="6" l="1"/>
  <c r="O247" i="6" s="1"/>
  <c r="H239" i="6" l="1"/>
  <c r="H153" i="6"/>
  <c r="H152" i="6"/>
  <c r="H151" i="6"/>
  <c r="G156" i="6"/>
  <c r="G153" i="6"/>
  <c r="G158" i="6" s="1"/>
  <c r="G151" i="6"/>
  <c r="G155" i="6" s="1"/>
  <c r="E152" i="6"/>
  <c r="E153" i="6"/>
  <c r="E151" i="6"/>
  <c r="I51" i="34" l="1"/>
  <c r="I50" i="34"/>
  <c r="I48" i="34"/>
  <c r="I47" i="34"/>
  <c r="I45" i="34"/>
  <c r="I44" i="34"/>
  <c r="I42" i="34"/>
  <c r="I41" i="34"/>
  <c r="I32" i="34"/>
  <c r="I31" i="34"/>
  <c r="I23" i="34"/>
  <c r="I22" i="34"/>
  <c r="G115" i="6" l="1"/>
  <c r="G113" i="6"/>
  <c r="G111" i="6"/>
  <c r="G109" i="6"/>
  <c r="G108" i="6"/>
  <c r="G107" i="6"/>
  <c r="G106" i="6"/>
  <c r="G104" i="6"/>
  <c r="G103" i="6"/>
  <c r="G102" i="6"/>
  <c r="G101" i="6"/>
  <c r="G100" i="6"/>
  <c r="G99" i="6"/>
  <c r="G98" i="6"/>
  <c r="G97" i="6"/>
  <c r="G96" i="6"/>
  <c r="G92" i="6"/>
  <c r="G91" i="6"/>
  <c r="G51" i="34"/>
  <c r="G50" i="34"/>
  <c r="G48" i="34"/>
  <c r="G47" i="34"/>
  <c r="G45" i="34"/>
  <c r="G44" i="34"/>
  <c r="G42" i="34"/>
  <c r="G41" i="34"/>
  <c r="G39" i="34"/>
  <c r="G38" i="34"/>
  <c r="G36" i="34"/>
  <c r="G35" i="34"/>
  <c r="G32" i="34"/>
  <c r="G31" i="34"/>
  <c r="G23" i="34"/>
  <c r="G22" i="34"/>
  <c r="G232" i="6"/>
  <c r="G226" i="6"/>
  <c r="G220" i="6"/>
  <c r="G215" i="6"/>
  <c r="G214" i="6"/>
  <c r="G207" i="6"/>
  <c r="G206" i="6"/>
  <c r="G204" i="6"/>
  <c r="G192" i="6"/>
  <c r="G191" i="6"/>
  <c r="G189" i="6"/>
  <c r="G42" i="6"/>
  <c r="G41" i="6"/>
  <c r="G40" i="6"/>
  <c r="G34" i="6"/>
  <c r="G33" i="6"/>
  <c r="G29" i="6"/>
  <c r="G28" i="6"/>
  <c r="I134" i="6" l="1"/>
  <c r="I34" i="82" s="1"/>
  <c r="I133" i="6"/>
  <c r="I33" i="82" s="1"/>
  <c r="I152" i="80" l="1"/>
  <c r="I153" i="80"/>
  <c r="I151" i="80"/>
  <c r="I147" i="80"/>
  <c r="I148" i="80"/>
  <c r="I146" i="80"/>
  <c r="I142" i="80"/>
  <c r="I143" i="80"/>
  <c r="I141" i="80"/>
  <c r="I137" i="80"/>
  <c r="I138" i="80"/>
  <c r="I136" i="80"/>
  <c r="G136" i="80"/>
  <c r="G137" i="80"/>
  <c r="G138" i="80"/>
  <c r="G141" i="80"/>
  <c r="G142" i="80"/>
  <c r="G143" i="80"/>
  <c r="G146" i="80"/>
  <c r="G147" i="80"/>
  <c r="G148" i="80"/>
  <c r="G151" i="80"/>
  <c r="G152" i="80"/>
  <c r="G153" i="80"/>
  <c r="E136" i="80"/>
  <c r="E137" i="80"/>
  <c r="E138" i="80"/>
  <c r="E140" i="80"/>
  <c r="E141" i="80"/>
  <c r="E142" i="80"/>
  <c r="E143" i="80"/>
  <c r="E145" i="80"/>
  <c r="E146" i="80"/>
  <c r="E147" i="80"/>
  <c r="E148" i="80"/>
  <c r="E150" i="80"/>
  <c r="E151" i="80"/>
  <c r="E152" i="80"/>
  <c r="E153" i="80"/>
  <c r="E135" i="80"/>
  <c r="I131" i="80"/>
  <c r="I130" i="80"/>
  <c r="G130" i="80"/>
  <c r="G131" i="80"/>
  <c r="E131" i="80"/>
  <c r="E130" i="80"/>
  <c r="I126" i="80"/>
  <c r="G126" i="80"/>
  <c r="E126" i="80"/>
  <c r="I122" i="80"/>
  <c r="I121" i="80"/>
  <c r="I120" i="80"/>
  <c r="G120" i="80"/>
  <c r="G121" i="80"/>
  <c r="G122" i="80"/>
  <c r="E121" i="80"/>
  <c r="E122" i="80"/>
  <c r="E120" i="80"/>
  <c r="G84" i="80"/>
  <c r="H84" i="80"/>
  <c r="G85" i="80"/>
  <c r="H85" i="80"/>
  <c r="G86" i="80"/>
  <c r="H86" i="80"/>
  <c r="G87" i="80"/>
  <c r="H87" i="80"/>
  <c r="G88" i="80"/>
  <c r="H88" i="80"/>
  <c r="E88" i="80"/>
  <c r="E87" i="80"/>
  <c r="E85" i="80"/>
  <c r="E86" i="80"/>
  <c r="E84" i="80"/>
  <c r="G76" i="80"/>
  <c r="H76" i="80"/>
  <c r="G77" i="80"/>
  <c r="H77" i="80"/>
  <c r="G78" i="80"/>
  <c r="H78" i="80"/>
  <c r="G79" i="80"/>
  <c r="H79" i="80"/>
  <c r="G80" i="80"/>
  <c r="H80" i="80"/>
  <c r="G81" i="80"/>
  <c r="H81" i="80"/>
  <c r="G82" i="80"/>
  <c r="H82" i="80"/>
  <c r="G83" i="80"/>
  <c r="H83" i="80"/>
  <c r="I116" i="80" l="1"/>
  <c r="I115" i="80"/>
  <c r="G116" i="80"/>
  <c r="E116" i="80"/>
  <c r="G115" i="80"/>
  <c r="E115" i="80"/>
  <c r="I111" i="80"/>
  <c r="I110" i="80"/>
  <c r="I109" i="80"/>
  <c r="G111" i="80"/>
  <c r="H111" i="80"/>
  <c r="E111" i="80"/>
  <c r="G109" i="80"/>
  <c r="H109" i="80"/>
  <c r="G110" i="80"/>
  <c r="H110" i="80"/>
  <c r="E110" i="80"/>
  <c r="E109" i="80"/>
  <c r="I105" i="80"/>
  <c r="I104" i="80"/>
  <c r="I101" i="80"/>
  <c r="I102" i="80"/>
  <c r="I103" i="80"/>
  <c r="I100" i="80"/>
  <c r="G105" i="80"/>
  <c r="E105" i="80"/>
  <c r="G104" i="80"/>
  <c r="H104" i="80"/>
  <c r="E104" i="80"/>
  <c r="G100" i="80"/>
  <c r="G101" i="80"/>
  <c r="G102" i="80"/>
  <c r="G103" i="80"/>
  <c r="E101" i="80"/>
  <c r="E102" i="80"/>
  <c r="E103" i="80"/>
  <c r="E100" i="80"/>
  <c r="I88" i="80"/>
  <c r="I87" i="80"/>
  <c r="I85" i="80"/>
  <c r="I86" i="80"/>
  <c r="I84" i="80"/>
  <c r="I77" i="80"/>
  <c r="I78" i="80"/>
  <c r="I79" i="80"/>
  <c r="I80" i="80"/>
  <c r="I81" i="80"/>
  <c r="I82" i="80"/>
  <c r="I83" i="80"/>
  <c r="I76" i="80"/>
  <c r="E77" i="80"/>
  <c r="E78" i="80"/>
  <c r="E79" i="80"/>
  <c r="E80" i="80"/>
  <c r="E81" i="80"/>
  <c r="E82" i="80"/>
  <c r="E83" i="80"/>
  <c r="E76" i="80"/>
  <c r="G71" i="80" l="1"/>
  <c r="G72" i="80"/>
  <c r="E72" i="80"/>
  <c r="E71" i="80"/>
  <c r="I72" i="80"/>
  <c r="I71" i="80"/>
  <c r="I61" i="80"/>
  <c r="I60" i="80"/>
  <c r="I59" i="80"/>
  <c r="G59" i="80"/>
  <c r="G60" i="80"/>
  <c r="G61" i="80"/>
  <c r="E61" i="80"/>
  <c r="E60" i="80"/>
  <c r="E59" i="80"/>
  <c r="I47" i="80"/>
  <c r="I46" i="80"/>
  <c r="I45" i="80"/>
  <c r="G45" i="80"/>
  <c r="H45" i="80"/>
  <c r="G46" i="80"/>
  <c r="H46" i="80"/>
  <c r="G47" i="80"/>
  <c r="H47" i="80"/>
  <c r="E46" i="80"/>
  <c r="E47" i="80"/>
  <c r="E45" i="80"/>
  <c r="I40" i="80" l="1"/>
  <c r="I39" i="80"/>
  <c r="G39" i="80"/>
  <c r="G40" i="80"/>
  <c r="E40" i="80"/>
  <c r="E39" i="80"/>
  <c r="I34" i="80"/>
  <c r="I35" i="80"/>
  <c r="I33" i="80"/>
  <c r="G33" i="80"/>
  <c r="G34" i="80"/>
  <c r="G35" i="80"/>
  <c r="H35" i="80"/>
  <c r="E34" i="80"/>
  <c r="E35" i="80"/>
  <c r="E33" i="80"/>
  <c r="I27" i="80"/>
  <c r="I26" i="80"/>
  <c r="I22" i="80"/>
  <c r="G26" i="80"/>
  <c r="H26" i="80"/>
  <c r="G27" i="80"/>
  <c r="H27" i="80"/>
  <c r="E27" i="80"/>
  <c r="E26" i="80"/>
  <c r="G21" i="80"/>
  <c r="H21" i="80"/>
  <c r="G22" i="80"/>
  <c r="H22" i="80"/>
  <c r="E22" i="80"/>
  <c r="E21" i="80"/>
  <c r="I14" i="80"/>
  <c r="I13" i="80"/>
  <c r="G13" i="80"/>
  <c r="G14" i="80"/>
  <c r="G16" i="80"/>
  <c r="E16" i="80"/>
  <c r="E14" i="80"/>
  <c r="E13" i="80"/>
  <c r="E9" i="80"/>
  <c r="E8" i="80"/>
  <c r="I9" i="80"/>
  <c r="I8" i="80"/>
  <c r="I236" i="6" l="1"/>
  <c r="I54" i="34" l="1"/>
  <c r="I152" i="6" l="1"/>
  <c r="I153" i="6"/>
  <c r="E63" i="6" l="1"/>
  <c r="E61" i="6"/>
  <c r="E48" i="63" l="1"/>
  <c r="E45" i="63"/>
  <c r="E46" i="63"/>
  <c r="I137" i="6" l="1"/>
  <c r="I21" i="82" s="1"/>
  <c r="I22" i="6" l="1"/>
  <c r="I74" i="6" s="1"/>
  <c r="I71" i="6" l="1"/>
  <c r="I61" i="6"/>
  <c r="I80" i="6" s="1"/>
  <c r="I75" i="6"/>
  <c r="I77" i="6" s="1"/>
  <c r="BB141" i="6" l="1"/>
  <c r="BB28" i="82" s="1"/>
  <c r="BA141" i="6"/>
  <c r="BA28" i="82" s="1"/>
  <c r="AZ141" i="6"/>
  <c r="AZ28" i="82" s="1"/>
  <c r="AY141" i="6"/>
  <c r="AY28" i="82" s="1"/>
  <c r="AX141" i="6"/>
  <c r="AX28" i="82" s="1"/>
  <c r="AW141" i="6"/>
  <c r="AW28" i="82" s="1"/>
  <c r="AV141" i="6"/>
  <c r="AV28" i="82" s="1"/>
  <c r="AU141" i="6"/>
  <c r="AU28" i="82" s="1"/>
  <c r="AT141" i="6"/>
  <c r="AT28" i="82" s="1"/>
  <c r="AS141" i="6"/>
  <c r="AS28" i="82" s="1"/>
  <c r="AR141" i="6"/>
  <c r="AR28" i="82" s="1"/>
  <c r="AQ141" i="6"/>
  <c r="AQ28" i="82" s="1"/>
  <c r="AP141" i="6"/>
  <c r="AP28" i="82" s="1"/>
  <c r="AO141" i="6"/>
  <c r="AO28" i="82" s="1"/>
  <c r="AN141" i="6"/>
  <c r="AN28" i="82" s="1"/>
  <c r="AM141" i="6"/>
  <c r="AM28" i="82" s="1"/>
  <c r="AL141" i="6"/>
  <c r="AL28" i="82" s="1"/>
  <c r="AK141" i="6"/>
  <c r="AK28" i="82" s="1"/>
  <c r="AJ141" i="6"/>
  <c r="AJ28" i="82" s="1"/>
  <c r="AI141" i="6"/>
  <c r="AI28" i="82" s="1"/>
  <c r="AH141" i="6"/>
  <c r="AH28" i="82" s="1"/>
  <c r="AG141" i="6"/>
  <c r="AG28" i="82" s="1"/>
  <c r="AF141" i="6"/>
  <c r="AF28" i="82" s="1"/>
  <c r="AE141" i="6"/>
  <c r="AE28" i="82" s="1"/>
  <c r="AD141" i="6"/>
  <c r="AD28" i="82" s="1"/>
  <c r="AC141" i="6"/>
  <c r="AC28" i="82" s="1"/>
  <c r="AB141" i="6"/>
  <c r="AB28" i="82" s="1"/>
  <c r="AA141" i="6"/>
  <c r="AA28" i="82" s="1"/>
  <c r="Z141" i="6"/>
  <c r="Z28" i="82" s="1"/>
  <c r="Y141" i="6"/>
  <c r="Y28" i="82" s="1"/>
  <c r="X141" i="6"/>
  <c r="X28" i="82" s="1"/>
  <c r="W141" i="6"/>
  <c r="W28" i="82" s="1"/>
  <c r="V141" i="6"/>
  <c r="V28" i="82" s="1"/>
  <c r="U141" i="6"/>
  <c r="U28" i="82" s="1"/>
  <c r="BB144" i="6"/>
  <c r="BB43" i="82" s="1"/>
  <c r="BA144" i="6"/>
  <c r="BA43" i="82" s="1"/>
  <c r="AZ144" i="6"/>
  <c r="AZ43" i="82" s="1"/>
  <c r="AY144" i="6"/>
  <c r="AY43" i="82" s="1"/>
  <c r="AX144" i="6"/>
  <c r="AX43" i="82" s="1"/>
  <c r="AW144" i="6"/>
  <c r="AW43" i="82" s="1"/>
  <c r="AV144" i="6"/>
  <c r="AV43" i="82" s="1"/>
  <c r="AU144" i="6"/>
  <c r="AU43" i="82" s="1"/>
  <c r="AT144" i="6"/>
  <c r="AT43" i="82" s="1"/>
  <c r="AS144" i="6"/>
  <c r="AS43" i="82" s="1"/>
  <c r="AR144" i="6"/>
  <c r="AR43" i="82" s="1"/>
  <c r="AQ144" i="6"/>
  <c r="AQ43" i="82" s="1"/>
  <c r="AP144" i="6"/>
  <c r="AP43" i="82" s="1"/>
  <c r="AO144" i="6"/>
  <c r="AO43" i="82" s="1"/>
  <c r="AM144" i="6"/>
  <c r="AM43" i="82" s="1"/>
  <c r="AL144" i="6"/>
  <c r="AL43" i="82" s="1"/>
  <c r="AK144" i="6"/>
  <c r="AK43" i="82" s="1"/>
  <c r="AJ144" i="6"/>
  <c r="AJ43" i="82" s="1"/>
  <c r="AI144" i="6"/>
  <c r="AI43" i="82" s="1"/>
  <c r="AH144" i="6"/>
  <c r="AH43" i="82" s="1"/>
  <c r="AG144" i="6"/>
  <c r="AG43" i="82" s="1"/>
  <c r="AF144" i="6"/>
  <c r="AF43" i="82" s="1"/>
  <c r="AE144" i="6"/>
  <c r="AE43" i="82" s="1"/>
  <c r="AD144" i="6"/>
  <c r="AD43" i="82" s="1"/>
  <c r="AC144" i="6"/>
  <c r="AC43" i="82" s="1"/>
  <c r="AB144" i="6"/>
  <c r="AB43" i="82" s="1"/>
  <c r="AA144" i="6"/>
  <c r="AA43" i="82" s="1"/>
  <c r="Z144" i="6"/>
  <c r="Z43" i="82" s="1"/>
  <c r="Y144" i="6"/>
  <c r="Y43" i="82" s="1"/>
  <c r="X144" i="6"/>
  <c r="X43" i="82" s="1"/>
  <c r="W144" i="6"/>
  <c r="W43" i="82" s="1"/>
  <c r="V144" i="6"/>
  <c r="V43" i="82" s="1"/>
  <c r="U144" i="6"/>
  <c r="U43" i="82" s="1"/>
  <c r="I63" i="6"/>
  <c r="Y104" i="6"/>
  <c r="X104" i="6"/>
  <c r="W104" i="6"/>
  <c r="V104" i="6"/>
  <c r="U104" i="6"/>
  <c r="T104" i="6"/>
  <c r="S104" i="6"/>
  <c r="R104" i="6"/>
  <c r="Q104" i="6"/>
  <c r="P104" i="6"/>
  <c r="BB109" i="6"/>
  <c r="BA109" i="6"/>
  <c r="AY109" i="6"/>
  <c r="AX109" i="6"/>
  <c r="AW109" i="6"/>
  <c r="AV109" i="6"/>
  <c r="AU109" i="6"/>
  <c r="AT109" i="6"/>
  <c r="AS109" i="6"/>
  <c r="AR109" i="6"/>
  <c r="AQ109" i="6"/>
  <c r="AP109" i="6"/>
  <c r="AO109" i="6"/>
  <c r="AN109" i="6"/>
  <c r="AM109" i="6"/>
  <c r="AL109" i="6"/>
  <c r="AK109" i="6"/>
  <c r="AJ109" i="6"/>
  <c r="AI109" i="6"/>
  <c r="AH109" i="6"/>
  <c r="AG109" i="6"/>
  <c r="AF109" i="6"/>
  <c r="AE109" i="6"/>
  <c r="AD109" i="6"/>
  <c r="AC109" i="6"/>
  <c r="AB109" i="6"/>
  <c r="AA109" i="6"/>
  <c r="Z109" i="6"/>
  <c r="Y109" i="6"/>
  <c r="X109" i="6"/>
  <c r="W109" i="6"/>
  <c r="V109" i="6"/>
  <c r="U109" i="6"/>
  <c r="T109" i="6"/>
  <c r="S109" i="6"/>
  <c r="R109" i="6"/>
  <c r="Q109" i="6"/>
  <c r="P109" i="6"/>
  <c r="AZ109" i="6"/>
  <c r="P5" i="6"/>
  <c r="P5" i="90" s="1"/>
  <c r="O11" i="34"/>
  <c r="I69" i="6" l="1"/>
  <c r="P5" i="65"/>
  <c r="P5" i="86"/>
  <c r="P5" i="84"/>
  <c r="P5" i="82"/>
  <c r="P18" i="82" s="1"/>
  <c r="P5" i="34"/>
  <c r="P5" i="87"/>
  <c r="P5" i="63"/>
  <c r="P19" i="63" s="1"/>
  <c r="V160" i="6"/>
  <c r="AD160" i="6"/>
  <c r="AL160" i="6"/>
  <c r="AU160" i="6"/>
  <c r="P160" i="6"/>
  <c r="AF160" i="6"/>
  <c r="AW160" i="6"/>
  <c r="AI160" i="6"/>
  <c r="AZ160" i="6"/>
  <c r="T160" i="6"/>
  <c r="AB160" i="6"/>
  <c r="AR160" i="6"/>
  <c r="W160" i="6"/>
  <c r="AE160" i="6"/>
  <c r="AM160" i="6"/>
  <c r="AV160" i="6"/>
  <c r="AN160" i="6"/>
  <c r="AQ160" i="6"/>
  <c r="BA160" i="6"/>
  <c r="X160" i="6"/>
  <c r="Q160" i="6"/>
  <c r="Y160" i="6"/>
  <c r="AG160" i="6"/>
  <c r="AO160" i="6"/>
  <c r="AX160" i="6"/>
  <c r="AA160" i="6"/>
  <c r="AJ160" i="6"/>
  <c r="R160" i="6"/>
  <c r="Z160" i="6"/>
  <c r="AH160" i="6"/>
  <c r="AP160" i="6"/>
  <c r="AY160" i="6"/>
  <c r="S160" i="6"/>
  <c r="AS160" i="6"/>
  <c r="U160" i="6"/>
  <c r="AC160" i="6"/>
  <c r="AK160" i="6"/>
  <c r="AT160" i="6"/>
  <c r="BB160" i="6"/>
  <c r="P246" i="6"/>
  <c r="P247" i="6" s="1"/>
  <c r="Q113" i="6"/>
  <c r="Q115" i="6" s="1"/>
  <c r="Q29" i="87" s="1"/>
  <c r="Q31" i="87" s="1"/>
  <c r="U113" i="6"/>
  <c r="U115" i="6" s="1"/>
  <c r="U29" i="87" s="1"/>
  <c r="U31" i="87" s="1"/>
  <c r="Y113" i="6"/>
  <c r="Y115" i="6" s="1"/>
  <c r="Y29" i="87" s="1"/>
  <c r="Y31" i="87" s="1"/>
  <c r="O3" i="6"/>
  <c r="W113" i="6"/>
  <c r="W115" i="6" s="1"/>
  <c r="W29" i="87" s="1"/>
  <c r="W31" i="87" s="1"/>
  <c r="R113" i="6"/>
  <c r="R115" i="6" s="1"/>
  <c r="R29" i="87" s="1"/>
  <c r="R31" i="87" s="1"/>
  <c r="V113" i="6"/>
  <c r="V115" i="6" s="1"/>
  <c r="V29" i="87" s="1"/>
  <c r="V31" i="87" s="1"/>
  <c r="S113" i="6"/>
  <c r="S115" i="6" s="1"/>
  <c r="S29" i="87" s="1"/>
  <c r="S31" i="87" s="1"/>
  <c r="P113" i="6"/>
  <c r="P115" i="6" s="1"/>
  <c r="P29" i="87" s="1"/>
  <c r="P31" i="87" s="1"/>
  <c r="T113" i="6"/>
  <c r="T115" i="6" s="1"/>
  <c r="T29" i="87" s="1"/>
  <c r="T31" i="87" s="1"/>
  <c r="X113" i="6"/>
  <c r="X115" i="6" s="1"/>
  <c r="X29" i="87" s="1"/>
  <c r="X31" i="87" s="1"/>
  <c r="Q5" i="6"/>
  <c r="Q5" i="90" s="1"/>
  <c r="AP11" i="34" l="1"/>
  <c r="AP11" i="63"/>
  <c r="AP131" i="63" s="1"/>
  <c r="AG11" i="34"/>
  <c r="AG11" i="63"/>
  <c r="AG131" i="63" s="1"/>
  <c r="AE11" i="34"/>
  <c r="AE11" i="63"/>
  <c r="AE131" i="63" s="1"/>
  <c r="U11" i="34"/>
  <c r="U11" i="63"/>
  <c r="U131" i="63" s="1"/>
  <c r="AS11" i="34"/>
  <c r="AS11" i="63"/>
  <c r="AS131" i="63" s="1"/>
  <c r="AR11" i="34"/>
  <c r="AR11" i="63"/>
  <c r="AR131" i="63" s="1"/>
  <c r="S11" i="34"/>
  <c r="S11" i="63"/>
  <c r="S131" i="63" s="1"/>
  <c r="AY11" i="34"/>
  <c r="AY11" i="63"/>
  <c r="AY131" i="63" s="1"/>
  <c r="T11" i="34"/>
  <c r="T11" i="63"/>
  <c r="T131" i="63" s="1"/>
  <c r="AH11" i="34"/>
  <c r="AH11" i="63"/>
  <c r="AH131" i="63" s="1"/>
  <c r="AI11" i="34"/>
  <c r="AI11" i="63"/>
  <c r="AI131" i="63" s="1"/>
  <c r="AW11" i="34"/>
  <c r="AW11" i="63"/>
  <c r="AW131" i="63" s="1"/>
  <c r="R11" i="34"/>
  <c r="R11" i="63"/>
  <c r="R131" i="63" s="1"/>
  <c r="AJ11" i="34"/>
  <c r="AJ11" i="63"/>
  <c r="AJ131" i="63" s="1"/>
  <c r="P11" i="34"/>
  <c r="P11" i="63"/>
  <c r="P131" i="63" s="1"/>
  <c r="AA11" i="34"/>
  <c r="AA11" i="63"/>
  <c r="AA131" i="63" s="1"/>
  <c r="AX11" i="34"/>
  <c r="AX11" i="63"/>
  <c r="AX131" i="63" s="1"/>
  <c r="AL11" i="34"/>
  <c r="AL11" i="63"/>
  <c r="AL131" i="63" s="1"/>
  <c r="AC11" i="34"/>
  <c r="AC11" i="63"/>
  <c r="AC131" i="63" s="1"/>
  <c r="W11" i="34"/>
  <c r="W11" i="63"/>
  <c r="W131" i="63" s="1"/>
  <c r="AB11" i="34"/>
  <c r="AB11" i="63"/>
  <c r="AB131" i="63" s="1"/>
  <c r="AZ11" i="34"/>
  <c r="AZ11" i="63"/>
  <c r="AZ131" i="63" s="1"/>
  <c r="Z11" i="34"/>
  <c r="Z11" i="63"/>
  <c r="Z131" i="63" s="1"/>
  <c r="AF11" i="34"/>
  <c r="AF11" i="63"/>
  <c r="AF131" i="63" s="1"/>
  <c r="AU11" i="34"/>
  <c r="AU11" i="63"/>
  <c r="AU131" i="63" s="1"/>
  <c r="AO11" i="34"/>
  <c r="AO11" i="63"/>
  <c r="AO131" i="63" s="1"/>
  <c r="AD11" i="34"/>
  <c r="AD11" i="63"/>
  <c r="AD131" i="63" s="1"/>
  <c r="AN11" i="34"/>
  <c r="AN11" i="63"/>
  <c r="AN131" i="63" s="1"/>
  <c r="AT11" i="34"/>
  <c r="AT11" i="63"/>
  <c r="AT131" i="63" s="1"/>
  <c r="AV11" i="34"/>
  <c r="AV11" i="63"/>
  <c r="AV131" i="63" s="1"/>
  <c r="V11" i="34"/>
  <c r="V11" i="63"/>
  <c r="V131" i="63" s="1"/>
  <c r="Y11" i="34"/>
  <c r="Y11" i="63"/>
  <c r="Y131" i="63" s="1"/>
  <c r="Q11" i="34"/>
  <c r="Q11" i="63"/>
  <c r="Q131" i="63" s="1"/>
  <c r="X11" i="34"/>
  <c r="X11" i="63"/>
  <c r="X131" i="63" s="1"/>
  <c r="BA11" i="34"/>
  <c r="BA11" i="63"/>
  <c r="BA131" i="63" s="1"/>
  <c r="AQ11" i="34"/>
  <c r="AQ11" i="63"/>
  <c r="AQ131" i="63" s="1"/>
  <c r="BB11" i="34"/>
  <c r="BB11" i="63"/>
  <c r="BB131" i="63" s="1"/>
  <c r="AK11" i="34"/>
  <c r="AK11" i="63"/>
  <c r="AK131" i="63" s="1"/>
  <c r="AM11" i="34"/>
  <c r="AM11" i="63"/>
  <c r="AM131" i="63" s="1"/>
  <c r="O3" i="90"/>
  <c r="W23" i="63"/>
  <c r="Y23" i="63"/>
  <c r="U23" i="63"/>
  <c r="X23" i="63"/>
  <c r="T23" i="63"/>
  <c r="P23" i="63"/>
  <c r="S23" i="63"/>
  <c r="V23" i="63"/>
  <c r="R23" i="63"/>
  <c r="Q23" i="63"/>
  <c r="Q5" i="34"/>
  <c r="Q5" i="84"/>
  <c r="Q5" i="65"/>
  <c r="Q5" i="82"/>
  <c r="Q18" i="82" s="1"/>
  <c r="Q5" i="87"/>
  <c r="Q5" i="63"/>
  <c r="Q19" i="63" s="1"/>
  <c r="Q5" i="86"/>
  <c r="O3" i="65"/>
  <c r="O3" i="34"/>
  <c r="O3" i="87"/>
  <c r="O3" i="86"/>
  <c r="O3" i="82"/>
  <c r="O3" i="84"/>
  <c r="O3" i="63"/>
  <c r="Q246" i="6"/>
  <c r="Q247" i="6" s="1"/>
  <c r="O4" i="6"/>
  <c r="O66" i="6" s="1"/>
  <c r="R5" i="6"/>
  <c r="R5" i="90" s="1"/>
  <c r="O4" i="90" l="1"/>
  <c r="R5" i="34"/>
  <c r="R5" i="87"/>
  <c r="R5" i="84"/>
  <c r="R5" i="82"/>
  <c r="R18" i="82" s="1"/>
  <c r="R5" i="65"/>
  <c r="R5" i="63"/>
  <c r="R19" i="63" s="1"/>
  <c r="R5" i="86"/>
  <c r="O4" i="34"/>
  <c r="O4" i="63"/>
  <c r="O4" i="84"/>
  <c r="O4" i="87"/>
  <c r="O4" i="82"/>
  <c r="O4" i="86"/>
  <c r="O4" i="65"/>
  <c r="R246" i="6"/>
  <c r="R247" i="6" s="1"/>
  <c r="P12" i="63"/>
  <c r="S5" i="6"/>
  <c r="S5" i="90" s="1"/>
  <c r="S5" i="65" l="1"/>
  <c r="S5" i="63"/>
  <c r="S19" i="63" s="1"/>
  <c r="S5" i="34"/>
  <c r="S5" i="84"/>
  <c r="S5" i="82"/>
  <c r="S18" i="82" s="1"/>
  <c r="S5" i="87"/>
  <c r="S5" i="86"/>
  <c r="S246" i="6"/>
  <c r="S247" i="6" s="1"/>
  <c r="P35" i="63"/>
  <c r="Q12" i="63"/>
  <c r="T5" i="6"/>
  <c r="T5" i="90" s="1"/>
  <c r="T5" i="86" l="1"/>
  <c r="T5" i="34"/>
  <c r="T5" i="87"/>
  <c r="T5" i="84"/>
  <c r="T5" i="65"/>
  <c r="T5" i="82"/>
  <c r="T18" i="82" s="1"/>
  <c r="T5" i="63"/>
  <c r="T19" i="63" s="1"/>
  <c r="T246" i="6"/>
  <c r="T247" i="6" s="1"/>
  <c r="Q35" i="63"/>
  <c r="R12" i="63"/>
  <c r="S12" i="63"/>
  <c r="U5" i="6"/>
  <c r="U5" i="90" s="1"/>
  <c r="U5" i="86" l="1"/>
  <c r="U5" i="84"/>
  <c r="U5" i="87"/>
  <c r="U5" i="65"/>
  <c r="U5" i="63"/>
  <c r="U19" i="63" s="1"/>
  <c r="U5" i="82"/>
  <c r="U5" i="34"/>
  <c r="U246" i="6"/>
  <c r="U247" i="6" s="1"/>
  <c r="U18" i="82"/>
  <c r="T12" i="63"/>
  <c r="V5" i="6"/>
  <c r="V5" i="90" s="1"/>
  <c r="V5" i="86" l="1"/>
  <c r="V5" i="34"/>
  <c r="V5" i="82"/>
  <c r="V18" i="82" s="1"/>
  <c r="V5" i="84"/>
  <c r="V5" i="87"/>
  <c r="V5" i="65"/>
  <c r="V5" i="63"/>
  <c r="V19" i="63" s="1"/>
  <c r="V246" i="6"/>
  <c r="V247" i="6" s="1"/>
  <c r="R35" i="63"/>
  <c r="S35" i="63"/>
  <c r="W5" i="6"/>
  <c r="W5" i="90" s="1"/>
  <c r="W5" i="86" l="1"/>
  <c r="W5" i="87"/>
  <c r="W5" i="84"/>
  <c r="W5" i="82"/>
  <c r="W18" i="82" s="1"/>
  <c r="W5" i="65"/>
  <c r="W5" i="63"/>
  <c r="W19" i="63" s="1"/>
  <c r="W5" i="34"/>
  <c r="W246" i="6"/>
  <c r="W247" i="6" s="1"/>
  <c r="U12" i="63"/>
  <c r="X5" i="6"/>
  <c r="X5" i="90" s="1"/>
  <c r="X5" i="34" l="1"/>
  <c r="X5" i="65"/>
  <c r="X5" i="63"/>
  <c r="X19" i="63" s="1"/>
  <c r="X5" i="84"/>
  <c r="X5" i="82"/>
  <c r="X18" i="82" s="1"/>
  <c r="X5" i="87"/>
  <c r="X5" i="86"/>
  <c r="X246" i="6"/>
  <c r="X247" i="6" s="1"/>
  <c r="T35" i="63"/>
  <c r="V12" i="63"/>
  <c r="Y5" i="6"/>
  <c r="Y5" i="90" s="1"/>
  <c r="Y5" i="65" l="1"/>
  <c r="Y5" i="84"/>
  <c r="Y5" i="82"/>
  <c r="Y5" i="63"/>
  <c r="Y19" i="63" s="1"/>
  <c r="Y5" i="34"/>
  <c r="Y5" i="87"/>
  <c r="Y5" i="86"/>
  <c r="Y246" i="6"/>
  <c r="Y247" i="6" s="1"/>
  <c r="Y18" i="82"/>
  <c r="U35" i="63"/>
  <c r="W12" i="63"/>
  <c r="X12" i="63"/>
  <c r="Z5" i="6"/>
  <c r="Z5" i="90" s="1"/>
  <c r="Z5" i="65" l="1"/>
  <c r="Z5" i="63"/>
  <c r="Z19" i="63" s="1"/>
  <c r="Z5" i="87"/>
  <c r="Z5" i="84"/>
  <c r="Z5" i="82"/>
  <c r="Z5" i="34"/>
  <c r="Z5" i="86"/>
  <c r="Z246" i="6"/>
  <c r="Z247" i="6" s="1"/>
  <c r="Z18" i="82"/>
  <c r="V35" i="63"/>
  <c r="AA5" i="6"/>
  <c r="AA5" i="90" s="1"/>
  <c r="AA5" i="82" l="1"/>
  <c r="AA18" i="82" s="1"/>
  <c r="AA5" i="34"/>
  <c r="AA5" i="84"/>
  <c r="AA5" i="63"/>
  <c r="AA19" i="63" s="1"/>
  <c r="AA5" i="65"/>
  <c r="AA5" i="87"/>
  <c r="AA5" i="86"/>
  <c r="AA246" i="6"/>
  <c r="AA247" i="6" s="1"/>
  <c r="W35" i="63"/>
  <c r="AB5" i="6"/>
  <c r="AB5" i="90" s="1"/>
  <c r="AB5" i="87" l="1"/>
  <c r="AB5" i="84"/>
  <c r="AB5" i="65"/>
  <c r="AB5" i="63"/>
  <c r="AB19" i="63" s="1"/>
  <c r="AB5" i="82"/>
  <c r="AB5" i="34"/>
  <c r="AB5" i="86"/>
  <c r="AB246" i="6"/>
  <c r="AB247" i="6" s="1"/>
  <c r="AB18" i="82"/>
  <c r="X35" i="63"/>
  <c r="AC5" i="6"/>
  <c r="AC5" i="90" s="1"/>
  <c r="AC5" i="82" l="1"/>
  <c r="AC18" i="82" s="1"/>
  <c r="AC5" i="34"/>
  <c r="AC5" i="65"/>
  <c r="AC5" i="86"/>
  <c r="AC5" i="63"/>
  <c r="AC19" i="63" s="1"/>
  <c r="AC5" i="87"/>
  <c r="AC5" i="84"/>
  <c r="AC246" i="6"/>
  <c r="AC247" i="6" s="1"/>
  <c r="Y35" i="63"/>
  <c r="AD5" i="6"/>
  <c r="AD5" i="90" s="1"/>
  <c r="AD5" i="63" l="1"/>
  <c r="AD19" i="63" s="1"/>
  <c r="AD5" i="34"/>
  <c r="AD5" i="65"/>
  <c r="AD5" i="86"/>
  <c r="AD5" i="82"/>
  <c r="AD5" i="87"/>
  <c r="AD5" i="84"/>
  <c r="AD246" i="6"/>
  <c r="AD247" i="6" s="1"/>
  <c r="AD18" i="82"/>
  <c r="AE5" i="6"/>
  <c r="AE5" i="90" s="1"/>
  <c r="AE5" i="34" l="1"/>
  <c r="AE5" i="82"/>
  <c r="AE5" i="65"/>
  <c r="AE5" i="86"/>
  <c r="AE5" i="87"/>
  <c r="AE5" i="63"/>
  <c r="AE19" i="63" s="1"/>
  <c r="AE5" i="84"/>
  <c r="AE246" i="6"/>
  <c r="AE247" i="6" s="1"/>
  <c r="AE18" i="82"/>
  <c r="AF5" i="6"/>
  <c r="AF5" i="90" s="1"/>
  <c r="AF5" i="84" l="1"/>
  <c r="AF5" i="87"/>
  <c r="AF5" i="34"/>
  <c r="AF5" i="65"/>
  <c r="AF5" i="63"/>
  <c r="AF19" i="63" s="1"/>
  <c r="AF5" i="82"/>
  <c r="AF5" i="86"/>
  <c r="AF246" i="6"/>
  <c r="AF247" i="6" s="1"/>
  <c r="AF18" i="82"/>
  <c r="AG5" i="6"/>
  <c r="AG5" i="90" s="1"/>
  <c r="AG5" i="63" l="1"/>
  <c r="AG19" i="63" s="1"/>
  <c r="AG5" i="82"/>
  <c r="AG5" i="86"/>
  <c r="AG5" i="65"/>
  <c r="AG5" i="87"/>
  <c r="AG5" i="34"/>
  <c r="AG5" i="84"/>
  <c r="AG246" i="6"/>
  <c r="AG247" i="6" s="1"/>
  <c r="AG18" i="82"/>
  <c r="AH5" i="6"/>
  <c r="AH5" i="90" s="1"/>
  <c r="AH5" i="82" l="1"/>
  <c r="AH5" i="63"/>
  <c r="AH19" i="63" s="1"/>
  <c r="AH5" i="65"/>
  <c r="AH5" i="87"/>
  <c r="AH5" i="34"/>
  <c r="AH5" i="86"/>
  <c r="AH5" i="84"/>
  <c r="AH246" i="6"/>
  <c r="AH247" i="6" s="1"/>
  <c r="AH18" i="82"/>
  <c r="AI5" i="6"/>
  <c r="AI5" i="90" s="1"/>
  <c r="AI5" i="63" l="1"/>
  <c r="AI19" i="63" s="1"/>
  <c r="AI5" i="82"/>
  <c r="AI5" i="86"/>
  <c r="AI5" i="65"/>
  <c r="AI5" i="34"/>
  <c r="AI5" i="87"/>
  <c r="AI5" i="84"/>
  <c r="AI246" i="6"/>
  <c r="AI247" i="6" s="1"/>
  <c r="AI18" i="82"/>
  <c r="AJ5" i="6"/>
  <c r="AJ5" i="90" s="1"/>
  <c r="AJ5" i="82" l="1"/>
  <c r="AJ5" i="87"/>
  <c r="AJ5" i="65"/>
  <c r="AJ5" i="86"/>
  <c r="AJ5" i="63"/>
  <c r="AJ19" i="63" s="1"/>
  <c r="AJ5" i="34"/>
  <c r="AJ5" i="84"/>
  <c r="AJ246" i="6"/>
  <c r="AJ247" i="6" s="1"/>
  <c r="AJ18" i="82"/>
  <c r="AK5" i="6"/>
  <c r="AK5" i="90" s="1"/>
  <c r="AK5" i="87" l="1"/>
  <c r="AK5" i="65"/>
  <c r="AK5" i="82"/>
  <c r="AK5" i="86"/>
  <c r="AK5" i="34"/>
  <c r="AK5" i="63"/>
  <c r="AK19" i="63" s="1"/>
  <c r="AK5" i="84"/>
  <c r="AK246" i="6"/>
  <c r="AK247" i="6" s="1"/>
  <c r="AK18" i="82"/>
  <c r="AL5" i="6"/>
  <c r="AL5" i="90" s="1"/>
  <c r="AL5" i="82" l="1"/>
  <c r="AL5" i="86"/>
  <c r="AL5" i="65"/>
  <c r="AL5" i="63"/>
  <c r="AL19" i="63" s="1"/>
  <c r="AL5" i="34"/>
  <c r="AL5" i="87"/>
  <c r="AL5" i="84"/>
  <c r="AL246" i="6"/>
  <c r="AL247" i="6" s="1"/>
  <c r="AL18" i="82"/>
  <c r="AM5" i="6"/>
  <c r="AM5" i="90" s="1"/>
  <c r="AM5" i="34" l="1"/>
  <c r="AM5" i="65"/>
  <c r="AM5" i="63"/>
  <c r="AM19" i="63" s="1"/>
  <c r="AM5" i="82"/>
  <c r="AM5" i="87"/>
  <c r="AM5" i="86"/>
  <c r="AM5" i="84"/>
  <c r="AM246" i="6"/>
  <c r="AM247" i="6" s="1"/>
  <c r="AM18" i="82"/>
  <c r="AN5" i="6"/>
  <c r="AN5" i="90" s="1"/>
  <c r="AN5" i="65" l="1"/>
  <c r="AN5" i="34"/>
  <c r="AN5" i="86"/>
  <c r="AN5" i="63"/>
  <c r="AN19" i="63" s="1"/>
  <c r="AN5" i="87"/>
  <c r="AN5" i="82"/>
  <c r="AN5" i="84"/>
  <c r="AN246" i="6"/>
  <c r="AN247" i="6" s="1"/>
  <c r="AN18" i="82"/>
  <c r="AO5" i="6"/>
  <c r="AO5" i="90" s="1"/>
  <c r="AO5" i="65" l="1"/>
  <c r="AO5" i="63"/>
  <c r="AO19" i="63" s="1"/>
  <c r="AO5" i="34"/>
  <c r="AO5" i="82"/>
  <c r="AO5" i="87"/>
  <c r="AO5" i="86"/>
  <c r="AO5" i="84"/>
  <c r="AO247" i="6"/>
  <c r="AO18" i="82"/>
  <c r="AP5" i="6"/>
  <c r="AP5" i="90" s="1"/>
  <c r="AP5" i="86" l="1"/>
  <c r="AP5" i="65"/>
  <c r="AP5" i="63"/>
  <c r="AP19" i="63" s="1"/>
  <c r="AP5" i="82"/>
  <c r="AP5" i="87"/>
  <c r="AP5" i="34"/>
  <c r="AP5" i="84"/>
  <c r="AP246" i="6"/>
  <c r="AP247" i="6" s="1"/>
  <c r="AP18" i="82"/>
  <c r="AQ5" i="6"/>
  <c r="AQ5" i="90" s="1"/>
  <c r="AQ5" i="65" l="1"/>
  <c r="AQ5" i="34"/>
  <c r="AQ5" i="82"/>
  <c r="AQ5" i="87"/>
  <c r="AQ5" i="63"/>
  <c r="AQ19" i="63" s="1"/>
  <c r="AQ5" i="86"/>
  <c r="AQ5" i="84"/>
  <c r="AP27" i="34"/>
  <c r="AP28" i="34"/>
  <c r="AP29" i="34"/>
  <c r="AQ246" i="6"/>
  <c r="AQ247" i="6" s="1"/>
  <c r="AQ18" i="82"/>
  <c r="AR5" i="6"/>
  <c r="AR5" i="90" s="1"/>
  <c r="AR5" i="86" l="1"/>
  <c r="AR5" i="34"/>
  <c r="AR5" i="84"/>
  <c r="AR5" i="65"/>
  <c r="AR5" i="63"/>
  <c r="AR19" i="63" s="1"/>
  <c r="AR5" i="87"/>
  <c r="AR5" i="82"/>
  <c r="AQ29" i="34"/>
  <c r="AQ27" i="34"/>
  <c r="AQ28" i="34"/>
  <c r="AR246" i="6"/>
  <c r="AR247" i="6" s="1"/>
  <c r="AR18" i="82"/>
  <c r="AS5" i="6"/>
  <c r="AS5" i="90" s="1"/>
  <c r="AS5" i="34" l="1"/>
  <c r="AS5" i="65"/>
  <c r="AS5" i="87"/>
  <c r="AS5" i="84"/>
  <c r="AS5" i="63"/>
  <c r="AS19" i="63" s="1"/>
  <c r="AS5" i="86"/>
  <c r="AS5" i="82"/>
  <c r="AR28" i="34"/>
  <c r="AR29" i="34"/>
  <c r="AR27" i="34"/>
  <c r="AS246" i="6"/>
  <c r="AS247" i="6" s="1"/>
  <c r="AS18" i="82"/>
  <c r="AT5" i="6"/>
  <c r="AT5" i="90" s="1"/>
  <c r="AT5" i="34" l="1"/>
  <c r="AT5" i="65"/>
  <c r="AT5" i="63"/>
  <c r="AT19" i="63" s="1"/>
  <c r="AT5" i="86"/>
  <c r="AT5" i="84"/>
  <c r="AT5" i="87"/>
  <c r="AT5" i="82"/>
  <c r="AS28" i="34"/>
  <c r="AS29" i="34"/>
  <c r="AS27" i="34"/>
  <c r="AT246" i="6"/>
  <c r="AT247" i="6" s="1"/>
  <c r="AT18" i="82"/>
  <c r="AU5" i="6"/>
  <c r="AU5" i="90" s="1"/>
  <c r="AU5" i="65" l="1"/>
  <c r="AU5" i="34"/>
  <c r="AU5" i="86"/>
  <c r="AU5" i="82"/>
  <c r="AU5" i="87"/>
  <c r="AU5" i="84"/>
  <c r="AU5" i="63"/>
  <c r="AU19" i="63" s="1"/>
  <c r="AT28" i="34"/>
  <c r="AT27" i="34"/>
  <c r="AT29" i="34"/>
  <c r="AU246" i="6"/>
  <c r="AU247" i="6" s="1"/>
  <c r="AU18" i="82"/>
  <c r="AV5" i="6"/>
  <c r="AV5" i="90" s="1"/>
  <c r="AV5" i="65" l="1"/>
  <c r="AV5" i="63"/>
  <c r="AV19" i="63" s="1"/>
  <c r="AV5" i="87"/>
  <c r="AV5" i="84"/>
  <c r="AV5" i="86"/>
  <c r="AV5" i="34"/>
  <c r="AV5" i="82"/>
  <c r="AU28" i="34"/>
  <c r="AU29" i="34"/>
  <c r="AU27" i="34"/>
  <c r="AV246" i="6"/>
  <c r="AV247" i="6" s="1"/>
  <c r="AV18" i="82"/>
  <c r="AW5" i="6"/>
  <c r="AW5" i="90" s="1"/>
  <c r="AW5" i="84" l="1"/>
  <c r="AW5" i="87"/>
  <c r="AW5" i="86"/>
  <c r="AW5" i="63"/>
  <c r="AW19" i="63" s="1"/>
  <c r="AW5" i="34"/>
  <c r="AW5" i="82"/>
  <c r="AW5" i="65"/>
  <c r="AV29" i="34"/>
  <c r="AV27" i="34"/>
  <c r="AV28" i="34"/>
  <c r="AW246" i="6"/>
  <c r="AW247" i="6" s="1"/>
  <c r="AW18" i="82"/>
  <c r="AX5" i="6"/>
  <c r="AX5" i="90" s="1"/>
  <c r="AX5" i="87" l="1"/>
  <c r="AX5" i="82"/>
  <c r="AX5" i="84"/>
  <c r="AX5" i="63"/>
  <c r="AX19" i="63" s="1"/>
  <c r="AX5" i="86"/>
  <c r="AX5" i="34"/>
  <c r="AX5" i="65"/>
  <c r="AW28" i="34"/>
  <c r="AW29" i="34"/>
  <c r="AW27" i="34"/>
  <c r="AX246" i="6"/>
  <c r="AX247" i="6" s="1"/>
  <c r="AX18" i="82"/>
  <c r="AY5" i="6"/>
  <c r="AY5" i="90" s="1"/>
  <c r="AY5" i="82" l="1"/>
  <c r="AY18" i="82" s="1"/>
  <c r="AY5" i="87"/>
  <c r="AY5" i="84"/>
  <c r="AY5" i="86"/>
  <c r="AY5" i="63"/>
  <c r="AY19" i="63" s="1"/>
  <c r="AY5" i="34"/>
  <c r="AY5" i="65"/>
  <c r="AX27" i="34"/>
  <c r="AX28" i="34"/>
  <c r="AX29" i="34"/>
  <c r="AY246" i="6"/>
  <c r="AY247" i="6" s="1"/>
  <c r="AZ5" i="6"/>
  <c r="AZ5" i="90" s="1"/>
  <c r="AZ5" i="82" l="1"/>
  <c r="AZ5" i="87"/>
  <c r="AZ5" i="84"/>
  <c r="AZ5" i="86"/>
  <c r="AZ5" i="63"/>
  <c r="AZ19" i="63" s="1"/>
  <c r="AZ5" i="34"/>
  <c r="AZ5" i="65"/>
  <c r="AY28" i="34"/>
  <c r="AY27" i="34"/>
  <c r="AY29" i="34"/>
  <c r="AZ246" i="6"/>
  <c r="AZ247" i="6" s="1"/>
  <c r="AZ18" i="82"/>
  <c r="BA5" i="6"/>
  <c r="BA5" i="90" s="1"/>
  <c r="BA5" i="82" l="1"/>
  <c r="BA5" i="84"/>
  <c r="BA5" i="86"/>
  <c r="BA5" i="63"/>
  <c r="BA19" i="63" s="1"/>
  <c r="BA5" i="87"/>
  <c r="BA5" i="65"/>
  <c r="BA5" i="34"/>
  <c r="AZ28" i="34"/>
  <c r="AZ29" i="34"/>
  <c r="AZ27" i="34"/>
  <c r="BA246" i="6"/>
  <c r="BA247" i="6" s="1"/>
  <c r="BA18" i="82"/>
  <c r="BB5" i="6"/>
  <c r="BB5" i="90" s="1"/>
  <c r="BB5" i="84" l="1"/>
  <c r="BB5" i="63"/>
  <c r="BB19" i="63" s="1"/>
  <c r="BB5" i="87"/>
  <c r="BB5" i="34"/>
  <c r="BB5" i="86"/>
  <c r="BB5" i="82"/>
  <c r="BB5" i="65"/>
  <c r="BA28" i="34"/>
  <c r="BA29" i="34"/>
  <c r="BA27" i="34"/>
  <c r="BB246" i="6"/>
  <c r="BB247" i="6" s="1"/>
  <c r="I247" i="6" s="1"/>
  <c r="BB18" i="82"/>
  <c r="BB29" i="34" l="1"/>
  <c r="BB27" i="34"/>
  <c r="BB28" i="34"/>
  <c r="I72" i="84" l="1"/>
  <c r="I77" i="84"/>
  <c r="I59" i="84"/>
  <c r="I64" i="84"/>
  <c r="I85" i="84"/>
  <c r="I90" i="84"/>
  <c r="I176" i="6"/>
  <c r="I175" i="6"/>
  <c r="O178" i="6" s="1"/>
  <c r="Z104" i="6" l="1"/>
  <c r="AA104" i="6"/>
  <c r="AA113" i="6" l="1"/>
  <c r="Z113" i="6"/>
  <c r="Z115" i="6" l="1"/>
  <c r="Z29" i="87" s="1"/>
  <c r="Z31" i="87" s="1"/>
  <c r="AA115" i="6"/>
  <c r="AA29" i="87" s="1"/>
  <c r="AA31" i="87" s="1"/>
  <c r="O187" i="6"/>
  <c r="O186" i="6"/>
  <c r="O179" i="6"/>
  <c r="O76" i="6"/>
  <c r="O78" i="6" s="1"/>
  <c r="O64" i="6"/>
  <c r="O68" i="6"/>
  <c r="P3" i="6"/>
  <c r="O80" i="6" l="1"/>
  <c r="P3" i="90"/>
  <c r="AA23" i="63"/>
  <c r="Z23" i="63"/>
  <c r="P3" i="65"/>
  <c r="P3" i="63"/>
  <c r="P3" i="87"/>
  <c r="P3" i="34"/>
  <c r="P3" i="82"/>
  <c r="P3" i="86"/>
  <c r="P3" i="84"/>
  <c r="P4" i="6"/>
  <c r="P66" i="6" s="1"/>
  <c r="P26" i="82" l="1"/>
  <c r="P4" i="90"/>
  <c r="P4" i="82"/>
  <c r="P4" i="63"/>
  <c r="P4" i="65"/>
  <c r="P4" i="87"/>
  <c r="P4" i="86"/>
  <c r="P4" i="84"/>
  <c r="P4" i="34"/>
  <c r="P64" i="6"/>
  <c r="P76" i="6"/>
  <c r="P68" i="6"/>
  <c r="Q3" i="6"/>
  <c r="Q3" i="90" l="1"/>
  <c r="Q3" i="87"/>
  <c r="Q3" i="34"/>
  <c r="Q3" i="82"/>
  <c r="Q3" i="65"/>
  <c r="Q3" i="86"/>
  <c r="Q3" i="84"/>
  <c r="Q3" i="63"/>
  <c r="Q4" i="6"/>
  <c r="Q66" i="6" s="1"/>
  <c r="P202" i="6"/>
  <c r="P55" i="84" s="1"/>
  <c r="AN144" i="6"/>
  <c r="AN43" i="82" s="1"/>
  <c r="Q26" i="82" l="1"/>
  <c r="Q4" i="90"/>
  <c r="Q4" i="86"/>
  <c r="Q4" i="34"/>
  <c r="Q4" i="63"/>
  <c r="Q4" i="65"/>
  <c r="Q4" i="87"/>
  <c r="Q4" i="84"/>
  <c r="Q4" i="82"/>
  <c r="P63" i="34"/>
  <c r="P78" i="6"/>
  <c r="P16" i="34"/>
  <c r="P27" i="34" s="1"/>
  <c r="R3" i="6"/>
  <c r="Q64" i="6"/>
  <c r="Q76" i="6"/>
  <c r="Q68" i="6"/>
  <c r="H242" i="6"/>
  <c r="H241" i="6"/>
  <c r="H240" i="6"/>
  <c r="P80" i="6" l="1"/>
  <c r="P18" i="34" s="1"/>
  <c r="P41" i="82"/>
  <c r="R3" i="90"/>
  <c r="R3" i="87"/>
  <c r="R3" i="65"/>
  <c r="R3" i="82"/>
  <c r="R3" i="86"/>
  <c r="R3" i="63"/>
  <c r="R3" i="34"/>
  <c r="R3" i="84"/>
  <c r="P27" i="82"/>
  <c r="P30" i="82" s="1"/>
  <c r="P17" i="34"/>
  <c r="R4" i="6"/>
  <c r="I242" i="6"/>
  <c r="Q242" i="6" s="1"/>
  <c r="I239" i="6"/>
  <c r="I241" i="6"/>
  <c r="P241" i="6" s="1"/>
  <c r="I240" i="6"/>
  <c r="Q240" i="6" s="1"/>
  <c r="P29" i="34" l="1"/>
  <c r="R4" i="90"/>
  <c r="R4" i="65"/>
  <c r="R4" i="84"/>
  <c r="R4" i="63"/>
  <c r="R4" i="87"/>
  <c r="R4" i="86"/>
  <c r="R4" i="82"/>
  <c r="R4" i="34"/>
  <c r="Q78" i="6"/>
  <c r="Q202" i="6"/>
  <c r="Q25" i="84"/>
  <c r="Q65" i="34"/>
  <c r="Q43" i="84"/>
  <c r="P29" i="84"/>
  <c r="P66" i="34"/>
  <c r="P47" i="84"/>
  <c r="Q33" i="84"/>
  <c r="Q51" i="84"/>
  <c r="Q67" i="34"/>
  <c r="Q178" i="6"/>
  <c r="Q55" i="34" s="1"/>
  <c r="P29" i="82"/>
  <c r="P31" i="82" s="1"/>
  <c r="P36" i="82" s="1"/>
  <c r="P42" i="82"/>
  <c r="P28" i="34"/>
  <c r="Q16" i="34"/>
  <c r="R64" i="6"/>
  <c r="S3" i="6"/>
  <c r="R66" i="6"/>
  <c r="R186" i="6"/>
  <c r="R68" i="6"/>
  <c r="R76" i="6"/>
  <c r="R187" i="6"/>
  <c r="R39" i="86" s="1"/>
  <c r="P242" i="6"/>
  <c r="R240" i="6"/>
  <c r="Q241" i="6"/>
  <c r="R242" i="6"/>
  <c r="R241" i="6"/>
  <c r="P239" i="6"/>
  <c r="Q239" i="6"/>
  <c r="R239" i="6"/>
  <c r="P240" i="6"/>
  <c r="Q41" i="82" l="1"/>
  <c r="R26" i="82"/>
  <c r="R27" i="82" s="1"/>
  <c r="Q17" i="34"/>
  <c r="Q42" i="82" s="1"/>
  <c r="Q45" i="82" s="1"/>
  <c r="Q80" i="6"/>
  <c r="Q18" i="34" s="1"/>
  <c r="S3" i="90"/>
  <c r="R29" i="86"/>
  <c r="R60" i="34"/>
  <c r="R59" i="34"/>
  <c r="R19" i="86"/>
  <c r="Q55" i="84"/>
  <c r="Q63" i="34"/>
  <c r="S3" i="82"/>
  <c r="S3" i="87"/>
  <c r="S3" i="65"/>
  <c r="S3" i="84"/>
  <c r="S3" i="63"/>
  <c r="S3" i="34"/>
  <c r="S3" i="86"/>
  <c r="P25" i="84"/>
  <c r="P65" i="34"/>
  <c r="P43" i="84"/>
  <c r="R29" i="84"/>
  <c r="R66" i="34"/>
  <c r="R47" i="84"/>
  <c r="R33" i="84"/>
  <c r="R51" i="84"/>
  <c r="R67" i="34"/>
  <c r="Q29" i="84"/>
  <c r="Q66" i="34"/>
  <c r="Q47" i="84"/>
  <c r="R25" i="84"/>
  <c r="R65" i="34"/>
  <c r="R43" i="84"/>
  <c r="P67" i="34"/>
  <c r="P33" i="84"/>
  <c r="P51" i="84"/>
  <c r="R64" i="34"/>
  <c r="R39" i="84"/>
  <c r="R21" i="84"/>
  <c r="Q64" i="34"/>
  <c r="Q39" i="84"/>
  <c r="Q21" i="84"/>
  <c r="P21" i="84"/>
  <c r="P64" i="34"/>
  <c r="P39" i="84"/>
  <c r="Q27" i="82"/>
  <c r="Q29" i="82" s="1"/>
  <c r="Q27" i="34"/>
  <c r="P46" i="82"/>
  <c r="P45" i="82"/>
  <c r="S4" i="6"/>
  <c r="I17" i="65"/>
  <c r="R202" i="6" l="1"/>
  <c r="R63" i="34" s="1"/>
  <c r="R78" i="6"/>
  <c r="R178" i="6"/>
  <c r="R55" i="34" s="1"/>
  <c r="R16" i="34"/>
  <c r="R27" i="34" s="1"/>
  <c r="R80" i="6"/>
  <c r="R18" i="34" s="1"/>
  <c r="R41" i="82"/>
  <c r="Q29" i="34"/>
  <c r="Q46" i="82"/>
  <c r="Q47" i="82" s="1"/>
  <c r="Q28" i="34"/>
  <c r="S4" i="90"/>
  <c r="S4" i="34"/>
  <c r="S4" i="65"/>
  <c r="S4" i="63"/>
  <c r="S4" i="84"/>
  <c r="S4" i="86"/>
  <c r="S4" i="87"/>
  <c r="S4" i="82"/>
  <c r="Q30" i="82"/>
  <c r="Q31" i="82" s="1"/>
  <c r="Q36" i="82" s="1"/>
  <c r="T3" i="6"/>
  <c r="T4" i="6" s="1"/>
  <c r="S66" i="6"/>
  <c r="S64" i="6"/>
  <c r="S239" i="6"/>
  <c r="P47" i="82"/>
  <c r="S68" i="6"/>
  <c r="S242" i="6"/>
  <c r="S241" i="6"/>
  <c r="S240" i="6"/>
  <c r="S76" i="6"/>
  <c r="R17" i="34"/>
  <c r="R30" i="82"/>
  <c r="R29" i="82"/>
  <c r="R179" i="6"/>
  <c r="R56" i="34" s="1"/>
  <c r="R55" i="84" l="1"/>
  <c r="S26" i="82"/>
  <c r="P53" i="82"/>
  <c r="P54" i="82"/>
  <c r="T3" i="90"/>
  <c r="T4" i="90"/>
  <c r="T4" i="65"/>
  <c r="T4" i="84"/>
  <c r="T4" i="63"/>
  <c r="T4" i="86"/>
  <c r="T4" i="34"/>
  <c r="T4" i="87"/>
  <c r="T4" i="82"/>
  <c r="T3" i="34"/>
  <c r="T3" i="65"/>
  <c r="T3" i="82"/>
  <c r="T3" i="87"/>
  <c r="T3" i="63"/>
  <c r="T3" i="86"/>
  <c r="T3" i="84"/>
  <c r="S65" i="34"/>
  <c r="S43" i="84"/>
  <c r="S25" i="84"/>
  <c r="S29" i="84"/>
  <c r="S66" i="34"/>
  <c r="S47" i="84"/>
  <c r="S33" i="84"/>
  <c r="S51" i="84"/>
  <c r="S67" i="34"/>
  <c r="S39" i="84"/>
  <c r="S21" i="84"/>
  <c r="S64" i="34"/>
  <c r="P101" i="63"/>
  <c r="P79" i="63"/>
  <c r="P16" i="90" s="1"/>
  <c r="R29" i="34"/>
  <c r="R28" i="34"/>
  <c r="Q101" i="63"/>
  <c r="Q79" i="63"/>
  <c r="Q16" i="90" s="1"/>
  <c r="S16" i="34"/>
  <c r="R42" i="82"/>
  <c r="R31" i="82"/>
  <c r="R36" i="82" s="1"/>
  <c r="T239" i="6"/>
  <c r="T186" i="6"/>
  <c r="T241" i="6"/>
  <c r="T240" i="6"/>
  <c r="T242" i="6"/>
  <c r="T64" i="6"/>
  <c r="T76" i="6"/>
  <c r="T68" i="6"/>
  <c r="T66" i="6"/>
  <c r="T26" i="82" s="1"/>
  <c r="S78" i="6"/>
  <c r="U3" i="6"/>
  <c r="S202" i="6" l="1"/>
  <c r="S80" i="6"/>
  <c r="S18" i="34" s="1"/>
  <c r="S41" i="82"/>
  <c r="U3" i="90"/>
  <c r="U3" i="34"/>
  <c r="U3" i="84"/>
  <c r="U3" i="65"/>
  <c r="U3" i="82"/>
  <c r="U3" i="63"/>
  <c r="U3" i="87"/>
  <c r="U3" i="86"/>
  <c r="T59" i="34"/>
  <c r="T19" i="86"/>
  <c r="T65" i="34"/>
  <c r="T43" i="84"/>
  <c r="T25" i="84"/>
  <c r="T29" i="84"/>
  <c r="T66" i="34"/>
  <c r="T47" i="84"/>
  <c r="T33" i="84"/>
  <c r="T51" i="84"/>
  <c r="T67" i="34"/>
  <c r="T21" i="84"/>
  <c r="T64" i="34"/>
  <c r="T39" i="84"/>
  <c r="S27" i="82"/>
  <c r="S30" i="82" s="1"/>
  <c r="S27" i="34"/>
  <c r="S17" i="34"/>
  <c r="Z35" i="63"/>
  <c r="R45" i="82"/>
  <c r="R46" i="82"/>
  <c r="U4" i="6"/>
  <c r="S42" i="82" l="1"/>
  <c r="S63" i="34"/>
  <c r="S55" i="84"/>
  <c r="U4" i="90"/>
  <c r="U4" i="65"/>
  <c r="U4" i="63"/>
  <c r="U4" i="87"/>
  <c r="U4" i="86"/>
  <c r="U4" i="84"/>
  <c r="U4" i="34"/>
  <c r="U4" i="82"/>
  <c r="T16" i="34"/>
  <c r="T27" i="34" s="1"/>
  <c r="T202" i="6"/>
  <c r="S29" i="82"/>
  <c r="S31" i="82" s="1"/>
  <c r="S36" i="82" s="1"/>
  <c r="S29" i="34"/>
  <c r="S28" i="34"/>
  <c r="R47" i="82"/>
  <c r="S45" i="82"/>
  <c r="S46" i="82"/>
  <c r="U239" i="6"/>
  <c r="U241" i="6"/>
  <c r="U240" i="6"/>
  <c r="U242" i="6"/>
  <c r="T78" i="6"/>
  <c r="U76" i="6"/>
  <c r="U64" i="6"/>
  <c r="U68" i="6"/>
  <c r="U66" i="6"/>
  <c r="V3" i="6"/>
  <c r="BB104" i="6"/>
  <c r="BA104" i="6"/>
  <c r="AZ104" i="6"/>
  <c r="AY104" i="6"/>
  <c r="AX104" i="6"/>
  <c r="AW104" i="6"/>
  <c r="AV104" i="6"/>
  <c r="AU104" i="6"/>
  <c r="AT104" i="6"/>
  <c r="AS104" i="6"/>
  <c r="AR104" i="6"/>
  <c r="AQ104" i="6"/>
  <c r="AP104" i="6"/>
  <c r="AO104" i="6"/>
  <c r="AN104" i="6"/>
  <c r="AM104" i="6"/>
  <c r="AL104" i="6"/>
  <c r="AK104" i="6"/>
  <c r="AJ104" i="6"/>
  <c r="AI104" i="6"/>
  <c r="AH104" i="6"/>
  <c r="AG104" i="6"/>
  <c r="AF104" i="6"/>
  <c r="AE104" i="6"/>
  <c r="AD104" i="6"/>
  <c r="AC104" i="6"/>
  <c r="AB104" i="6"/>
  <c r="U26" i="82" l="1"/>
  <c r="T80" i="6"/>
  <c r="T41" i="82"/>
  <c r="V3" i="90"/>
  <c r="T27" i="82"/>
  <c r="T30" i="82" s="1"/>
  <c r="T55" i="84"/>
  <c r="T63" i="34"/>
  <c r="V3" i="34"/>
  <c r="V3" i="84"/>
  <c r="V3" i="63"/>
  <c r="V3" i="65"/>
  <c r="V3" i="82"/>
  <c r="V3" i="87"/>
  <c r="V3" i="86"/>
  <c r="U65" i="34"/>
  <c r="U43" i="84"/>
  <c r="U25" i="84"/>
  <c r="U33" i="84"/>
  <c r="U51" i="84"/>
  <c r="U67" i="34"/>
  <c r="U29" i="84"/>
  <c r="U66" i="34"/>
  <c r="U47" i="84"/>
  <c r="U21" i="84"/>
  <c r="U64" i="34"/>
  <c r="U39" i="84"/>
  <c r="R101" i="63"/>
  <c r="U16" i="34"/>
  <c r="T17" i="34"/>
  <c r="T42" i="82" s="1"/>
  <c r="T18" i="34"/>
  <c r="R79" i="63"/>
  <c r="R16" i="90" s="1"/>
  <c r="S47" i="82"/>
  <c r="U78" i="6"/>
  <c r="V4" i="6"/>
  <c r="AB113" i="6"/>
  <c r="AR113" i="6"/>
  <c r="AR115" i="6" s="1"/>
  <c r="AR29" i="87" s="1"/>
  <c r="AR31" i="87" s="1"/>
  <c r="AZ113" i="6"/>
  <c r="AZ115" i="6" s="1"/>
  <c r="AZ29" i="87" s="1"/>
  <c r="AZ31" i="87" s="1"/>
  <c r="BA113" i="6"/>
  <c r="BA115" i="6" s="1"/>
  <c r="BA29" i="87" s="1"/>
  <c r="BA31" i="87" s="1"/>
  <c r="AF113" i="6"/>
  <c r="AN113" i="6"/>
  <c r="AV113" i="6"/>
  <c r="AV115" i="6" s="1"/>
  <c r="AV29" i="87" s="1"/>
  <c r="AV31" i="87" s="1"/>
  <c r="AJ113" i="6"/>
  <c r="AD113" i="6"/>
  <c r="AH113" i="6"/>
  <c r="AL113" i="6"/>
  <c r="AP113" i="6"/>
  <c r="AP115" i="6" s="1"/>
  <c r="AP29" i="87" s="1"/>
  <c r="AP31" i="87" s="1"/>
  <c r="AT113" i="6"/>
  <c r="AT115" i="6" s="1"/>
  <c r="AT29" i="87" s="1"/>
  <c r="AT31" i="87" s="1"/>
  <c r="AX113" i="6"/>
  <c r="AX115" i="6" s="1"/>
  <c r="AX29" i="87" s="1"/>
  <c r="AX31" i="87" s="1"/>
  <c r="BB113" i="6"/>
  <c r="AE113" i="6"/>
  <c r="AI113" i="6"/>
  <c r="AM113" i="6"/>
  <c r="AQ113" i="6"/>
  <c r="AQ115" i="6" s="1"/>
  <c r="AQ29" i="87" s="1"/>
  <c r="AQ31" i="87" s="1"/>
  <c r="AU113" i="6"/>
  <c r="AU115" i="6" s="1"/>
  <c r="AU29" i="87" s="1"/>
  <c r="AU31" i="87" s="1"/>
  <c r="AY113" i="6"/>
  <c r="AY115" i="6" s="1"/>
  <c r="AY29" i="87" s="1"/>
  <c r="AY31" i="87" s="1"/>
  <c r="AC113" i="6"/>
  <c r="AG113" i="6"/>
  <c r="AK113" i="6"/>
  <c r="AO113" i="6"/>
  <c r="AO115" i="6" s="1"/>
  <c r="AO29" i="87" s="1"/>
  <c r="AO31" i="87" s="1"/>
  <c r="AS113" i="6"/>
  <c r="AS115" i="6" s="1"/>
  <c r="AS29" i="87" s="1"/>
  <c r="AS31" i="87" s="1"/>
  <c r="AW113" i="6"/>
  <c r="AW115" i="6" s="1"/>
  <c r="AW29" i="87" s="1"/>
  <c r="AW31" i="87" s="1"/>
  <c r="U202" i="6" l="1"/>
  <c r="U80" i="6"/>
  <c r="U41" i="82"/>
  <c r="T29" i="82"/>
  <c r="T31" i="82" s="1"/>
  <c r="T36" i="82" s="1"/>
  <c r="V4" i="90"/>
  <c r="AU23" i="63"/>
  <c r="AV23" i="63"/>
  <c r="BA23" i="63"/>
  <c r="AR23" i="63"/>
  <c r="AT23" i="63"/>
  <c r="AW23" i="63"/>
  <c r="AS23" i="63"/>
  <c r="AO23" i="63"/>
  <c r="AZ23" i="63"/>
  <c r="AY23" i="63"/>
  <c r="AQ23" i="63"/>
  <c r="AX23" i="63"/>
  <c r="AP23" i="63"/>
  <c r="V4" i="63"/>
  <c r="V4" i="87"/>
  <c r="V4" i="86"/>
  <c r="V4" i="65"/>
  <c r="V4" i="84"/>
  <c r="V4" i="34"/>
  <c r="V4" i="82"/>
  <c r="T28" i="34"/>
  <c r="T29" i="34"/>
  <c r="U27" i="82"/>
  <c r="U29" i="82" s="1"/>
  <c r="U27" i="34"/>
  <c r="AI115" i="6"/>
  <c r="AI29" i="87" s="1"/>
  <c r="AI31" i="87" s="1"/>
  <c r="AH115" i="6"/>
  <c r="AH29" i="87" s="1"/>
  <c r="AH31" i="87" s="1"/>
  <c r="AL115" i="6"/>
  <c r="AL29" i="87" s="1"/>
  <c r="AL31" i="87" s="1"/>
  <c r="AD115" i="6"/>
  <c r="AD29" i="87" s="1"/>
  <c r="AD31" i="87" s="1"/>
  <c r="AG115" i="6"/>
  <c r="AG29" i="87" s="1"/>
  <c r="AG31" i="87" s="1"/>
  <c r="AC115" i="6"/>
  <c r="AC29" i="87" s="1"/>
  <c r="AC31" i="87" s="1"/>
  <c r="AJ115" i="6"/>
  <c r="AJ29" i="87" s="1"/>
  <c r="AJ31" i="87" s="1"/>
  <c r="AE115" i="6"/>
  <c r="AE29" i="87" s="1"/>
  <c r="AE31" i="87" s="1"/>
  <c r="AN115" i="6"/>
  <c r="AN29" i="87" s="1"/>
  <c r="AN31" i="87" s="1"/>
  <c r="AF115" i="6"/>
  <c r="AF29" i="87" s="1"/>
  <c r="AF31" i="87" s="1"/>
  <c r="AK115" i="6"/>
  <c r="AK29" i="87" s="1"/>
  <c r="AK31" i="87" s="1"/>
  <c r="AB115" i="6"/>
  <c r="AB29" i="87" s="1"/>
  <c r="AB31" i="87" s="1"/>
  <c r="AM115" i="6"/>
  <c r="AM29" i="87" s="1"/>
  <c r="AM31" i="87" s="1"/>
  <c r="U17" i="34"/>
  <c r="U18" i="34"/>
  <c r="BB115" i="6"/>
  <c r="BB29" i="87" s="1"/>
  <c r="BB31" i="87" s="1"/>
  <c r="S79" i="63"/>
  <c r="S16" i="90" s="1"/>
  <c r="S101" i="63"/>
  <c r="T45" i="82"/>
  <c r="T46" i="82"/>
  <c r="V239" i="6"/>
  <c r="V242" i="6"/>
  <c r="V240" i="6"/>
  <c r="V241" i="6"/>
  <c r="V76" i="6"/>
  <c r="V64" i="6"/>
  <c r="V68" i="6"/>
  <c r="V66" i="6"/>
  <c r="V26" i="82" s="1"/>
  <c r="W3" i="6"/>
  <c r="U63" i="34" l="1"/>
  <c r="U55" i="84"/>
  <c r="W3" i="90"/>
  <c r="AD23" i="63"/>
  <c r="AB23" i="63"/>
  <c r="AJ23" i="63"/>
  <c r="AK23" i="63"/>
  <c r="AC23" i="63"/>
  <c r="AI23" i="63"/>
  <c r="AF23" i="63"/>
  <c r="AN23" i="63"/>
  <c r="AE23" i="63"/>
  <c r="AG23" i="63"/>
  <c r="AH23" i="63"/>
  <c r="AM23" i="63"/>
  <c r="AL23" i="63"/>
  <c r="BB23" i="63"/>
  <c r="W3" i="82"/>
  <c r="W3" i="84"/>
  <c r="W3" i="63"/>
  <c r="W3" i="86"/>
  <c r="W3" i="65"/>
  <c r="W3" i="87"/>
  <c r="W3" i="34"/>
  <c r="V29" i="84"/>
  <c r="V66" i="34"/>
  <c r="V47" i="84"/>
  <c r="V33" i="84"/>
  <c r="V51" i="84"/>
  <c r="V67" i="34"/>
  <c r="V65" i="34"/>
  <c r="V43" i="84"/>
  <c r="V25" i="84"/>
  <c r="V21" i="84"/>
  <c r="V64" i="34"/>
  <c r="V39" i="84"/>
  <c r="U30" i="82"/>
  <c r="U31" i="82" s="1"/>
  <c r="U36" i="82" s="1"/>
  <c r="U42" i="82"/>
  <c r="U46" i="82" s="1"/>
  <c r="U28" i="34"/>
  <c r="U29" i="34"/>
  <c r="T47" i="82"/>
  <c r="W4" i="6"/>
  <c r="W4" i="90" l="1"/>
  <c r="W4" i="87"/>
  <c r="W4" i="63"/>
  <c r="W4" i="65"/>
  <c r="W4" i="86"/>
  <c r="W4" i="34"/>
  <c r="W4" i="84"/>
  <c r="W4" i="82"/>
  <c r="U45" i="82"/>
  <c r="U47" i="82" s="1"/>
  <c r="V16" i="34"/>
  <c r="T79" i="63"/>
  <c r="T16" i="90" s="1"/>
  <c r="T101" i="63"/>
  <c r="W239" i="6"/>
  <c r="W242" i="6"/>
  <c r="W240" i="6"/>
  <c r="W241" i="6"/>
  <c r="V78" i="6"/>
  <c r="V202" i="6"/>
  <c r="W76" i="6"/>
  <c r="W64" i="6"/>
  <c r="W68" i="6"/>
  <c r="W66" i="6"/>
  <c r="W26" i="82" s="1"/>
  <c r="X3" i="6"/>
  <c r="I62" i="34"/>
  <c r="V80" i="6" l="1"/>
  <c r="V41" i="82"/>
  <c r="X3" i="90"/>
  <c r="X3" i="84"/>
  <c r="X3" i="82"/>
  <c r="X3" i="63"/>
  <c r="X3" i="34"/>
  <c r="X3" i="65"/>
  <c r="X3" i="87"/>
  <c r="X3" i="86"/>
  <c r="W66" i="34"/>
  <c r="W47" i="84"/>
  <c r="W29" i="84"/>
  <c r="W43" i="84"/>
  <c r="W65" i="34"/>
  <c r="W25" i="84"/>
  <c r="W33" i="84"/>
  <c r="W51" i="84"/>
  <c r="W67" i="34"/>
  <c r="V63" i="34"/>
  <c r="V55" i="84"/>
  <c r="W21" i="84"/>
  <c r="W64" i="34"/>
  <c r="W39" i="84"/>
  <c r="V27" i="82"/>
  <c r="V29" i="82" s="1"/>
  <c r="V27" i="34"/>
  <c r="V17" i="34"/>
  <c r="V18" i="34"/>
  <c r="U79" i="63"/>
  <c r="U16" i="90" s="1"/>
  <c r="U101" i="63"/>
  <c r="X4" i="6"/>
  <c r="V42" i="82" l="1"/>
  <c r="X4" i="90"/>
  <c r="V30" i="82"/>
  <c r="V31" i="82" s="1"/>
  <c r="V36" i="82" s="1"/>
  <c r="X4" i="82"/>
  <c r="X4" i="63"/>
  <c r="X4" i="65"/>
  <c r="X4" i="86"/>
  <c r="X4" i="84"/>
  <c r="X4" i="34"/>
  <c r="X4" i="87"/>
  <c r="V29" i="34"/>
  <c r="V28" i="34"/>
  <c r="W16" i="34"/>
  <c r="V46" i="82"/>
  <c r="V45" i="82"/>
  <c r="X239" i="6"/>
  <c r="X242" i="6"/>
  <c r="X241" i="6"/>
  <c r="X240" i="6"/>
  <c r="W78" i="6"/>
  <c r="W202" i="6"/>
  <c r="X64" i="6"/>
  <c r="X76" i="6"/>
  <c r="X68" i="6"/>
  <c r="X66" i="6"/>
  <c r="X26" i="82" s="1"/>
  <c r="Y3" i="6"/>
  <c r="W80" i="6" l="1"/>
  <c r="W41" i="82"/>
  <c r="Y3" i="90"/>
  <c r="Y3" i="86"/>
  <c r="Y3" i="63"/>
  <c r="Y3" i="84"/>
  <c r="Y3" i="82"/>
  <c r="Y3" i="34"/>
  <c r="Y3" i="87"/>
  <c r="Y3" i="65"/>
  <c r="X33" i="84"/>
  <c r="X51" i="84"/>
  <c r="X67" i="34"/>
  <c r="W63" i="34"/>
  <c r="W55" i="84"/>
  <c r="X65" i="34"/>
  <c r="X43" i="84"/>
  <c r="X25" i="84"/>
  <c r="X66" i="34"/>
  <c r="X47" i="84"/>
  <c r="X29" i="84"/>
  <c r="X21" i="84"/>
  <c r="X64" i="34"/>
  <c r="X39" i="84"/>
  <c r="W27" i="82"/>
  <c r="W29" i="82" s="1"/>
  <c r="W27" i="34"/>
  <c r="W17" i="34"/>
  <c r="W42" i="82" s="1"/>
  <c r="W18" i="34"/>
  <c r="V47" i="82"/>
  <c r="Y4" i="6"/>
  <c r="I58" i="34"/>
  <c r="Y4" i="90" l="1"/>
  <c r="Y4" i="65"/>
  <c r="Y4" i="34"/>
  <c r="Y4" i="84"/>
  <c r="Y4" i="82"/>
  <c r="Y4" i="86"/>
  <c r="Y4" i="63"/>
  <c r="Y4" i="87"/>
  <c r="W30" i="82"/>
  <c r="W31" i="82" s="1"/>
  <c r="W36" i="82" s="1"/>
  <c r="W28" i="34"/>
  <c r="W29" i="34"/>
  <c r="X16" i="34"/>
  <c r="V79" i="63"/>
  <c r="V16" i="90" s="1"/>
  <c r="V101" i="63"/>
  <c r="W46" i="82"/>
  <c r="W45" i="82"/>
  <c r="Y239" i="6"/>
  <c r="Y242" i="6"/>
  <c r="Y240" i="6"/>
  <c r="Y241" i="6"/>
  <c r="X78" i="6"/>
  <c r="X202" i="6"/>
  <c r="Y76" i="6"/>
  <c r="Y64" i="6"/>
  <c r="Y68" i="6"/>
  <c r="Y66" i="6"/>
  <c r="Y26" i="82" s="1"/>
  <c r="Z3" i="6"/>
  <c r="X80" i="6" l="1"/>
  <c r="X18" i="34" s="1"/>
  <c r="X41" i="82"/>
  <c r="Z3" i="90"/>
  <c r="Z3" i="82"/>
  <c r="Z3" i="63"/>
  <c r="Z3" i="34"/>
  <c r="Z3" i="84"/>
  <c r="Z3" i="86"/>
  <c r="Z3" i="65"/>
  <c r="Z3" i="87"/>
  <c r="Y66" i="34"/>
  <c r="Y47" i="84"/>
  <c r="Y29" i="84"/>
  <c r="Y65" i="34"/>
  <c r="Y43" i="84"/>
  <c r="Y25" i="84"/>
  <c r="X63" i="34"/>
  <c r="X55" i="84"/>
  <c r="Y33" i="84"/>
  <c r="Y67" i="34"/>
  <c r="Y51" i="84"/>
  <c r="Y21" i="84"/>
  <c r="Y64" i="34"/>
  <c r="Y39" i="84"/>
  <c r="X27" i="82"/>
  <c r="X29" i="82" s="1"/>
  <c r="X27" i="34"/>
  <c r="X17" i="34"/>
  <c r="W47" i="82"/>
  <c r="Z4" i="6"/>
  <c r="Z4" i="90" l="1"/>
  <c r="Z4" i="65"/>
  <c r="Z4" i="84"/>
  <c r="Z4" i="82"/>
  <c r="Z4" i="34"/>
  <c r="Z4" i="86"/>
  <c r="Z4" i="63"/>
  <c r="Z4" i="87"/>
  <c r="X30" i="82"/>
  <c r="X31" i="82" s="1"/>
  <c r="X36" i="82" s="1"/>
  <c r="X42" i="82"/>
  <c r="X46" i="82" s="1"/>
  <c r="X29" i="34"/>
  <c r="X28" i="34"/>
  <c r="Y16" i="34"/>
  <c r="W79" i="63"/>
  <c r="W16" i="90" s="1"/>
  <c r="W101" i="63"/>
  <c r="Z239" i="6"/>
  <c r="Z240" i="6"/>
  <c r="Z242" i="6"/>
  <c r="Z241" i="6"/>
  <c r="Y78" i="6"/>
  <c r="Y202" i="6"/>
  <c r="Z64" i="6"/>
  <c r="Z76" i="6"/>
  <c r="Z68" i="6"/>
  <c r="Z66" i="6"/>
  <c r="Z26" i="82" s="1"/>
  <c r="AA3" i="6"/>
  <c r="Y80" i="6" l="1"/>
  <c r="Y41" i="82"/>
  <c r="AA3" i="90"/>
  <c r="AA3" i="63"/>
  <c r="AA3" i="82"/>
  <c r="AA3" i="84"/>
  <c r="AA3" i="34"/>
  <c r="AA3" i="65"/>
  <c r="AA3" i="86"/>
  <c r="AA3" i="87"/>
  <c r="Y55" i="84"/>
  <c r="Y63" i="34"/>
  <c r="Z47" i="84"/>
  <c r="Z66" i="34"/>
  <c r="Z29" i="84"/>
  <c r="Z33" i="84"/>
  <c r="Z67" i="34"/>
  <c r="Z51" i="84"/>
  <c r="Z43" i="84"/>
  <c r="Z65" i="34"/>
  <c r="Z25" i="84"/>
  <c r="Z21" i="84"/>
  <c r="Z64" i="34"/>
  <c r="Z39" i="84"/>
  <c r="X45" i="82"/>
  <c r="X47" i="82" s="1"/>
  <c r="Y27" i="82"/>
  <c r="Y30" i="82" s="1"/>
  <c r="Y27" i="34"/>
  <c r="Y17" i="34"/>
  <c r="Y42" i="82" s="1"/>
  <c r="Y18" i="34"/>
  <c r="AA4" i="6"/>
  <c r="AA4" i="90" l="1"/>
  <c r="Y29" i="82"/>
  <c r="Y31" i="82" s="1"/>
  <c r="Y36" i="82" s="1"/>
  <c r="AA4" i="87"/>
  <c r="AA4" i="65"/>
  <c r="AA4" i="84"/>
  <c r="AA4" i="34"/>
  <c r="AA4" i="82"/>
  <c r="AA4" i="86"/>
  <c r="AA4" i="63"/>
  <c r="Y28" i="34"/>
  <c r="Y29" i="34"/>
  <c r="Z16" i="34"/>
  <c r="X79" i="63"/>
  <c r="X16" i="90" s="1"/>
  <c r="X101" i="63"/>
  <c r="Y45" i="82"/>
  <c r="Y46" i="82"/>
  <c r="AA239" i="6"/>
  <c r="AA241" i="6"/>
  <c r="AA240" i="6"/>
  <c r="AA242" i="6"/>
  <c r="Z78" i="6"/>
  <c r="Z202" i="6"/>
  <c r="AB3" i="6"/>
  <c r="AA76" i="6"/>
  <c r="AA64" i="6"/>
  <c r="AA68" i="6"/>
  <c r="AA66" i="6"/>
  <c r="AA26" i="82" s="1"/>
  <c r="P132" i="63"/>
  <c r="P136" i="63" s="1"/>
  <c r="Q132" i="63"/>
  <c r="Q136" i="63" s="1"/>
  <c r="R132" i="63"/>
  <c r="R136" i="63" s="1"/>
  <c r="S132" i="63"/>
  <c r="S136" i="63" s="1"/>
  <c r="T132" i="63"/>
  <c r="T136" i="63" s="1"/>
  <c r="U132" i="63"/>
  <c r="U136" i="63" s="1"/>
  <c r="V132" i="63"/>
  <c r="V136" i="63" s="1"/>
  <c r="W132" i="63"/>
  <c r="W136" i="63" s="1"/>
  <c r="X132" i="63"/>
  <c r="X136" i="63" s="1"/>
  <c r="Z80" i="6" l="1"/>
  <c r="Z18" i="34" s="1"/>
  <c r="Z41" i="82"/>
  <c r="AB3" i="90"/>
  <c r="AB3" i="82"/>
  <c r="AB3" i="34"/>
  <c r="AB3" i="84"/>
  <c r="AB3" i="63"/>
  <c r="AB3" i="65"/>
  <c r="AB3" i="86"/>
  <c r="AB3" i="87"/>
  <c r="Z63" i="34"/>
  <c r="Z55" i="84"/>
  <c r="AA67" i="34"/>
  <c r="AA51" i="84"/>
  <c r="AA33" i="84"/>
  <c r="AA43" i="84"/>
  <c r="AA65" i="34"/>
  <c r="AA25" i="84"/>
  <c r="AA47" i="84"/>
  <c r="AA66" i="34"/>
  <c r="AA29" i="84"/>
  <c r="AA39" i="84"/>
  <c r="AA21" i="84"/>
  <c r="AA64" i="34"/>
  <c r="Z27" i="82"/>
  <c r="Z29" i="82" s="1"/>
  <c r="Z27" i="34"/>
  <c r="Z17" i="34"/>
  <c r="Y47" i="82"/>
  <c r="AA16" i="34"/>
  <c r="AA27" i="34" s="1"/>
  <c r="AB4" i="6"/>
  <c r="H35" i="63"/>
  <c r="H11" i="63"/>
  <c r="Z42" i="82" l="1"/>
  <c r="AB4" i="90"/>
  <c r="AB4" i="84"/>
  <c r="AB4" i="87"/>
  <c r="AB4" i="65"/>
  <c r="AB4" i="34"/>
  <c r="AB4" i="63"/>
  <c r="AB4" i="82"/>
  <c r="AB4" i="86"/>
  <c r="Z30" i="82"/>
  <c r="Z31" i="82" s="1"/>
  <c r="Z36" i="82" s="1"/>
  <c r="Z28" i="34"/>
  <c r="Z29" i="34"/>
  <c r="Y101" i="63"/>
  <c r="Y79" i="63"/>
  <c r="Y16" i="90" s="1"/>
  <c r="Z46" i="82"/>
  <c r="Z45" i="82"/>
  <c r="AA78" i="6"/>
  <c r="AA27" i="82"/>
  <c r="AB239" i="6"/>
  <c r="AB241" i="6"/>
  <c r="AB240" i="6"/>
  <c r="AB242" i="6"/>
  <c r="AB64" i="6"/>
  <c r="AB76" i="6"/>
  <c r="AB68" i="6"/>
  <c r="AB66" i="6"/>
  <c r="AB26" i="82" s="1"/>
  <c r="AC3" i="6"/>
  <c r="AA80" i="6" l="1"/>
  <c r="AA18" i="34" s="1"/>
  <c r="AA41" i="82"/>
  <c r="AC3" i="90"/>
  <c r="AC3" i="34"/>
  <c r="AC3" i="82"/>
  <c r="AC3" i="86"/>
  <c r="AC3" i="84"/>
  <c r="AC3" i="63"/>
  <c r="AC3" i="87"/>
  <c r="AC3" i="65"/>
  <c r="AB67" i="34"/>
  <c r="AB51" i="84"/>
  <c r="AB33" i="84"/>
  <c r="AB43" i="84"/>
  <c r="AB25" i="84"/>
  <c r="AB65" i="34"/>
  <c r="AB66" i="34"/>
  <c r="AB47" i="84"/>
  <c r="AB29" i="84"/>
  <c r="AB64" i="34"/>
  <c r="AB39" i="84"/>
  <c r="AB21" i="84"/>
  <c r="AA17" i="34"/>
  <c r="Z47" i="82"/>
  <c r="AA29" i="82"/>
  <c r="AA30" i="82"/>
  <c r="AB16" i="34"/>
  <c r="AB27" i="34" s="1"/>
  <c r="AC4" i="6"/>
  <c r="AA42" i="82" l="1"/>
  <c r="AC4" i="90"/>
  <c r="AC4" i="82"/>
  <c r="AC4" i="65"/>
  <c r="AC4" i="84"/>
  <c r="AC4" i="34"/>
  <c r="AC4" i="63"/>
  <c r="AC4" i="86"/>
  <c r="AC4" i="87"/>
  <c r="AA29" i="34"/>
  <c r="AA28" i="34"/>
  <c r="Z101" i="63"/>
  <c r="Z79" i="63"/>
  <c r="Z16" i="90" s="1"/>
  <c r="AA31" i="82"/>
  <c r="AA36" i="82" s="1"/>
  <c r="AA45" i="82"/>
  <c r="AA46" i="82"/>
  <c r="AB78" i="6"/>
  <c r="AB27" i="82"/>
  <c r="AC239" i="6"/>
  <c r="AC241" i="6"/>
  <c r="AC240" i="6"/>
  <c r="AC242" i="6"/>
  <c r="AC76" i="6"/>
  <c r="AC64" i="6"/>
  <c r="AC68" i="6"/>
  <c r="AC66" i="6"/>
  <c r="AC26" i="82" s="1"/>
  <c r="AD3" i="6"/>
  <c r="AB80" i="6" l="1"/>
  <c r="AB18" i="34" s="1"/>
  <c r="AB41" i="82"/>
  <c r="AD3" i="90"/>
  <c r="AD3" i="82"/>
  <c r="AD3" i="86"/>
  <c r="AD3" i="63"/>
  <c r="AD3" i="84"/>
  <c r="AD3" i="34"/>
  <c r="AD3" i="87"/>
  <c r="AD3" i="65"/>
  <c r="AC67" i="34"/>
  <c r="AC51" i="84"/>
  <c r="AC33" i="84"/>
  <c r="AC43" i="84"/>
  <c r="AC25" i="84"/>
  <c r="AC65" i="34"/>
  <c r="AC66" i="34"/>
  <c r="AC47" i="84"/>
  <c r="AC29" i="84"/>
  <c r="AC39" i="84"/>
  <c r="AC21" i="84"/>
  <c r="AC64" i="34"/>
  <c r="AB17" i="34"/>
  <c r="AA47" i="82"/>
  <c r="AB29" i="82"/>
  <c r="AB30" i="82"/>
  <c r="AC16" i="34"/>
  <c r="AC27" i="34" s="1"/>
  <c r="AD4" i="6"/>
  <c r="AM35" i="63"/>
  <c r="AS35" i="63"/>
  <c r="AA35" i="63"/>
  <c r="AH35" i="63"/>
  <c r="AL35" i="63"/>
  <c r="AE35" i="63"/>
  <c r="AN35" i="63"/>
  <c r="AD35" i="63"/>
  <c r="AC35" i="63"/>
  <c r="AO35" i="63"/>
  <c r="AG35" i="63"/>
  <c r="AQ35" i="63"/>
  <c r="AT35" i="63"/>
  <c r="AJ35" i="63"/>
  <c r="AR35" i="63"/>
  <c r="AI35" i="63"/>
  <c r="AF35" i="63"/>
  <c r="AK35" i="63"/>
  <c r="AP35" i="63"/>
  <c r="BA35" i="63"/>
  <c r="AZ35" i="63"/>
  <c r="AX35" i="63"/>
  <c r="AW35" i="63"/>
  <c r="AY35" i="63"/>
  <c r="AV35" i="63"/>
  <c r="AB42" i="82" l="1"/>
  <c r="AD4" i="90"/>
  <c r="AD4" i="87"/>
  <c r="AD4" i="34"/>
  <c r="AD4" i="82"/>
  <c r="AD4" i="63"/>
  <c r="AD4" i="84"/>
  <c r="AD4" i="65"/>
  <c r="AD4" i="86"/>
  <c r="AB28" i="34"/>
  <c r="AB29" i="34"/>
  <c r="AA79" i="63"/>
  <c r="AA16" i="90" s="1"/>
  <c r="AA101" i="63"/>
  <c r="AB31" i="82"/>
  <c r="AB36" i="82" s="1"/>
  <c r="AB45" i="82"/>
  <c r="AB46" i="82"/>
  <c r="AC78" i="6"/>
  <c r="AC27" i="82"/>
  <c r="AD239" i="6"/>
  <c r="AD241" i="6"/>
  <c r="AD242" i="6"/>
  <c r="AD240" i="6"/>
  <c r="AD76" i="6"/>
  <c r="AD64" i="6"/>
  <c r="AD68" i="6"/>
  <c r="AD66" i="6"/>
  <c r="AD26" i="82" s="1"/>
  <c r="AE3" i="6"/>
  <c r="AB35" i="63"/>
  <c r="BB35" i="63"/>
  <c r="AU35" i="63"/>
  <c r="AC80" i="6" l="1"/>
  <c r="AC18" i="34" s="1"/>
  <c r="AC41" i="82"/>
  <c r="AE3" i="90"/>
  <c r="AE3" i="65"/>
  <c r="AE3" i="63"/>
  <c r="AE3" i="86"/>
  <c r="AE3" i="84"/>
  <c r="AE3" i="34"/>
  <c r="AE3" i="82"/>
  <c r="AE3" i="87"/>
  <c r="AD67" i="34"/>
  <c r="AD51" i="84"/>
  <c r="AD33" i="84"/>
  <c r="AD25" i="84"/>
  <c r="AD65" i="34"/>
  <c r="AD43" i="84"/>
  <c r="AD66" i="34"/>
  <c r="AD47" i="84"/>
  <c r="AD29" i="84"/>
  <c r="AD64" i="34"/>
  <c r="AD39" i="84"/>
  <c r="AD21" i="84"/>
  <c r="AC17" i="34"/>
  <c r="AC29" i="82"/>
  <c r="AC30" i="82"/>
  <c r="AB47" i="82"/>
  <c r="AD16" i="34"/>
  <c r="AD27" i="34" s="1"/>
  <c r="AE4" i="6"/>
  <c r="AC42" i="82" l="1"/>
  <c r="AE4" i="90"/>
  <c r="AE4" i="82"/>
  <c r="AE4" i="34"/>
  <c r="AE4" i="63"/>
  <c r="AE4" i="84"/>
  <c r="AE4" i="65"/>
  <c r="AE4" i="86"/>
  <c r="AE4" i="87"/>
  <c r="AC28" i="34"/>
  <c r="AC29" i="34"/>
  <c r="AC31" i="82"/>
  <c r="AC36" i="82" s="1"/>
  <c r="AB79" i="63"/>
  <c r="AB16" i="90" s="1"/>
  <c r="AB101" i="63"/>
  <c r="AC45" i="82"/>
  <c r="AC46" i="82"/>
  <c r="AE239" i="6"/>
  <c r="AE241" i="6"/>
  <c r="AE242" i="6"/>
  <c r="AE240" i="6"/>
  <c r="AD78" i="6"/>
  <c r="AD27" i="82"/>
  <c r="AE76" i="6"/>
  <c r="AE64" i="6"/>
  <c r="AE68" i="6"/>
  <c r="AE66" i="6"/>
  <c r="AE26" i="82" s="1"/>
  <c r="AF3" i="6"/>
  <c r="AD80" i="6" l="1"/>
  <c r="AD18" i="34" s="1"/>
  <c r="AD41" i="82"/>
  <c r="AF3" i="90"/>
  <c r="AF3" i="84"/>
  <c r="AF3" i="34"/>
  <c r="AF3" i="63"/>
  <c r="AF3" i="82"/>
  <c r="AF3" i="87"/>
  <c r="AF3" i="86"/>
  <c r="AF3" i="65"/>
  <c r="AE25" i="84"/>
  <c r="AE65" i="34"/>
  <c r="AE43" i="84"/>
  <c r="AE67" i="34"/>
  <c r="AE51" i="84"/>
  <c r="AE33" i="84"/>
  <c r="AE66" i="34"/>
  <c r="AE47" i="84"/>
  <c r="AE29" i="84"/>
  <c r="AE39" i="84"/>
  <c r="AE64" i="34"/>
  <c r="AE21" i="84"/>
  <c r="AD17" i="34"/>
  <c r="AC47" i="82"/>
  <c r="AD29" i="82"/>
  <c r="AD30" i="82"/>
  <c r="AE16" i="34"/>
  <c r="AE27" i="34" s="1"/>
  <c r="AF4" i="6"/>
  <c r="E130" i="63"/>
  <c r="I53" i="63"/>
  <c r="G53" i="63"/>
  <c r="E53" i="63"/>
  <c r="E44" i="63"/>
  <c r="E23" i="63"/>
  <c r="AD42" i="82" l="1"/>
  <c r="AW18" i="63"/>
  <c r="AA18" i="63"/>
  <c r="AR17" i="63"/>
  <c r="V17" i="63"/>
  <c r="AM16" i="63"/>
  <c r="Q16" i="63"/>
  <c r="AH15" i="63"/>
  <c r="AV18" i="63"/>
  <c r="Z18" i="63"/>
  <c r="AQ17" i="63"/>
  <c r="U17" i="63"/>
  <c r="AL16" i="63"/>
  <c r="P16" i="63"/>
  <c r="AG15" i="63"/>
  <c r="AU18" i="63"/>
  <c r="Y18" i="63"/>
  <c r="AP17" i="63"/>
  <c r="T17" i="63"/>
  <c r="AK16" i="63"/>
  <c r="BB15" i="63"/>
  <c r="AF15" i="63"/>
  <c r="AT18" i="63"/>
  <c r="X18" i="63"/>
  <c r="AO17" i="63"/>
  <c r="S17" i="63"/>
  <c r="AJ16" i="63"/>
  <c r="BA15" i="63"/>
  <c r="AE15" i="63"/>
  <c r="AS18" i="63"/>
  <c r="W18" i="63"/>
  <c r="AN17" i="63"/>
  <c r="R17" i="63"/>
  <c r="AI16" i="63"/>
  <c r="AZ15" i="63"/>
  <c r="AD15" i="63"/>
  <c r="AR18" i="63"/>
  <c r="V18" i="63"/>
  <c r="AM17" i="63"/>
  <c r="Q17" i="63"/>
  <c r="AH16" i="63"/>
  <c r="AY15" i="63"/>
  <c r="AC15" i="63"/>
  <c r="AQ18" i="63"/>
  <c r="U18" i="63"/>
  <c r="AL17" i="63"/>
  <c r="P17" i="63"/>
  <c r="AG16" i="63"/>
  <c r="AX15" i="63"/>
  <c r="AB15" i="63"/>
  <c r="AP18" i="63"/>
  <c r="T18" i="63"/>
  <c r="AK17" i="63"/>
  <c r="BB16" i="63"/>
  <c r="AF16" i="63"/>
  <c r="AW15" i="63"/>
  <c r="AA15" i="63"/>
  <c r="AO18" i="63"/>
  <c r="S18" i="63"/>
  <c r="AJ17" i="63"/>
  <c r="BA16" i="63"/>
  <c r="AE16" i="63"/>
  <c r="AV15" i="63"/>
  <c r="Z15" i="63"/>
  <c r="AN18" i="63"/>
  <c r="AI17" i="63"/>
  <c r="R18" i="63"/>
  <c r="AY18" i="63"/>
  <c r="AV17" i="63"/>
  <c r="AT16" i="63"/>
  <c r="AS15" i="63"/>
  <c r="AX18" i="63"/>
  <c r="AU17" i="63"/>
  <c r="AS16" i="63"/>
  <c r="AR15" i="63"/>
  <c r="AM18" i="63"/>
  <c r="AT17" i="63"/>
  <c r="AR16" i="63"/>
  <c r="AQ15" i="63"/>
  <c r="AL18" i="63"/>
  <c r="AS17" i="63"/>
  <c r="AQ16" i="63"/>
  <c r="AP15" i="63"/>
  <c r="AK18" i="63"/>
  <c r="AH17" i="63"/>
  <c r="AO15" i="63"/>
  <c r="AG17" i="63"/>
  <c r="AO16" i="63"/>
  <c r="AN15" i="63"/>
  <c r="AN16" i="63"/>
  <c r="AL15" i="63"/>
  <c r="AG18" i="63"/>
  <c r="AK15" i="63"/>
  <c r="AF18" i="63"/>
  <c r="AC17" i="63"/>
  <c r="AJ15" i="63"/>
  <c r="AA16" i="63"/>
  <c r="AA17" i="63"/>
  <c r="Y15" i="63"/>
  <c r="AC18" i="63"/>
  <c r="Z17" i="63"/>
  <c r="Y16" i="63"/>
  <c r="X15" i="63"/>
  <c r="Y17" i="63"/>
  <c r="X16" i="63"/>
  <c r="W16" i="63"/>
  <c r="P18" i="63"/>
  <c r="V16" i="63"/>
  <c r="BB17" i="63"/>
  <c r="U16" i="63"/>
  <c r="T15" i="63"/>
  <c r="BA17" i="63"/>
  <c r="AX16" i="63"/>
  <c r="S16" i="63"/>
  <c r="BB18" i="63"/>
  <c r="AW16" i="63"/>
  <c r="Q15" i="63"/>
  <c r="AX17" i="63"/>
  <c r="AZ18" i="63"/>
  <c r="AU16" i="63"/>
  <c r="AT15" i="63"/>
  <c r="AP16" i="63"/>
  <c r="AJ18" i="63"/>
  <c r="AI18" i="63"/>
  <c r="AF17" i="63"/>
  <c r="AM15" i="63"/>
  <c r="AH18" i="63"/>
  <c r="AE17" i="63"/>
  <c r="AD16" i="63"/>
  <c r="AD17" i="63"/>
  <c r="AC16" i="63"/>
  <c r="AB16" i="63"/>
  <c r="AE18" i="63"/>
  <c r="AB17" i="63"/>
  <c r="AI15" i="63"/>
  <c r="AD18" i="63"/>
  <c r="Z16" i="63"/>
  <c r="AB18" i="63"/>
  <c r="W15" i="63"/>
  <c r="Q18" i="63"/>
  <c r="X17" i="63"/>
  <c r="V15" i="63"/>
  <c r="W17" i="63"/>
  <c r="U15" i="63"/>
  <c r="AZ16" i="63"/>
  <c r="AY16" i="63"/>
  <c r="T16" i="63"/>
  <c r="S15" i="63"/>
  <c r="R15" i="63"/>
  <c r="AY17" i="63"/>
  <c r="R16" i="63"/>
  <c r="BA18" i="63"/>
  <c r="AV16" i="63"/>
  <c r="AU15" i="63"/>
  <c r="P15" i="63"/>
  <c r="AW17" i="63"/>
  <c r="AZ17" i="63"/>
  <c r="AF4" i="90"/>
  <c r="AF4" i="34"/>
  <c r="AF4" i="86"/>
  <c r="AF4" i="87"/>
  <c r="AF4" i="84"/>
  <c r="AF4" i="82"/>
  <c r="AF4" i="63"/>
  <c r="AF4" i="65"/>
  <c r="AD28" i="34"/>
  <c r="AD29" i="34"/>
  <c r="AC101" i="63"/>
  <c r="AD31" i="82"/>
  <c r="AD36" i="82" s="1"/>
  <c r="AC79" i="63"/>
  <c r="AC16" i="90" s="1"/>
  <c r="AD46" i="82"/>
  <c r="AD45" i="82"/>
  <c r="AF242" i="6"/>
  <c r="AF241" i="6"/>
  <c r="AF240" i="6"/>
  <c r="AE78" i="6"/>
  <c r="AE27" i="82"/>
  <c r="AG3" i="6"/>
  <c r="AF64" i="6"/>
  <c r="AF76" i="6"/>
  <c r="AF68" i="6"/>
  <c r="AF66" i="6"/>
  <c r="AF26" i="82" s="1"/>
  <c r="T54" i="63"/>
  <c r="AW54" i="63"/>
  <c r="AG54" i="63"/>
  <c r="U54" i="63"/>
  <c r="AO54" i="63"/>
  <c r="BA54" i="63"/>
  <c r="AK54" i="63"/>
  <c r="Y54" i="63"/>
  <c r="AT54" i="63"/>
  <c r="AD54" i="63"/>
  <c r="S54" i="63"/>
  <c r="AX54" i="63"/>
  <c r="AC54" i="63"/>
  <c r="AS54" i="63"/>
  <c r="W54" i="63"/>
  <c r="Q54" i="63"/>
  <c r="AH54" i="63"/>
  <c r="AB54" i="63"/>
  <c r="AR54" i="63"/>
  <c r="AV54" i="63"/>
  <c r="V54" i="63"/>
  <c r="AP54" i="63"/>
  <c r="AA54" i="63"/>
  <c r="AQ54" i="63"/>
  <c r="BB54" i="63"/>
  <c r="AJ54" i="63"/>
  <c r="AZ54" i="63"/>
  <c r="AE54" i="63"/>
  <c r="AU54" i="63"/>
  <c r="AF54" i="63"/>
  <c r="AI54" i="63"/>
  <c r="AY54" i="63"/>
  <c r="P54" i="63"/>
  <c r="X54" i="63"/>
  <c r="AN54" i="63"/>
  <c r="R54" i="63"/>
  <c r="Z54" i="63"/>
  <c r="AM54" i="63"/>
  <c r="AL54" i="63"/>
  <c r="AE80" i="6" l="1"/>
  <c r="AE18" i="34" s="1"/>
  <c r="AE41" i="82"/>
  <c r="AG3" i="90"/>
  <c r="AG3" i="65"/>
  <c r="AG3" i="86"/>
  <c r="AG3" i="34"/>
  <c r="AG3" i="84"/>
  <c r="AG3" i="63"/>
  <c r="AG3" i="82"/>
  <c r="AG3" i="87"/>
  <c r="AF51" i="84"/>
  <c r="AF67" i="34"/>
  <c r="AF33" i="84"/>
  <c r="AF47" i="84"/>
  <c r="AF66" i="34"/>
  <c r="AF29" i="84"/>
  <c r="AF25" i="84"/>
  <c r="AF43" i="84"/>
  <c r="AF65" i="34"/>
  <c r="AE17" i="34"/>
  <c r="AE42" i="82" s="1"/>
  <c r="AF16" i="34"/>
  <c r="AE29" i="82"/>
  <c r="AE30" i="82"/>
  <c r="AG4" i="6"/>
  <c r="AD47" i="82"/>
  <c r="AF78" i="6"/>
  <c r="P45" i="63"/>
  <c r="P138" i="63"/>
  <c r="P140" i="63" s="1"/>
  <c r="U45" i="63"/>
  <c r="U138" i="63"/>
  <c r="U140" i="63" s="1"/>
  <c r="AF80" i="6" l="1"/>
  <c r="AF41" i="82"/>
  <c r="AG4" i="90"/>
  <c r="P56" i="90"/>
  <c r="P45" i="90"/>
  <c r="U45" i="90"/>
  <c r="U56" i="90"/>
  <c r="AG4" i="34"/>
  <c r="AG4" i="87"/>
  <c r="AG4" i="82"/>
  <c r="AG4" i="63"/>
  <c r="AG4" i="86"/>
  <c r="AG4" i="84"/>
  <c r="AG4" i="65"/>
  <c r="AF27" i="82"/>
  <c r="AF30" i="82" s="1"/>
  <c r="AF27" i="34"/>
  <c r="AE29" i="34"/>
  <c r="AE28" i="34"/>
  <c r="AF17" i="34"/>
  <c r="AF42" i="82" s="1"/>
  <c r="AF18" i="34"/>
  <c r="AE31" i="82"/>
  <c r="AE36" i="82" s="1"/>
  <c r="AG64" i="6"/>
  <c r="AG76" i="6"/>
  <c r="AG66" i="6"/>
  <c r="AG26" i="82" s="1"/>
  <c r="AG68" i="6"/>
  <c r="AF239" i="6" s="1"/>
  <c r="AD79" i="63"/>
  <c r="AD16" i="90" s="1"/>
  <c r="AD101" i="63"/>
  <c r="AE45" i="82"/>
  <c r="AE46" i="82"/>
  <c r="AG242" i="6"/>
  <c r="AH3" i="6"/>
  <c r="AG240" i="6"/>
  <c r="AG241" i="6"/>
  <c r="AH3" i="90" l="1"/>
  <c r="AF29" i="82"/>
  <c r="AF31" i="82" s="1"/>
  <c r="AF36" i="82" s="1"/>
  <c r="AH3" i="86"/>
  <c r="AH3" i="34"/>
  <c r="AH3" i="63"/>
  <c r="AH3" i="65"/>
  <c r="AH3" i="84"/>
  <c r="AH3" i="82"/>
  <c r="AH3" i="87"/>
  <c r="AG47" i="84"/>
  <c r="AG29" i="84"/>
  <c r="AG66" i="34"/>
  <c r="AG67" i="34"/>
  <c r="AG51" i="84"/>
  <c r="AG33" i="84"/>
  <c r="AG25" i="84"/>
  <c r="AG43" i="84"/>
  <c r="AG65" i="34"/>
  <c r="AF39" i="84"/>
  <c r="AF64" i="34"/>
  <c r="AF21" i="84"/>
  <c r="AF28" i="34"/>
  <c r="AF29" i="34"/>
  <c r="AG16" i="34"/>
  <c r="AG78" i="6"/>
  <c r="AH4" i="6"/>
  <c r="AE47" i="82"/>
  <c r="AF46" i="82"/>
  <c r="AF45" i="82"/>
  <c r="AG80" i="6" l="1"/>
  <c r="AG18" i="34" s="1"/>
  <c r="AG41" i="82"/>
  <c r="AH4" i="90"/>
  <c r="AH4" i="34"/>
  <c r="AH4" i="84"/>
  <c r="AH4" i="87"/>
  <c r="AH4" i="82"/>
  <c r="AH4" i="63"/>
  <c r="AH4" i="86"/>
  <c r="AH4" i="65"/>
  <c r="AG27" i="82"/>
  <c r="AG29" i="82" s="1"/>
  <c r="AG27" i="34"/>
  <c r="AG17" i="34"/>
  <c r="AH66" i="6"/>
  <c r="AH26" i="82" s="1"/>
  <c r="AI3" i="6"/>
  <c r="AH68" i="6"/>
  <c r="AG239" i="6" s="1"/>
  <c r="AH76" i="6"/>
  <c r="AH64" i="6"/>
  <c r="AH241" i="6"/>
  <c r="AH242" i="6"/>
  <c r="AH240" i="6"/>
  <c r="AE79" i="63"/>
  <c r="AE16" i="90" s="1"/>
  <c r="AE101" i="63"/>
  <c r="AF47" i="82"/>
  <c r="AH78" i="6" l="1"/>
  <c r="AI3" i="90"/>
  <c r="AI3" i="63"/>
  <c r="AI3" i="86"/>
  <c r="AI3" i="84"/>
  <c r="AI3" i="34"/>
  <c r="AI3" i="82"/>
  <c r="AI3" i="87"/>
  <c r="AI3" i="65"/>
  <c r="AH25" i="84"/>
  <c r="AH43" i="84"/>
  <c r="AH65" i="34"/>
  <c r="AH67" i="34"/>
  <c r="AH51" i="84"/>
  <c r="AH33" i="84"/>
  <c r="AH29" i="84"/>
  <c r="AH66" i="34"/>
  <c r="AH47" i="84"/>
  <c r="AG21" i="84"/>
  <c r="AG64" i="34"/>
  <c r="AG39" i="84"/>
  <c r="AG30" i="82"/>
  <c r="AG31" i="82" s="1"/>
  <c r="AG36" i="82" s="1"/>
  <c r="AG42" i="82"/>
  <c r="AG45" i="82" s="1"/>
  <c r="AG29" i="34"/>
  <c r="AG28" i="34"/>
  <c r="AI4" i="6"/>
  <c r="AI242" i="6" s="1"/>
  <c r="AH16" i="34"/>
  <c r="AF79" i="63"/>
  <c r="AF16" i="90" s="1"/>
  <c r="AF101" i="63"/>
  <c r="AI241" i="6"/>
  <c r="AI76" i="6"/>
  <c r="AI64" i="6"/>
  <c r="AI68" i="6"/>
  <c r="AH239" i="6" s="1"/>
  <c r="AI66" i="6"/>
  <c r="AI26" i="82" s="1"/>
  <c r="AJ3" i="6"/>
  <c r="AH17" i="34" l="1"/>
  <c r="AH28" i="34" s="1"/>
  <c r="AH41" i="82"/>
  <c r="AH42" i="82" s="1"/>
  <c r="AH45" i="82" s="1"/>
  <c r="AH80" i="6"/>
  <c r="AH18" i="34" s="1"/>
  <c r="AH29" i="34" s="1"/>
  <c r="AI240" i="6"/>
  <c r="AI25" i="84" s="1"/>
  <c r="AJ3" i="90"/>
  <c r="AI4" i="90"/>
  <c r="AJ3" i="34"/>
  <c r="AJ3" i="65"/>
  <c r="AJ3" i="63"/>
  <c r="AJ3" i="84"/>
  <c r="AJ3" i="87"/>
  <c r="AJ3" i="86"/>
  <c r="AJ3" i="82"/>
  <c r="AG46" i="82"/>
  <c r="AG47" i="82" s="1"/>
  <c r="AI4" i="87"/>
  <c r="AI4" i="84"/>
  <c r="AI4" i="34"/>
  <c r="AI4" i="82"/>
  <c r="AI4" i="63"/>
  <c r="AI4" i="86"/>
  <c r="AI4" i="65"/>
  <c r="AI29" i="84"/>
  <c r="AI47" i="84"/>
  <c r="AI66" i="34"/>
  <c r="AI67" i="34"/>
  <c r="AI51" i="84"/>
  <c r="AI33" i="84"/>
  <c r="AH64" i="34"/>
  <c r="AH39" i="84"/>
  <c r="AH21" i="84"/>
  <c r="AH27" i="82"/>
  <c r="AH29" i="82" s="1"/>
  <c r="AH27" i="34"/>
  <c r="AI16" i="34"/>
  <c r="AI78" i="6"/>
  <c r="AJ4" i="6"/>
  <c r="AI43" i="84" l="1"/>
  <c r="AI65" i="34"/>
  <c r="AI80" i="6"/>
  <c r="AI41" i="82"/>
  <c r="AH46" i="82"/>
  <c r="AH47" i="82" s="1"/>
  <c r="AJ4" i="90"/>
  <c r="AG79" i="63"/>
  <c r="AG16" i="90" s="1"/>
  <c r="AH30" i="82"/>
  <c r="AH31" i="82" s="1"/>
  <c r="AH36" i="82" s="1"/>
  <c r="AJ4" i="65"/>
  <c r="AJ4" i="63"/>
  <c r="AJ4" i="86"/>
  <c r="AJ4" i="82"/>
  <c r="AJ4" i="84"/>
  <c r="AJ4" i="34"/>
  <c r="AJ4" i="87"/>
  <c r="AI27" i="82"/>
  <c r="AI29" i="82" s="1"/>
  <c r="AI27" i="34"/>
  <c r="AG101" i="63"/>
  <c r="AI17" i="34"/>
  <c r="AI42" i="82" s="1"/>
  <c r="AI18" i="34"/>
  <c r="AJ242" i="6"/>
  <c r="AJ240" i="6"/>
  <c r="AJ241" i="6"/>
  <c r="AJ64" i="6"/>
  <c r="AJ76" i="6"/>
  <c r="AJ68" i="6"/>
  <c r="AI239" i="6" s="1"/>
  <c r="AJ66" i="6"/>
  <c r="AJ26" i="82" s="1"/>
  <c r="AK3" i="6"/>
  <c r="AK3" i="90" l="1"/>
  <c r="AK3" i="65"/>
  <c r="AK3" i="63"/>
  <c r="AK3" i="84"/>
  <c r="AK3" i="86"/>
  <c r="AK3" i="34"/>
  <c r="AK3" i="82"/>
  <c r="AK3" i="87"/>
  <c r="AJ29" i="84"/>
  <c r="AJ66" i="34"/>
  <c r="AJ47" i="84"/>
  <c r="AJ67" i="34"/>
  <c r="AJ51" i="84"/>
  <c r="AJ33" i="84"/>
  <c r="AJ25" i="84"/>
  <c r="AJ65" i="34"/>
  <c r="AJ43" i="84"/>
  <c r="AI64" i="34"/>
  <c r="AI39" i="84"/>
  <c r="AI21" i="84"/>
  <c r="AI30" i="82"/>
  <c r="AI31" i="82" s="1"/>
  <c r="AI36" i="82" s="1"/>
  <c r="AI29" i="34"/>
  <c r="AI28" i="34"/>
  <c r="AJ16" i="34"/>
  <c r="AH79" i="63"/>
  <c r="AH16" i="90" s="1"/>
  <c r="AH101" i="63"/>
  <c r="AI45" i="82"/>
  <c r="AI46" i="82"/>
  <c r="AJ78" i="6"/>
  <c r="AK4" i="6"/>
  <c r="AJ80" i="6" l="1"/>
  <c r="AJ18" i="34" s="1"/>
  <c r="AJ41" i="82"/>
  <c r="AK4" i="90"/>
  <c r="AK4" i="86"/>
  <c r="AK4" i="84"/>
  <c r="AK4" i="34"/>
  <c r="AK4" i="82"/>
  <c r="AK4" i="63"/>
  <c r="AK4" i="87"/>
  <c r="AK4" i="65"/>
  <c r="AJ27" i="82"/>
  <c r="AJ29" i="82" s="1"/>
  <c r="AJ27" i="34"/>
  <c r="AJ17" i="34"/>
  <c r="AJ42" i="82" s="1"/>
  <c r="AI47" i="82"/>
  <c r="AK242" i="6"/>
  <c r="AK240" i="6"/>
  <c r="AK241" i="6"/>
  <c r="AK76" i="6"/>
  <c r="AK64" i="6"/>
  <c r="AK68" i="6"/>
  <c r="AJ239" i="6" s="1"/>
  <c r="AK66" i="6"/>
  <c r="AL3" i="6"/>
  <c r="AK26" i="82" l="1"/>
  <c r="AL3" i="90"/>
  <c r="AJ30" i="82"/>
  <c r="AJ31" i="82" s="1"/>
  <c r="AJ36" i="82" s="1"/>
  <c r="AL3" i="65"/>
  <c r="AL3" i="63"/>
  <c r="AL3" i="87"/>
  <c r="AL3" i="82"/>
  <c r="AL3" i="86"/>
  <c r="AL3" i="34"/>
  <c r="AL3" i="84"/>
  <c r="AK29" i="84"/>
  <c r="AK47" i="84"/>
  <c r="AK66" i="34"/>
  <c r="AK25" i="84"/>
  <c r="AK65" i="34"/>
  <c r="AK43" i="84"/>
  <c r="AK67" i="34"/>
  <c r="AK51" i="84"/>
  <c r="AK33" i="84"/>
  <c r="AJ21" i="84"/>
  <c r="AJ64" i="34"/>
  <c r="AJ39" i="84"/>
  <c r="AJ29" i="34"/>
  <c r="AJ28" i="34"/>
  <c r="AI79" i="63"/>
  <c r="AI16" i="90" s="1"/>
  <c r="AI101" i="63"/>
  <c r="AJ45" i="82"/>
  <c r="AJ46" i="82"/>
  <c r="AK202" i="6"/>
  <c r="AK27" i="82"/>
  <c r="AK78" i="6"/>
  <c r="AL4" i="6"/>
  <c r="AL80" i="6" s="1"/>
  <c r="AK16" i="34" l="1"/>
  <c r="AK27" i="34" s="1"/>
  <c r="AK80" i="6"/>
  <c r="AK18" i="34" s="1"/>
  <c r="AK41" i="82"/>
  <c r="AL4" i="90"/>
  <c r="AL4" i="84"/>
  <c r="AL4" i="34"/>
  <c r="AL4" i="65"/>
  <c r="AL4" i="63"/>
  <c r="AL4" i="82"/>
  <c r="AL4" i="87"/>
  <c r="AL4" i="86"/>
  <c r="AK63" i="34"/>
  <c r="AK55" i="84"/>
  <c r="AK17" i="34"/>
  <c r="AJ47" i="82"/>
  <c r="AK29" i="82"/>
  <c r="AK30" i="82"/>
  <c r="AL241" i="6"/>
  <c r="AL240" i="6"/>
  <c r="AL242" i="6"/>
  <c r="AL76" i="6"/>
  <c r="AL64" i="6"/>
  <c r="AL68" i="6"/>
  <c r="AK239" i="6" s="1"/>
  <c r="AL66" i="6"/>
  <c r="AL26" i="82" s="1"/>
  <c r="AM3" i="6"/>
  <c r="AK42" i="82" l="1"/>
  <c r="AM3" i="90"/>
  <c r="AM3" i="87"/>
  <c r="AM3" i="63"/>
  <c r="AM3" i="82"/>
  <c r="AM3" i="86"/>
  <c r="AM3" i="65"/>
  <c r="AM3" i="34"/>
  <c r="AM3" i="84"/>
  <c r="AL25" i="84"/>
  <c r="AL65" i="34"/>
  <c r="AL43" i="84"/>
  <c r="AL29" i="84"/>
  <c r="AL47" i="84"/>
  <c r="AL66" i="34"/>
  <c r="AL33" i="84"/>
  <c r="AL51" i="84"/>
  <c r="AL67" i="34"/>
  <c r="AK21" i="84"/>
  <c r="AK64" i="34"/>
  <c r="AK39" i="84"/>
  <c r="AK29" i="34"/>
  <c r="AK28" i="34"/>
  <c r="AL16" i="34"/>
  <c r="AJ79" i="63"/>
  <c r="AJ16" i="90" s="1"/>
  <c r="AJ101" i="63"/>
  <c r="AK45" i="82"/>
  <c r="AK46" i="82"/>
  <c r="AK31" i="82"/>
  <c r="AK36" i="82" s="1"/>
  <c r="AL78" i="6"/>
  <c r="AL41" i="82" s="1"/>
  <c r="AM4" i="6"/>
  <c r="AM80" i="6" s="1"/>
  <c r="AM4" i="90" l="1"/>
  <c r="AM4" i="86"/>
  <c r="AM4" i="34"/>
  <c r="AM4" i="82"/>
  <c r="AM4" i="65"/>
  <c r="AM4" i="87"/>
  <c r="AM4" i="63"/>
  <c r="AM4" i="84"/>
  <c r="AL27" i="82"/>
  <c r="AL30" i="82" s="1"/>
  <c r="AL27" i="34"/>
  <c r="AL17" i="34"/>
  <c r="AL42" i="82" s="1"/>
  <c r="AL18" i="34"/>
  <c r="AM18" i="34"/>
  <c r="AK47" i="82"/>
  <c r="AM239" i="6"/>
  <c r="AM241" i="6"/>
  <c r="AM242" i="6"/>
  <c r="AM240" i="6"/>
  <c r="AM76" i="6"/>
  <c r="AM64" i="6"/>
  <c r="AM68" i="6"/>
  <c r="AL239" i="6" s="1"/>
  <c r="AM66" i="6"/>
  <c r="AM26" i="82" s="1"/>
  <c r="AN3" i="6"/>
  <c r="AN3" i="90" l="1"/>
  <c r="AL29" i="82"/>
  <c r="AL31" i="82" s="1"/>
  <c r="AL36" i="82" s="1"/>
  <c r="AN3" i="87"/>
  <c r="AN3" i="65"/>
  <c r="AN3" i="34"/>
  <c r="AN3" i="63"/>
  <c r="AN3" i="86"/>
  <c r="AN3" i="82"/>
  <c r="AN3" i="84"/>
  <c r="AM25" i="84"/>
  <c r="AM65" i="34"/>
  <c r="AM43" i="84"/>
  <c r="AM33" i="84"/>
  <c r="AM51" i="84"/>
  <c r="AM67" i="34"/>
  <c r="AM29" i="84"/>
  <c r="AM47" i="84"/>
  <c r="AM66" i="34"/>
  <c r="AL64" i="34"/>
  <c r="AL39" i="84"/>
  <c r="AL21" i="84"/>
  <c r="AM64" i="34"/>
  <c r="AM39" i="84"/>
  <c r="AM21" i="84"/>
  <c r="AL29" i="34"/>
  <c r="AL28" i="34"/>
  <c r="AK101" i="63"/>
  <c r="AM16" i="34"/>
  <c r="AK79" i="63"/>
  <c r="AK16" i="90" s="1"/>
  <c r="AL46" i="82"/>
  <c r="AL45" i="82"/>
  <c r="AM78" i="6"/>
  <c r="AN4" i="6"/>
  <c r="AN80" i="6" s="1"/>
  <c r="AM17" i="34" l="1"/>
  <c r="AM41" i="82"/>
  <c r="AN4" i="90"/>
  <c r="AN4" i="82"/>
  <c r="AN4" i="34"/>
  <c r="AN4" i="65"/>
  <c r="AN4" i="63"/>
  <c r="AN4" i="87"/>
  <c r="AN4" i="86"/>
  <c r="AN4" i="84"/>
  <c r="AM29" i="34"/>
  <c r="AM28" i="34"/>
  <c r="AM27" i="82"/>
  <c r="AM29" i="82" s="1"/>
  <c r="AM27" i="34"/>
  <c r="AN18" i="34"/>
  <c r="AL47" i="82"/>
  <c r="AM42" i="82"/>
  <c r="AN239" i="6"/>
  <c r="AN242" i="6"/>
  <c r="AN241" i="6"/>
  <c r="AN240" i="6"/>
  <c r="AN64" i="6"/>
  <c r="AN76" i="6"/>
  <c r="AN68" i="6"/>
  <c r="AN66" i="6"/>
  <c r="AN26" i="82" s="1"/>
  <c r="AO3" i="6"/>
  <c r="AO3" i="90" l="1"/>
  <c r="AM30" i="82"/>
  <c r="AM31" i="82" s="1"/>
  <c r="AM36" i="82" s="1"/>
  <c r="AO3" i="82"/>
  <c r="AO3" i="65"/>
  <c r="AO3" i="63"/>
  <c r="AO3" i="86"/>
  <c r="AO3" i="87"/>
  <c r="AO3" i="34"/>
  <c r="AO3" i="84"/>
  <c r="AN25" i="84"/>
  <c r="AN65" i="34"/>
  <c r="AN43" i="84"/>
  <c r="AN29" i="84"/>
  <c r="AN47" i="84"/>
  <c r="AN66" i="34"/>
  <c r="AN33" i="84"/>
  <c r="AN51" i="84"/>
  <c r="AN67" i="34"/>
  <c r="AN64" i="34"/>
  <c r="AN39" i="84"/>
  <c r="AN21" i="84"/>
  <c r="AN16" i="34"/>
  <c r="AL79" i="63"/>
  <c r="AL16" i="90" s="1"/>
  <c r="AL101" i="63"/>
  <c r="AM46" i="82"/>
  <c r="AM45" i="82"/>
  <c r="AO4" i="6"/>
  <c r="AO80" i="6" s="1"/>
  <c r="AO4" i="90" l="1"/>
  <c r="AN78" i="6"/>
  <c r="AO4" i="34"/>
  <c r="AO4" i="65"/>
  <c r="AO4" i="63"/>
  <c r="AO4" i="82"/>
  <c r="AO4" i="86"/>
  <c r="AO4" i="87"/>
  <c r="AO4" i="84"/>
  <c r="AN27" i="82"/>
  <c r="AN30" i="82" s="1"/>
  <c r="AN27" i="34"/>
  <c r="AO18" i="34"/>
  <c r="AM47" i="82"/>
  <c r="AO239" i="6"/>
  <c r="AO240" i="6"/>
  <c r="AO241" i="6"/>
  <c r="AO242" i="6"/>
  <c r="AO76" i="6"/>
  <c r="AO64" i="6"/>
  <c r="AO68" i="6"/>
  <c r="AO66" i="6"/>
  <c r="AO26" i="82" s="1"/>
  <c r="AP3" i="6"/>
  <c r="AN17" i="34" l="1"/>
  <c r="AN29" i="34" s="1"/>
  <c r="AN41" i="82"/>
  <c r="AN42" i="82" s="1"/>
  <c r="AN46" i="82" s="1"/>
  <c r="AN29" i="82"/>
  <c r="AN31" i="82" s="1"/>
  <c r="AN36" i="82" s="1"/>
  <c r="AP3" i="90"/>
  <c r="AP3" i="65"/>
  <c r="AP3" i="87"/>
  <c r="AP3" i="34"/>
  <c r="AP3" i="63"/>
  <c r="AP3" i="86"/>
  <c r="AP3" i="82"/>
  <c r="AP3" i="84"/>
  <c r="AO33" i="84"/>
  <c r="AO51" i="84"/>
  <c r="AO67" i="34"/>
  <c r="AO29" i="84"/>
  <c r="AO66" i="34"/>
  <c r="AO47" i="84"/>
  <c r="AO65" i="34"/>
  <c r="AO43" i="84"/>
  <c r="AO25" i="84"/>
  <c r="AO39" i="84"/>
  <c r="AO64" i="34"/>
  <c r="AO21" i="84"/>
  <c r="AM79" i="63"/>
  <c r="AM16" i="90" s="1"/>
  <c r="AO16" i="34"/>
  <c r="AM101" i="63"/>
  <c r="AO78" i="6"/>
  <c r="AP4" i="6"/>
  <c r="AP80" i="6" s="1"/>
  <c r="AO27" i="82" l="1"/>
  <c r="AO27" i="34"/>
  <c r="AN28" i="34"/>
  <c r="AO17" i="34"/>
  <c r="AO41" i="82"/>
  <c r="AO42" i="82" s="1"/>
  <c r="AN45" i="82"/>
  <c r="AN47" i="82" s="1"/>
  <c r="AP4" i="90"/>
  <c r="AP4" i="65"/>
  <c r="AP4" i="84"/>
  <c r="AP4" i="34"/>
  <c r="AP4" i="82"/>
  <c r="AP4" i="87"/>
  <c r="AP4" i="86"/>
  <c r="AP4" i="63"/>
  <c r="AO30" i="82"/>
  <c r="AO29" i="82"/>
  <c r="AP18" i="34"/>
  <c r="AP239" i="6"/>
  <c r="AP241" i="6"/>
  <c r="AP240" i="6"/>
  <c r="AP242" i="6"/>
  <c r="AP64" i="6"/>
  <c r="AP76" i="6"/>
  <c r="AP68" i="6"/>
  <c r="AP66" i="6"/>
  <c r="AP26" i="82" s="1"/>
  <c r="AQ3" i="6"/>
  <c r="AO31" i="82" l="1"/>
  <c r="AO36" i="82" s="1"/>
  <c r="AO28" i="34"/>
  <c r="AO29" i="34"/>
  <c r="AQ3" i="90"/>
  <c r="AN79" i="63"/>
  <c r="AN16" i="90" s="1"/>
  <c r="AN101" i="63"/>
  <c r="AQ3" i="87"/>
  <c r="AQ3" i="34"/>
  <c r="AQ3" i="65"/>
  <c r="AQ3" i="86"/>
  <c r="AQ3" i="63"/>
  <c r="AQ3" i="82"/>
  <c r="AQ3" i="84"/>
  <c r="AP33" i="84"/>
  <c r="AP51" i="84"/>
  <c r="AP67" i="34"/>
  <c r="AP29" i="84"/>
  <c r="AP66" i="34"/>
  <c r="AP47" i="84"/>
  <c r="AP65" i="34"/>
  <c r="AP43" i="84"/>
  <c r="AP25" i="84"/>
  <c r="AP64" i="34"/>
  <c r="AP39" i="84"/>
  <c r="AP21" i="84"/>
  <c r="AP16" i="34"/>
  <c r="AP27" i="82" s="1"/>
  <c r="AO45" i="82"/>
  <c r="AO46" i="82"/>
  <c r="AO47" i="82" s="1"/>
  <c r="AP78" i="6"/>
  <c r="AQ4" i="6"/>
  <c r="AQ80" i="6" s="1"/>
  <c r="AP17" i="34" l="1"/>
  <c r="AP41" i="82"/>
  <c r="AQ4" i="90"/>
  <c r="AQ4" i="65"/>
  <c r="AQ4" i="63"/>
  <c r="AQ4" i="87"/>
  <c r="AQ4" i="84"/>
  <c r="AQ4" i="82"/>
  <c r="AQ4" i="34"/>
  <c r="AQ4" i="86"/>
  <c r="AP30" i="82"/>
  <c r="AP31" i="82" s="1"/>
  <c r="AP36" i="82" s="1"/>
  <c r="AP29" i="82"/>
  <c r="AQ18" i="34"/>
  <c r="AO79" i="63"/>
  <c r="AO16" i="90" s="1"/>
  <c r="AO101" i="63"/>
  <c r="AP42" i="82"/>
  <c r="AQ239" i="6"/>
  <c r="AQ242" i="6"/>
  <c r="AQ240" i="6"/>
  <c r="AQ241" i="6"/>
  <c r="AQ76" i="6"/>
  <c r="AQ64" i="6"/>
  <c r="AQ68" i="6"/>
  <c r="AQ66" i="6"/>
  <c r="AQ26" i="82" s="1"/>
  <c r="AR3" i="6"/>
  <c r="AR3" i="90" l="1"/>
  <c r="AR3" i="34"/>
  <c r="AR3" i="87"/>
  <c r="AR3" i="82"/>
  <c r="AR3" i="86"/>
  <c r="AR3" i="65"/>
  <c r="AR3" i="63"/>
  <c r="AR3" i="84"/>
  <c r="AQ29" i="84"/>
  <c r="AQ66" i="34"/>
  <c r="AQ47" i="84"/>
  <c r="AQ33" i="84"/>
  <c r="AQ67" i="34"/>
  <c r="AQ51" i="84"/>
  <c r="AQ65" i="34"/>
  <c r="AQ43" i="84"/>
  <c r="AQ25" i="84"/>
  <c r="AQ64" i="34"/>
  <c r="AQ39" i="84"/>
  <c r="AQ21" i="84"/>
  <c r="AQ16" i="34"/>
  <c r="AQ27" i="82" s="1"/>
  <c r="AP45" i="82"/>
  <c r="AP46" i="82"/>
  <c r="AP47" i="82" s="1"/>
  <c r="AQ78" i="6"/>
  <c r="AR4" i="6"/>
  <c r="AR80" i="6" s="1"/>
  <c r="AQ17" i="34" l="1"/>
  <c r="AQ41" i="82"/>
  <c r="AR4" i="90"/>
  <c r="AR4" i="63"/>
  <c r="AR4" i="65"/>
  <c r="AR4" i="82"/>
  <c r="AR4" i="34"/>
  <c r="AR4" i="86"/>
  <c r="AR4" i="87"/>
  <c r="AR4" i="84"/>
  <c r="AQ29" i="82"/>
  <c r="AQ30" i="82"/>
  <c r="AQ31" i="82" s="1"/>
  <c r="AQ36" i="82" s="1"/>
  <c r="AR18" i="34"/>
  <c r="AP79" i="63"/>
  <c r="AP16" i="90" s="1"/>
  <c r="AP101" i="63"/>
  <c r="AP116" i="63" s="1"/>
  <c r="AQ42" i="82"/>
  <c r="AR239" i="6"/>
  <c r="AR240" i="6"/>
  <c r="AR242" i="6"/>
  <c r="AR241" i="6"/>
  <c r="AR64" i="6"/>
  <c r="AR76" i="6"/>
  <c r="AR68" i="6"/>
  <c r="AR66" i="6"/>
  <c r="AR26" i="82" s="1"/>
  <c r="AS3" i="6"/>
  <c r="AS3" i="90" l="1"/>
  <c r="AS3" i="34"/>
  <c r="AS3" i="87"/>
  <c r="AS3" i="84"/>
  <c r="AS3" i="65"/>
  <c r="AS3" i="86"/>
  <c r="AS3" i="82"/>
  <c r="AS3" i="63"/>
  <c r="AR29" i="84"/>
  <c r="AR66" i="34"/>
  <c r="AR47" i="84"/>
  <c r="AR33" i="84"/>
  <c r="AR67" i="34"/>
  <c r="AR51" i="84"/>
  <c r="AR65" i="34"/>
  <c r="AR43" i="84"/>
  <c r="AR25" i="84"/>
  <c r="AR64" i="34"/>
  <c r="AR39" i="84"/>
  <c r="AR21" i="84"/>
  <c r="AR16" i="34"/>
  <c r="AR27" i="82" s="1"/>
  <c r="AQ45" i="82"/>
  <c r="AQ46" i="82"/>
  <c r="AQ47" i="82" s="1"/>
  <c r="AR78" i="6"/>
  <c r="AS4" i="6"/>
  <c r="AS80" i="6" s="1"/>
  <c r="AR17" i="34" l="1"/>
  <c r="AR41" i="82"/>
  <c r="AS4" i="90"/>
  <c r="AS4" i="87"/>
  <c r="AS4" i="82"/>
  <c r="AS4" i="65"/>
  <c r="AS4" i="63"/>
  <c r="AS4" i="86"/>
  <c r="AS4" i="34"/>
  <c r="AS4" i="84"/>
  <c r="AR30" i="82"/>
  <c r="AR31" i="82" s="1"/>
  <c r="AR36" i="82" s="1"/>
  <c r="AR29" i="82"/>
  <c r="AS18" i="34"/>
  <c r="AQ79" i="63"/>
  <c r="AQ16" i="90" s="1"/>
  <c r="AQ101" i="63"/>
  <c r="AQ116" i="63" s="1"/>
  <c r="AR42" i="82"/>
  <c r="AS239" i="6"/>
  <c r="AS240" i="6"/>
  <c r="AS241" i="6"/>
  <c r="AS242" i="6"/>
  <c r="AS76" i="6"/>
  <c r="AS64" i="6"/>
  <c r="AS68" i="6"/>
  <c r="AS66" i="6"/>
  <c r="AS26" i="82" s="1"/>
  <c r="AT3" i="6"/>
  <c r="AT3" i="90" l="1"/>
  <c r="AT3" i="84"/>
  <c r="AT3" i="82"/>
  <c r="AT3" i="34"/>
  <c r="AT3" i="87"/>
  <c r="AT3" i="65"/>
  <c r="AT3" i="86"/>
  <c r="AT3" i="63"/>
  <c r="AS33" i="84"/>
  <c r="AS51" i="84"/>
  <c r="AS67" i="34"/>
  <c r="AS66" i="34"/>
  <c r="AS47" i="84"/>
  <c r="AS29" i="84"/>
  <c r="AS43" i="84"/>
  <c r="AS65" i="34"/>
  <c r="AS25" i="84"/>
  <c r="AS21" i="84"/>
  <c r="AS39" i="84"/>
  <c r="AS64" i="34"/>
  <c r="AS16" i="34"/>
  <c r="AS27" i="82" s="1"/>
  <c r="AR45" i="82"/>
  <c r="AR46" i="82"/>
  <c r="AR47" i="82" s="1"/>
  <c r="AS78" i="6"/>
  <c r="AT4" i="6"/>
  <c r="AT80" i="6" s="1"/>
  <c r="AS17" i="34" l="1"/>
  <c r="AS41" i="82"/>
  <c r="AS42" i="82" s="1"/>
  <c r="AT4" i="90"/>
  <c r="AT4" i="82"/>
  <c r="AT4" i="65"/>
  <c r="AT4" i="63"/>
  <c r="AT4" i="86"/>
  <c r="AT4" i="87"/>
  <c r="AT4" i="34"/>
  <c r="AT4" i="84"/>
  <c r="AS30" i="82"/>
  <c r="AS31" i="82" s="1"/>
  <c r="AS36" i="82" s="1"/>
  <c r="AS29" i="82"/>
  <c r="AT18" i="34"/>
  <c r="AR79" i="63"/>
  <c r="AR16" i="90" s="1"/>
  <c r="AR101" i="63"/>
  <c r="AR116" i="63" s="1"/>
  <c r="AT239" i="6"/>
  <c r="AT240" i="6"/>
  <c r="AT241" i="6"/>
  <c r="AT242" i="6"/>
  <c r="AT76" i="6"/>
  <c r="AT64" i="6"/>
  <c r="AT68" i="6"/>
  <c r="AT66" i="6"/>
  <c r="AT26" i="82" s="1"/>
  <c r="AU3" i="6"/>
  <c r="AU3" i="90" l="1"/>
  <c r="AU3" i="34"/>
  <c r="AU3" i="87"/>
  <c r="AU3" i="82"/>
  <c r="AU3" i="65"/>
  <c r="AU3" i="86"/>
  <c r="AU3" i="63"/>
  <c r="AU3" i="84"/>
  <c r="AT65" i="34"/>
  <c r="AT43" i="84"/>
  <c r="AT25" i="84"/>
  <c r="AT33" i="84"/>
  <c r="AT51" i="84"/>
  <c r="AT67" i="34"/>
  <c r="AT66" i="34"/>
  <c r="AT47" i="84"/>
  <c r="AT29" i="84"/>
  <c r="AT21" i="84"/>
  <c r="AT64" i="34"/>
  <c r="AT39" i="84"/>
  <c r="AT16" i="34"/>
  <c r="AT27" i="82" s="1"/>
  <c r="AS45" i="82"/>
  <c r="AS46" i="82"/>
  <c r="AS47" i="82" s="1"/>
  <c r="AT78" i="6"/>
  <c r="AU4" i="6"/>
  <c r="AU80" i="6" s="1"/>
  <c r="AT17" i="34" l="1"/>
  <c r="AT41" i="82"/>
  <c r="AT42" i="82" s="1"/>
  <c r="AU4" i="90"/>
  <c r="AU4" i="63"/>
  <c r="AU4" i="87"/>
  <c r="AU4" i="65"/>
  <c r="AU4" i="86"/>
  <c r="AU4" i="34"/>
  <c r="AU4" i="82"/>
  <c r="AU4" i="84"/>
  <c r="AT29" i="82"/>
  <c r="AT30" i="82"/>
  <c r="AT31" i="82" s="1"/>
  <c r="AT36" i="82" s="1"/>
  <c r="AU18" i="34"/>
  <c r="AS79" i="63"/>
  <c r="AS16" i="90" s="1"/>
  <c r="AS101" i="63"/>
  <c r="AS116" i="63" s="1"/>
  <c r="AU239" i="6"/>
  <c r="AU240" i="6"/>
  <c r="AU241" i="6"/>
  <c r="AU242" i="6"/>
  <c r="AU76" i="6"/>
  <c r="AU64" i="6"/>
  <c r="AU68" i="6"/>
  <c r="AU66" i="6"/>
  <c r="AU26" i="82" s="1"/>
  <c r="AV3" i="6"/>
  <c r="AV3" i="90" l="1"/>
  <c r="AV3" i="82"/>
  <c r="AV3" i="86"/>
  <c r="AV3" i="65"/>
  <c r="AV3" i="84"/>
  <c r="AV3" i="34"/>
  <c r="AV3" i="87"/>
  <c r="AV3" i="63"/>
  <c r="AU51" i="84"/>
  <c r="AU33" i="84"/>
  <c r="AU67" i="34"/>
  <c r="AU66" i="34"/>
  <c r="AU47" i="84"/>
  <c r="AU29" i="84"/>
  <c r="AU65" i="34"/>
  <c r="AU43" i="84"/>
  <c r="AU25" i="84"/>
  <c r="AU21" i="84"/>
  <c r="AU64" i="34"/>
  <c r="AU39" i="84"/>
  <c r="AU16" i="34"/>
  <c r="AU27" i="82" s="1"/>
  <c r="AT45" i="82"/>
  <c r="AT46" i="82"/>
  <c r="AT47" i="82" s="1"/>
  <c r="AU78" i="6"/>
  <c r="AV4" i="6"/>
  <c r="AV80" i="6" s="1"/>
  <c r="AU17" i="34" l="1"/>
  <c r="AU41" i="82"/>
  <c r="AU42" i="82" s="1"/>
  <c r="AV4" i="90"/>
  <c r="AV4" i="63"/>
  <c r="AV4" i="86"/>
  <c r="AV4" i="87"/>
  <c r="AV4" i="65"/>
  <c r="AV4" i="82"/>
  <c r="AV4" i="84"/>
  <c r="AV4" i="34"/>
  <c r="AU30" i="82"/>
  <c r="AU31" i="82" s="1"/>
  <c r="AU36" i="82" s="1"/>
  <c r="AU29" i="82"/>
  <c r="AV18" i="34"/>
  <c r="AT79" i="63"/>
  <c r="AT16" i="90" s="1"/>
  <c r="AT101" i="63"/>
  <c r="AT116" i="63" s="1"/>
  <c r="AV239" i="6"/>
  <c r="AV240" i="6"/>
  <c r="AV242" i="6"/>
  <c r="AV241" i="6"/>
  <c r="AV64" i="6"/>
  <c r="AV76" i="6"/>
  <c r="AV68" i="6"/>
  <c r="AV66" i="6"/>
  <c r="AV26" i="82" s="1"/>
  <c r="AW3" i="6"/>
  <c r="AW3" i="90" l="1"/>
  <c r="AW3" i="34"/>
  <c r="AW3" i="65"/>
  <c r="AW3" i="82"/>
  <c r="AW3" i="84"/>
  <c r="AW3" i="63"/>
  <c r="AW3" i="86"/>
  <c r="AW3" i="87"/>
  <c r="AV47" i="84"/>
  <c r="AV66" i="34"/>
  <c r="AV29" i="84"/>
  <c r="AV33" i="84"/>
  <c r="AV67" i="34"/>
  <c r="AV51" i="84"/>
  <c r="AV43" i="84"/>
  <c r="AV25" i="84"/>
  <c r="AV65" i="34"/>
  <c r="AV64" i="34"/>
  <c r="AV39" i="84"/>
  <c r="AV21" i="84"/>
  <c r="AV16" i="34"/>
  <c r="AV27" i="82" s="1"/>
  <c r="AU45" i="82"/>
  <c r="AU46" i="82"/>
  <c r="AU47" i="82" s="1"/>
  <c r="AV78" i="6"/>
  <c r="AW4" i="6"/>
  <c r="AW80" i="6" s="1"/>
  <c r="AV17" i="34" l="1"/>
  <c r="AV41" i="82"/>
  <c r="AW4" i="90"/>
  <c r="AW4" i="63"/>
  <c r="AW4" i="65"/>
  <c r="AW4" i="86"/>
  <c r="AW4" i="82"/>
  <c r="AW4" i="84"/>
  <c r="AW4" i="34"/>
  <c r="AW4" i="87"/>
  <c r="AV30" i="82"/>
  <c r="AV31" i="82" s="1"/>
  <c r="AV36" i="82" s="1"/>
  <c r="AV29" i="82"/>
  <c r="AW18" i="34"/>
  <c r="AU79" i="63"/>
  <c r="AU16" i="90" s="1"/>
  <c r="AU101" i="63"/>
  <c r="AU116" i="63" s="1"/>
  <c r="AV42" i="82"/>
  <c r="AW239" i="6"/>
  <c r="AW242" i="6"/>
  <c r="AW241" i="6"/>
  <c r="AW240" i="6"/>
  <c r="AW76" i="6"/>
  <c r="AW64" i="6"/>
  <c r="AW68" i="6"/>
  <c r="AW66" i="6"/>
  <c r="AW26" i="82" s="1"/>
  <c r="AX3" i="6"/>
  <c r="AX3" i="90" l="1"/>
  <c r="AX3" i="82"/>
  <c r="AX3" i="65"/>
  <c r="AX3" i="84"/>
  <c r="AX3" i="86"/>
  <c r="AX3" i="87"/>
  <c r="AX3" i="63"/>
  <c r="AX3" i="34"/>
  <c r="AW67" i="34"/>
  <c r="AW51" i="84"/>
  <c r="AW33" i="84"/>
  <c r="AW47" i="84"/>
  <c r="AW66" i="34"/>
  <c r="AW29" i="84"/>
  <c r="AW43" i="84"/>
  <c r="AW25" i="84"/>
  <c r="AW65" i="34"/>
  <c r="AW64" i="34"/>
  <c r="AW21" i="84"/>
  <c r="AW39" i="84"/>
  <c r="AW16" i="34"/>
  <c r="AW27" i="82" s="1"/>
  <c r="AV45" i="82"/>
  <c r="AV46" i="82"/>
  <c r="AV47" i="82" s="1"/>
  <c r="AW78" i="6"/>
  <c r="AX4" i="6"/>
  <c r="AX80" i="6" s="1"/>
  <c r="AW17" i="34" l="1"/>
  <c r="AW41" i="82"/>
  <c r="AX4" i="90"/>
  <c r="AX4" i="84"/>
  <c r="AX4" i="65"/>
  <c r="AX4" i="86"/>
  <c r="AX4" i="63"/>
  <c r="AX4" i="82"/>
  <c r="AX4" i="87"/>
  <c r="AX4" i="34"/>
  <c r="AW29" i="82"/>
  <c r="AW30" i="82"/>
  <c r="AW31" i="82" s="1"/>
  <c r="AW36" i="82" s="1"/>
  <c r="AX18" i="34"/>
  <c r="AV79" i="63"/>
  <c r="AV16" i="90" s="1"/>
  <c r="AV101" i="63"/>
  <c r="AV116" i="63" s="1"/>
  <c r="AW42" i="82"/>
  <c r="AX239" i="6"/>
  <c r="AX241" i="6"/>
  <c r="AX240" i="6"/>
  <c r="AX242" i="6"/>
  <c r="AX64" i="6"/>
  <c r="AX76" i="6"/>
  <c r="AX68" i="6"/>
  <c r="AX66" i="6"/>
  <c r="AX26" i="82" s="1"/>
  <c r="AY3" i="6"/>
  <c r="AY3" i="90" l="1"/>
  <c r="AY3" i="34"/>
  <c r="AY3" i="65"/>
  <c r="AY3" i="84"/>
  <c r="AY3" i="63"/>
  <c r="AY3" i="82"/>
  <c r="AY3" i="87"/>
  <c r="AY3" i="86"/>
  <c r="AX67" i="34"/>
  <c r="AX51" i="84"/>
  <c r="AX33" i="84"/>
  <c r="AX43" i="84"/>
  <c r="AX25" i="84"/>
  <c r="AX65" i="34"/>
  <c r="AX66" i="34"/>
  <c r="AX47" i="84"/>
  <c r="AX29" i="84"/>
  <c r="AX64" i="34"/>
  <c r="AX21" i="84"/>
  <c r="AX39" i="84"/>
  <c r="AX16" i="34"/>
  <c r="AX27" i="82" s="1"/>
  <c r="AW46" i="82"/>
  <c r="AW47" i="82" s="1"/>
  <c r="AW45" i="82"/>
  <c r="AX78" i="6"/>
  <c r="AY4" i="6"/>
  <c r="AY80" i="6" s="1"/>
  <c r="AX17" i="34" l="1"/>
  <c r="AX41" i="82"/>
  <c r="AX42" i="82" s="1"/>
  <c r="AY4" i="90"/>
  <c r="AY4" i="82"/>
  <c r="AY4" i="87"/>
  <c r="AY4" i="63"/>
  <c r="AY4" i="65"/>
  <c r="AY4" i="86"/>
  <c r="AY4" i="84"/>
  <c r="AY4" i="34"/>
  <c r="AX29" i="82"/>
  <c r="AX30" i="82"/>
  <c r="AX31" i="82" s="1"/>
  <c r="AX36" i="82" s="1"/>
  <c r="AY18" i="34"/>
  <c r="AW79" i="63"/>
  <c r="AW16" i="90" s="1"/>
  <c r="AW101" i="63"/>
  <c r="AW116" i="63" s="1"/>
  <c r="AY239" i="6"/>
  <c r="AY242" i="6"/>
  <c r="AY240" i="6"/>
  <c r="AY241" i="6"/>
  <c r="AY76" i="6"/>
  <c r="AY64" i="6"/>
  <c r="AY68" i="6"/>
  <c r="AY66" i="6"/>
  <c r="AY26" i="82" s="1"/>
  <c r="AZ3" i="6"/>
  <c r="AZ3" i="90" l="1"/>
  <c r="AZ3" i="86"/>
  <c r="AZ3" i="82"/>
  <c r="AZ3" i="63"/>
  <c r="AZ3" i="87"/>
  <c r="AZ3" i="65"/>
  <c r="AZ3" i="84"/>
  <c r="AZ3" i="34"/>
  <c r="AY66" i="34"/>
  <c r="AY47" i="84"/>
  <c r="AY29" i="84"/>
  <c r="AY43" i="84"/>
  <c r="AY25" i="84"/>
  <c r="AY65" i="34"/>
  <c r="AY67" i="34"/>
  <c r="AY51" i="84"/>
  <c r="AY33" i="84"/>
  <c r="AY64" i="34"/>
  <c r="AY39" i="84"/>
  <c r="AY21" i="84"/>
  <c r="AY16" i="34"/>
  <c r="AY27" i="82" s="1"/>
  <c r="AX45" i="82"/>
  <c r="AX46" i="82"/>
  <c r="AX47" i="82" s="1"/>
  <c r="AY78" i="6"/>
  <c r="AZ4" i="6"/>
  <c r="AZ80" i="6" s="1"/>
  <c r="AY17" i="34" l="1"/>
  <c r="AY41" i="82"/>
  <c r="AZ4" i="90"/>
  <c r="AZ4" i="87"/>
  <c r="AZ4" i="84"/>
  <c r="AZ4" i="65"/>
  <c r="AZ4" i="86"/>
  <c r="AZ4" i="34"/>
  <c r="AZ4" i="82"/>
  <c r="AZ4" i="63"/>
  <c r="AY29" i="82"/>
  <c r="AY30" i="82"/>
  <c r="AY31" i="82" s="1"/>
  <c r="AY36" i="82" s="1"/>
  <c r="AZ18" i="34"/>
  <c r="AX79" i="63"/>
  <c r="AX16" i="90" s="1"/>
  <c r="AX101" i="63"/>
  <c r="AX116" i="63" s="1"/>
  <c r="AY42" i="82"/>
  <c r="AZ239" i="6"/>
  <c r="AZ240" i="6"/>
  <c r="AZ242" i="6"/>
  <c r="AZ241" i="6"/>
  <c r="AZ64" i="6"/>
  <c r="AZ76" i="6"/>
  <c r="AZ68" i="6"/>
  <c r="AZ66" i="6"/>
  <c r="AZ26" i="82" s="1"/>
  <c r="BA3" i="6"/>
  <c r="BA3" i="90" l="1"/>
  <c r="BA3" i="65"/>
  <c r="BA3" i="63"/>
  <c r="BA3" i="86"/>
  <c r="BA3" i="82"/>
  <c r="BA3" i="87"/>
  <c r="BA3" i="34"/>
  <c r="BA3" i="84"/>
  <c r="AZ47" i="84"/>
  <c r="AZ66" i="34"/>
  <c r="AZ29" i="84"/>
  <c r="AZ67" i="34"/>
  <c r="AZ51" i="84"/>
  <c r="AZ33" i="84"/>
  <c r="AZ25" i="84"/>
  <c r="AZ65" i="34"/>
  <c r="AZ43" i="84"/>
  <c r="AZ64" i="34"/>
  <c r="AZ39" i="84"/>
  <c r="AZ21" i="84"/>
  <c r="AZ16" i="34"/>
  <c r="AZ27" i="82" s="1"/>
  <c r="AY46" i="82"/>
  <c r="AY47" i="82" s="1"/>
  <c r="AY45" i="82"/>
  <c r="AZ78" i="6"/>
  <c r="BA4" i="6"/>
  <c r="BA80" i="6" s="1"/>
  <c r="AZ17" i="34" l="1"/>
  <c r="AZ41" i="82"/>
  <c r="AZ42" i="82" s="1"/>
  <c r="BA4" i="90"/>
  <c r="BA4" i="82"/>
  <c r="BA4" i="65"/>
  <c r="BA4" i="34"/>
  <c r="BA4" i="84"/>
  <c r="BA4" i="86"/>
  <c r="BA4" i="87"/>
  <c r="BA4" i="63"/>
  <c r="AZ30" i="82"/>
  <c r="AZ31" i="82" s="1"/>
  <c r="AZ36" i="82" s="1"/>
  <c r="AZ29" i="82"/>
  <c r="BA18" i="34"/>
  <c r="AY79" i="63"/>
  <c r="AY16" i="90" s="1"/>
  <c r="AY101" i="63"/>
  <c r="AY116" i="63" s="1"/>
  <c r="BA239" i="6"/>
  <c r="BA241" i="6"/>
  <c r="BA242" i="6"/>
  <c r="BA240" i="6"/>
  <c r="BA76" i="6"/>
  <c r="BA64" i="6"/>
  <c r="BA68" i="6"/>
  <c r="BA66" i="6"/>
  <c r="BA26" i="82" s="1"/>
  <c r="BB3" i="6"/>
  <c r="BB3" i="90" l="1"/>
  <c r="BB3" i="82"/>
  <c r="BB3" i="63"/>
  <c r="BB3" i="65"/>
  <c r="BB3" i="87"/>
  <c r="BB3" i="84"/>
  <c r="BB3" i="86"/>
  <c r="BB3" i="34"/>
  <c r="BA25" i="84"/>
  <c r="BA65" i="34"/>
  <c r="BA43" i="84"/>
  <c r="BA51" i="84"/>
  <c r="BA67" i="34"/>
  <c r="BA33" i="84"/>
  <c r="BA66" i="34"/>
  <c r="BA47" i="84"/>
  <c r="BA29" i="84"/>
  <c r="BA64" i="34"/>
  <c r="BA21" i="84"/>
  <c r="BA39" i="84"/>
  <c r="BA16" i="34"/>
  <c r="BA27" i="82" s="1"/>
  <c r="AZ46" i="82"/>
  <c r="AZ47" i="82" s="1"/>
  <c r="AZ45" i="82"/>
  <c r="BA78" i="6"/>
  <c r="BB4" i="6"/>
  <c r="BB80" i="6" s="1"/>
  <c r="BA17" i="34" l="1"/>
  <c r="BA41" i="82"/>
  <c r="BB4" i="90"/>
  <c r="BB4" i="65"/>
  <c r="BB4" i="84"/>
  <c r="BB4" i="82"/>
  <c r="BB4" i="86"/>
  <c r="BB4" i="87"/>
  <c r="BB4" i="34"/>
  <c r="BB4" i="63"/>
  <c r="BA29" i="82"/>
  <c r="BA30" i="82"/>
  <c r="BA31" i="82" s="1"/>
  <c r="BA36" i="82" s="1"/>
  <c r="BB18" i="34"/>
  <c r="AZ79" i="63"/>
  <c r="AZ16" i="90" s="1"/>
  <c r="AZ101" i="63"/>
  <c r="AZ116" i="63" s="1"/>
  <c r="BA42" i="82"/>
  <c r="BB239" i="6"/>
  <c r="BB240" i="6"/>
  <c r="BB241" i="6"/>
  <c r="BB242" i="6"/>
  <c r="BB76" i="6"/>
  <c r="BB64" i="6"/>
  <c r="BB68" i="6"/>
  <c r="BB66" i="6"/>
  <c r="BB26" i="82" l="1"/>
  <c r="BB51" i="84"/>
  <c r="BB67" i="34"/>
  <c r="BB33" i="84"/>
  <c r="I63" i="84" s="1"/>
  <c r="BB47" i="84"/>
  <c r="BB66" i="34"/>
  <c r="BB29" i="84"/>
  <c r="I62" i="84" s="1"/>
  <c r="BB25" i="84"/>
  <c r="I61" i="84" s="1"/>
  <c r="BB65" i="34"/>
  <c r="BB43" i="84"/>
  <c r="BB64" i="34"/>
  <c r="BB21" i="84"/>
  <c r="I60" i="84" s="1"/>
  <c r="BB39" i="84"/>
  <c r="BA46" i="82"/>
  <c r="BA47" i="82" s="1"/>
  <c r="BA45" i="82"/>
  <c r="BB27" i="82"/>
  <c r="BB78" i="6"/>
  <c r="BB41" i="82" l="1"/>
  <c r="I79" i="6"/>
  <c r="BB16" i="34"/>
  <c r="I73" i="84"/>
  <c r="I86" i="84"/>
  <c r="I75" i="84"/>
  <c r="I88" i="84"/>
  <c r="I74" i="84"/>
  <c r="I87" i="84"/>
  <c r="I76" i="84"/>
  <c r="I89" i="84"/>
  <c r="I65" i="84"/>
  <c r="BB17" i="34"/>
  <c r="BA79" i="63"/>
  <c r="BA16" i="90" s="1"/>
  <c r="BA101" i="63"/>
  <c r="BA116" i="63" s="1"/>
  <c r="BB29" i="82"/>
  <c r="BB30" i="82"/>
  <c r="BB31" i="82" s="1"/>
  <c r="BB36" i="82" s="1"/>
  <c r="I78" i="84" l="1"/>
  <c r="I91" i="84"/>
  <c r="BB42" i="82"/>
  <c r="P187" i="6"/>
  <c r="P39" i="86" s="1"/>
  <c r="P186" i="6"/>
  <c r="P178" i="6"/>
  <c r="P55" i="34" s="1"/>
  <c r="P179" i="6"/>
  <c r="P56" i="34" s="1"/>
  <c r="P60" i="34" l="1"/>
  <c r="P29" i="86"/>
  <c r="P19" i="86"/>
  <c r="P59" i="34"/>
  <c r="BB46" i="82"/>
  <c r="BB47" i="82" s="1"/>
  <c r="BB45" i="82"/>
  <c r="AO12" i="63"/>
  <c r="AE12" i="63"/>
  <c r="Y12" i="63"/>
  <c r="AC12" i="63"/>
  <c r="BB12" i="63"/>
  <c r="AV12" i="63"/>
  <c r="AB12" i="63"/>
  <c r="AZ12" i="63"/>
  <c r="AT12" i="63"/>
  <c r="AW12" i="63"/>
  <c r="AD12" i="63"/>
  <c r="AY12" i="63"/>
  <c r="BA12" i="63"/>
  <c r="AQ12" i="63"/>
  <c r="AP12" i="63"/>
  <c r="AU12" i="63"/>
  <c r="AS12" i="63"/>
  <c r="AI12" i="63"/>
  <c r="AK12" i="63"/>
  <c r="AX12" i="63"/>
  <c r="AR12" i="63"/>
  <c r="Q186" i="6"/>
  <c r="Q187" i="6"/>
  <c r="Q39" i="86" s="1"/>
  <c r="Q19" i="86" l="1"/>
  <c r="Q59" i="34"/>
  <c r="Q29" i="86"/>
  <c r="Q60" i="34"/>
  <c r="BB79" i="63"/>
  <c r="BB16" i="90" s="1"/>
  <c r="BB101" i="63"/>
  <c r="BB116" i="63" s="1"/>
  <c r="AM12" i="63"/>
  <c r="AL12" i="63"/>
  <c r="AF12" i="63"/>
  <c r="AJ12" i="63"/>
  <c r="AN12" i="63"/>
  <c r="AH12" i="63"/>
  <c r="AG12" i="63"/>
  <c r="Y132" i="63" l="1"/>
  <c r="Y136" i="63" s="1"/>
  <c r="Q179" i="6"/>
  <c r="Q56" i="34" s="1"/>
  <c r="S187" i="6"/>
  <c r="S39" i="86" s="1"/>
  <c r="S186" i="6"/>
  <c r="S19" i="86" l="1"/>
  <c r="S59" i="34"/>
  <c r="S29" i="86"/>
  <c r="S60" i="34"/>
  <c r="T187" i="6"/>
  <c r="T39" i="86" s="1"/>
  <c r="T29" i="86" l="1"/>
  <c r="T60" i="34"/>
  <c r="S179" i="6"/>
  <c r="S56" i="34" s="1"/>
  <c r="U187" i="6"/>
  <c r="U39" i="86" s="1"/>
  <c r="U186" i="6"/>
  <c r="U29" i="86" l="1"/>
  <c r="U60" i="34"/>
  <c r="U19" i="86"/>
  <c r="U59" i="34"/>
  <c r="P121" i="63"/>
  <c r="P91" i="63"/>
  <c r="S178" i="6"/>
  <c r="S55" i="34" s="1"/>
  <c r="T179" i="6"/>
  <c r="T56" i="34" s="1"/>
  <c r="V186" i="6"/>
  <c r="V187" i="6"/>
  <c r="V39" i="86" s="1"/>
  <c r="AA12" i="63"/>
  <c r="V19" i="86" l="1"/>
  <c r="V59" i="34"/>
  <c r="V29" i="86"/>
  <c r="V60" i="34"/>
  <c r="Q138" i="63"/>
  <c r="Q140" i="63" s="1"/>
  <c r="V138" i="63"/>
  <c r="V140" i="63" s="1"/>
  <c r="V45" i="63"/>
  <c r="Q45" i="63"/>
  <c r="R138" i="63"/>
  <c r="R140" i="63" s="1"/>
  <c r="T45" i="63"/>
  <c r="T138" i="63"/>
  <c r="T140" i="63" s="1"/>
  <c r="R45" i="63"/>
  <c r="X45" i="63"/>
  <c r="S45" i="63"/>
  <c r="S138" i="63"/>
  <c r="S140" i="63" s="1"/>
  <c r="W45" i="63"/>
  <c r="Y45" i="63"/>
  <c r="T178" i="6"/>
  <c r="T55" i="34" s="1"/>
  <c r="U179" i="6"/>
  <c r="U56" i="34" s="1"/>
  <c r="X138" i="63"/>
  <c r="X140" i="63" s="1"/>
  <c r="Y138" i="63"/>
  <c r="Y140" i="63" s="1"/>
  <c r="W138" i="63"/>
  <c r="W140" i="63" s="1"/>
  <c r="Z12" i="63"/>
  <c r="W186" i="6"/>
  <c r="W187" i="6"/>
  <c r="W39" i="86" s="1"/>
  <c r="S45" i="90" l="1"/>
  <c r="S56" i="90"/>
  <c r="Q56" i="90"/>
  <c r="Q45" i="90"/>
  <c r="R45" i="90"/>
  <c r="R56" i="90"/>
  <c r="V45" i="90"/>
  <c r="V56" i="90"/>
  <c r="W45" i="90"/>
  <c r="W56" i="90"/>
  <c r="X45" i="90"/>
  <c r="X56" i="90"/>
  <c r="T56" i="90"/>
  <c r="T45" i="90"/>
  <c r="Y45" i="90"/>
  <c r="Y56" i="90"/>
  <c r="W59" i="34"/>
  <c r="W19" i="86"/>
  <c r="W29" i="86"/>
  <c r="W60" i="34"/>
  <c r="V179" i="6"/>
  <c r="V56" i="34" s="1"/>
  <c r="U178" i="6"/>
  <c r="U55" i="34" s="1"/>
  <c r="X187" i="6"/>
  <c r="X39" i="86" s="1"/>
  <c r="X186" i="6"/>
  <c r="X19" i="86" l="1"/>
  <c r="X59" i="34"/>
  <c r="X29" i="86"/>
  <c r="X60" i="34"/>
  <c r="W179" i="6"/>
  <c r="W56" i="34" s="1"/>
  <c r="V178" i="6"/>
  <c r="V55" i="34" s="1"/>
  <c r="Y187" i="6"/>
  <c r="Y39" i="86" s="1"/>
  <c r="Y186" i="6"/>
  <c r="Y59" i="34" l="1"/>
  <c r="Y19" i="86"/>
  <c r="Y29" i="86"/>
  <c r="Y60" i="34"/>
  <c r="X179" i="6"/>
  <c r="X56" i="34" s="1"/>
  <c r="W178" i="6"/>
  <c r="W55" i="34" s="1"/>
  <c r="Z132" i="63"/>
  <c r="Z136" i="63" s="1"/>
  <c r="Z186" i="6"/>
  <c r="Z187" i="6"/>
  <c r="Z39" i="86" s="1"/>
  <c r="Z60" i="34" l="1"/>
  <c r="Z29" i="86"/>
  <c r="Z59" i="34"/>
  <c r="Z19" i="86"/>
  <c r="Y179" i="6"/>
  <c r="Y56" i="34" s="1"/>
  <c r="X178" i="6"/>
  <c r="X55" i="34" s="1"/>
  <c r="AA132" i="63"/>
  <c r="AA136" i="63" s="1"/>
  <c r="AA202" i="6"/>
  <c r="AA187" i="6"/>
  <c r="AA39" i="86" s="1"/>
  <c r="AA186" i="6"/>
  <c r="AA29" i="86" l="1"/>
  <c r="AA60" i="34"/>
  <c r="AA59" i="34"/>
  <c r="AA19" i="86"/>
  <c r="AA63" i="34"/>
  <c r="AA55" i="84"/>
  <c r="Y178" i="6"/>
  <c r="Y55" i="34" s="1"/>
  <c r="Z179" i="6"/>
  <c r="Z56" i="34" s="1"/>
  <c r="AB132" i="63"/>
  <c r="AB136" i="63" s="1"/>
  <c r="Z45" i="63"/>
  <c r="Z138" i="63"/>
  <c r="Z140" i="63" s="1"/>
  <c r="AB202" i="6"/>
  <c r="AB187" i="6"/>
  <c r="AB39" i="86" s="1"/>
  <c r="AB186" i="6"/>
  <c r="Z45" i="90" l="1"/>
  <c r="Z56" i="90"/>
  <c r="AB59" i="34"/>
  <c r="AB19" i="86"/>
  <c r="AB29" i="86"/>
  <c r="AB60" i="34"/>
  <c r="AB55" i="84"/>
  <c r="AB63" i="34"/>
  <c r="Z178" i="6"/>
  <c r="Z55" i="34" s="1"/>
  <c r="AA178" i="6"/>
  <c r="AA55" i="34" s="1"/>
  <c r="AA45" i="63"/>
  <c r="AA138" i="63"/>
  <c r="AA140" i="63" s="1"/>
  <c r="AC132" i="63"/>
  <c r="AC136" i="63" s="1"/>
  <c r="AA179" i="6"/>
  <c r="AA56" i="34" s="1"/>
  <c r="AC202" i="6"/>
  <c r="AC187" i="6"/>
  <c r="AC39" i="86" s="1"/>
  <c r="AC186" i="6"/>
  <c r="AA45" i="90" l="1"/>
  <c r="AA56" i="90"/>
  <c r="AC59" i="34"/>
  <c r="AC19" i="86"/>
  <c r="AC29" i="86"/>
  <c r="AC60" i="34"/>
  <c r="AC63" i="34"/>
  <c r="AC55" i="84"/>
  <c r="AB45" i="63"/>
  <c r="AB138" i="63"/>
  <c r="AB140" i="63" s="1"/>
  <c r="AD132" i="63"/>
  <c r="AD136" i="63" s="1"/>
  <c r="AD202" i="6"/>
  <c r="AB179" i="6"/>
  <c r="AB56" i="34" s="1"/>
  <c r="AB56" i="90" l="1"/>
  <c r="AB45" i="90"/>
  <c r="AD63" i="34"/>
  <c r="AD55" i="84"/>
  <c r="AC45" i="63"/>
  <c r="AC138" i="63"/>
  <c r="AC140" i="63" s="1"/>
  <c r="AE132" i="63"/>
  <c r="AE136" i="63" s="1"/>
  <c r="AE202" i="6"/>
  <c r="AB178" i="6"/>
  <c r="AB55" i="34" s="1"/>
  <c r="AC56" i="90" l="1"/>
  <c r="AC45" i="90"/>
  <c r="AE63" i="34"/>
  <c r="AE55" i="84"/>
  <c r="AD186" i="6"/>
  <c r="AD45" i="63"/>
  <c r="AD138" i="63"/>
  <c r="AD140" i="63" s="1"/>
  <c r="AF132" i="63"/>
  <c r="AF136" i="63" s="1"/>
  <c r="AF202" i="6"/>
  <c r="AC178" i="6"/>
  <c r="AC55" i="34" s="1"/>
  <c r="AC179" i="6"/>
  <c r="AC56" i="34" s="1"/>
  <c r="AD187" i="6"/>
  <c r="AD39" i="86" s="1"/>
  <c r="AD56" i="90" l="1"/>
  <c r="AD45" i="90"/>
  <c r="AD60" i="34"/>
  <c r="AD29" i="86"/>
  <c r="AD59" i="34"/>
  <c r="AD19" i="86"/>
  <c r="AF63" i="34"/>
  <c r="AF55" i="84"/>
  <c r="AE186" i="6"/>
  <c r="AE138" i="63"/>
  <c r="AE140" i="63" s="1"/>
  <c r="AE45" i="63"/>
  <c r="AG132" i="63"/>
  <c r="AG136" i="63" s="1"/>
  <c r="AG202" i="6"/>
  <c r="AD178" i="6"/>
  <c r="AD55" i="34" s="1"/>
  <c r="AD179" i="6"/>
  <c r="AD56" i="34" s="1"/>
  <c r="AE187" i="6"/>
  <c r="AE39" i="86" s="1"/>
  <c r="AE56" i="90" l="1"/>
  <c r="AE45" i="90"/>
  <c r="AE29" i="86"/>
  <c r="AE60" i="34"/>
  <c r="AE19" i="86"/>
  <c r="AE59" i="34"/>
  <c r="AG63" i="34"/>
  <c r="AG55" i="84"/>
  <c r="AF186" i="6"/>
  <c r="AF45" i="63"/>
  <c r="AF138" i="63"/>
  <c r="AF140" i="63" s="1"/>
  <c r="AH132" i="63"/>
  <c r="AH136" i="63" s="1"/>
  <c r="AH202" i="6"/>
  <c r="AE178" i="6"/>
  <c r="AE55" i="34" s="1"/>
  <c r="AE179" i="6"/>
  <c r="AE56" i="34" s="1"/>
  <c r="AF187" i="6"/>
  <c r="AF39" i="86" s="1"/>
  <c r="AF45" i="90" l="1"/>
  <c r="AF56" i="90"/>
  <c r="AF29" i="86"/>
  <c r="AF60" i="34"/>
  <c r="AF59" i="34"/>
  <c r="AF19" i="86"/>
  <c r="AH63" i="34"/>
  <c r="AH55" i="84"/>
  <c r="AG186" i="6"/>
  <c r="AG45" i="63"/>
  <c r="AG138" i="63"/>
  <c r="AG140" i="63" s="1"/>
  <c r="AI132" i="63"/>
  <c r="AI136" i="63" s="1"/>
  <c r="AI202" i="6"/>
  <c r="AF178" i="6"/>
  <c r="AF55" i="34" s="1"/>
  <c r="AF179" i="6"/>
  <c r="AF56" i="34" s="1"/>
  <c r="AG187" i="6"/>
  <c r="AG39" i="86" s="1"/>
  <c r="AG45" i="90" l="1"/>
  <c r="AG56" i="90"/>
  <c r="AG29" i="86"/>
  <c r="AG60" i="34"/>
  <c r="AG19" i="86"/>
  <c r="AG59" i="34"/>
  <c r="AI55" i="84"/>
  <c r="AI63" i="34"/>
  <c r="AH186" i="6"/>
  <c r="AH138" i="63"/>
  <c r="AH140" i="63" s="1"/>
  <c r="AH45" i="63"/>
  <c r="AJ132" i="63"/>
  <c r="AJ136" i="63" s="1"/>
  <c r="AJ202" i="6"/>
  <c r="AG178" i="6"/>
  <c r="AG55" i="34" s="1"/>
  <c r="AG179" i="6"/>
  <c r="AG56" i="34" s="1"/>
  <c r="AH187" i="6"/>
  <c r="AH39" i="86" s="1"/>
  <c r="AH45" i="90" l="1"/>
  <c r="AH56" i="90"/>
  <c r="AH29" i="86"/>
  <c r="AH60" i="34"/>
  <c r="AH19" i="86"/>
  <c r="AH59" i="34"/>
  <c r="AJ55" i="84"/>
  <c r="AJ63" i="34"/>
  <c r="AI186" i="6"/>
  <c r="AI138" i="63"/>
  <c r="AI140" i="63" s="1"/>
  <c r="AI45" i="63"/>
  <c r="AK132" i="63"/>
  <c r="AK136" i="63" s="1"/>
  <c r="AH178" i="6"/>
  <c r="AH55" i="34" s="1"/>
  <c r="AH179" i="6"/>
  <c r="AH56" i="34" s="1"/>
  <c r="AI187" i="6"/>
  <c r="AI39" i="86" s="1"/>
  <c r="AI45" i="90" l="1"/>
  <c r="AI56" i="90"/>
  <c r="AI19" i="86"/>
  <c r="AI59" i="34"/>
  <c r="AI60" i="34"/>
  <c r="AI29" i="86"/>
  <c r="AJ186" i="6"/>
  <c r="AJ138" i="63"/>
  <c r="AJ140" i="63" s="1"/>
  <c r="AJ45" i="63"/>
  <c r="AL132" i="63"/>
  <c r="AL136" i="63" s="1"/>
  <c r="AI178" i="6"/>
  <c r="AI55" i="34" s="1"/>
  <c r="AI179" i="6"/>
  <c r="AI56" i="34" s="1"/>
  <c r="AJ187" i="6"/>
  <c r="AJ39" i="86" s="1"/>
  <c r="AJ45" i="90" l="1"/>
  <c r="AJ56" i="90"/>
  <c r="AJ60" i="34"/>
  <c r="AJ29" i="86"/>
  <c r="AJ19" i="86"/>
  <c r="AJ59" i="34"/>
  <c r="AK186" i="6"/>
  <c r="AK45" i="63"/>
  <c r="AK138" i="63"/>
  <c r="AK140" i="63" s="1"/>
  <c r="AM132" i="63"/>
  <c r="AM136" i="63" s="1"/>
  <c r="AJ178" i="6"/>
  <c r="AJ55" i="34" s="1"/>
  <c r="AJ179" i="6"/>
  <c r="AJ56" i="34" s="1"/>
  <c r="AK187" i="6"/>
  <c r="AK39" i="86" s="1"/>
  <c r="AK45" i="90" l="1"/>
  <c r="AK56" i="90"/>
  <c r="AK60" i="34"/>
  <c r="AK29" i="86"/>
  <c r="AK19" i="86"/>
  <c r="AK59" i="34"/>
  <c r="AL186" i="6"/>
  <c r="AL202" i="6"/>
  <c r="AL45" i="63"/>
  <c r="AL138" i="63"/>
  <c r="AL140" i="63" s="1"/>
  <c r="AN132" i="63"/>
  <c r="AN136" i="63" s="1"/>
  <c r="AK178" i="6"/>
  <c r="AK55" i="34" s="1"/>
  <c r="AK179" i="6"/>
  <c r="AK56" i="34" s="1"/>
  <c r="AL187" i="6"/>
  <c r="AL39" i="86" s="1"/>
  <c r="AL56" i="90" l="1"/>
  <c r="AL45" i="90"/>
  <c r="AL60" i="34"/>
  <c r="AL29" i="86"/>
  <c r="AL59" i="34"/>
  <c r="AL19" i="86"/>
  <c r="AL63" i="34"/>
  <c r="AL55" i="84"/>
  <c r="AM138" i="63"/>
  <c r="AM140" i="63" s="1"/>
  <c r="AM45" i="63"/>
  <c r="AO132" i="63"/>
  <c r="AO136" i="63" s="1"/>
  <c r="AL178" i="6"/>
  <c r="AL55" i="34" s="1"/>
  <c r="AL179" i="6"/>
  <c r="AL56" i="34" s="1"/>
  <c r="AM187" i="6"/>
  <c r="AM39" i="86" s="1"/>
  <c r="AM56" i="90" l="1"/>
  <c r="AM45" i="90"/>
  <c r="AM29" i="86"/>
  <c r="AM60" i="34"/>
  <c r="AM202" i="6"/>
  <c r="AM186" i="6"/>
  <c r="AN138" i="63"/>
  <c r="AN140" i="63" s="1"/>
  <c r="AN45" i="63"/>
  <c r="AP132" i="63"/>
  <c r="AP136" i="63" s="1"/>
  <c r="AM178" i="6"/>
  <c r="AM55" i="34" s="1"/>
  <c r="AM179" i="6"/>
  <c r="AM56" i="34" s="1"/>
  <c r="AN56" i="90" l="1"/>
  <c r="AN45" i="90"/>
  <c r="AM59" i="34"/>
  <c r="AM19" i="86"/>
  <c r="AM55" i="84"/>
  <c r="AM63" i="34"/>
  <c r="AN187" i="6"/>
  <c r="AN39" i="86" s="1"/>
  <c r="AN202" i="6"/>
  <c r="AN186" i="6"/>
  <c r="AO138" i="63"/>
  <c r="AO140" i="63" s="1"/>
  <c r="AO45" i="63"/>
  <c r="AQ132" i="63"/>
  <c r="AQ136" i="63" s="1"/>
  <c r="AO202" i="6"/>
  <c r="AN178" i="6"/>
  <c r="AN55" i="34" s="1"/>
  <c r="AO187" i="6"/>
  <c r="AO39" i="86" s="1"/>
  <c r="AO56" i="90" l="1"/>
  <c r="AO45" i="90"/>
  <c r="AO29" i="86"/>
  <c r="AO60" i="34"/>
  <c r="AN59" i="34"/>
  <c r="AN19" i="86"/>
  <c r="AN60" i="34"/>
  <c r="AN29" i="86"/>
  <c r="AN63" i="34"/>
  <c r="AN55" i="84"/>
  <c r="AO63" i="34"/>
  <c r="AO55" i="84"/>
  <c r="AN179" i="6"/>
  <c r="AN56" i="34" s="1"/>
  <c r="AP45" i="63"/>
  <c r="AP138" i="63"/>
  <c r="AP140" i="63" s="1"/>
  <c r="AR132" i="63"/>
  <c r="AR136" i="63" s="1"/>
  <c r="AP202" i="6"/>
  <c r="AO186" i="6"/>
  <c r="AO178" i="6"/>
  <c r="AO55" i="34" s="1"/>
  <c r="AO179" i="6"/>
  <c r="AO56" i="34" s="1"/>
  <c r="AP187" i="6"/>
  <c r="AP39" i="86" s="1"/>
  <c r="AP56" i="90" l="1"/>
  <c r="AP45" i="90"/>
  <c r="AO19" i="86"/>
  <c r="AO59" i="34"/>
  <c r="AP60" i="34"/>
  <c r="AP29" i="86"/>
  <c r="AP55" i="84"/>
  <c r="AP63" i="34"/>
  <c r="AQ45" i="63"/>
  <c r="AQ138" i="63"/>
  <c r="AQ140" i="63" s="1"/>
  <c r="AS132" i="63"/>
  <c r="AS136" i="63" s="1"/>
  <c r="AQ202" i="6"/>
  <c r="AP186" i="6"/>
  <c r="AP178" i="6"/>
  <c r="AP55" i="34" s="1"/>
  <c r="AP179" i="6"/>
  <c r="AP56" i="34" s="1"/>
  <c r="AQ187" i="6"/>
  <c r="AQ39" i="86" s="1"/>
  <c r="AQ45" i="90" l="1"/>
  <c r="AQ56" i="90"/>
  <c r="AQ60" i="34"/>
  <c r="AQ29" i="86"/>
  <c r="AP19" i="86"/>
  <c r="AP59" i="34"/>
  <c r="AQ63" i="34"/>
  <c r="AQ55" i="84"/>
  <c r="AR45" i="63"/>
  <c r="AR138" i="63"/>
  <c r="AR140" i="63" s="1"/>
  <c r="AT132" i="63"/>
  <c r="AT136" i="63" s="1"/>
  <c r="AR202" i="6"/>
  <c r="AQ186" i="6"/>
  <c r="AQ178" i="6"/>
  <c r="AQ55" i="34" s="1"/>
  <c r="AQ179" i="6"/>
  <c r="AQ56" i="34" s="1"/>
  <c r="AR187" i="6"/>
  <c r="AR39" i="86" s="1"/>
  <c r="AR45" i="90" l="1"/>
  <c r="AR56" i="90"/>
  <c r="AQ59" i="34"/>
  <c r="AQ19" i="86"/>
  <c r="AR60" i="34"/>
  <c r="AR29" i="86"/>
  <c r="AR63" i="34"/>
  <c r="AR55" i="84"/>
  <c r="AS138" i="63"/>
  <c r="AS140" i="63" s="1"/>
  <c r="AS45" i="63"/>
  <c r="AU132" i="63"/>
  <c r="AU136" i="63" s="1"/>
  <c r="AS202" i="6"/>
  <c r="AR186" i="6"/>
  <c r="AR178" i="6"/>
  <c r="AR55" i="34" s="1"/>
  <c r="AR179" i="6"/>
  <c r="AR56" i="34" s="1"/>
  <c r="AS187" i="6"/>
  <c r="AS39" i="86" s="1"/>
  <c r="AS56" i="90" l="1"/>
  <c r="AS45" i="90"/>
  <c r="AS60" i="34"/>
  <c r="AS29" i="86"/>
  <c r="AR59" i="34"/>
  <c r="AR19" i="86"/>
  <c r="AS63" i="34"/>
  <c r="AS55" i="84"/>
  <c r="AT138" i="63"/>
  <c r="AT140" i="63" s="1"/>
  <c r="AT45" i="63"/>
  <c r="AV132" i="63"/>
  <c r="AV136" i="63" s="1"/>
  <c r="AT202" i="6"/>
  <c r="AS186" i="6"/>
  <c r="AS178" i="6"/>
  <c r="AS55" i="34" s="1"/>
  <c r="AS179" i="6"/>
  <c r="AS56" i="34" s="1"/>
  <c r="AT187" i="6"/>
  <c r="AT39" i="86" s="1"/>
  <c r="AT56" i="90" l="1"/>
  <c r="AT45" i="90"/>
  <c r="AT60" i="34"/>
  <c r="AT29" i="86"/>
  <c r="AS19" i="86"/>
  <c r="AS59" i="34"/>
  <c r="AT63" i="34"/>
  <c r="AT55" i="84"/>
  <c r="AU45" i="63"/>
  <c r="AU138" i="63"/>
  <c r="AU140" i="63" s="1"/>
  <c r="AW132" i="63"/>
  <c r="AW136" i="63" s="1"/>
  <c r="AU202" i="6"/>
  <c r="AT186" i="6"/>
  <c r="AT178" i="6"/>
  <c r="AT55" i="34" s="1"/>
  <c r="AT179" i="6"/>
  <c r="AT56" i="34" s="1"/>
  <c r="AU187" i="6"/>
  <c r="AU39" i="86" s="1"/>
  <c r="AU45" i="90" l="1"/>
  <c r="AU56" i="90"/>
  <c r="AU29" i="86"/>
  <c r="AU60" i="34"/>
  <c r="AT19" i="86"/>
  <c r="AT59" i="34"/>
  <c r="AU63" i="34"/>
  <c r="AU55" i="84"/>
  <c r="AV45" i="63"/>
  <c r="AV138" i="63"/>
  <c r="AV140" i="63" s="1"/>
  <c r="AX132" i="63"/>
  <c r="AX136" i="63" s="1"/>
  <c r="AV202" i="6"/>
  <c r="AU186" i="6"/>
  <c r="AU178" i="6"/>
  <c r="AU55" i="34" s="1"/>
  <c r="AU179" i="6"/>
  <c r="AU56" i="34" s="1"/>
  <c r="AV187" i="6"/>
  <c r="AV39" i="86" s="1"/>
  <c r="AV56" i="90" l="1"/>
  <c r="AV45" i="90"/>
  <c r="AV29" i="86"/>
  <c r="AV60" i="34"/>
  <c r="AU59" i="34"/>
  <c r="AU19" i="86"/>
  <c r="AV63" i="34"/>
  <c r="AV55" i="84"/>
  <c r="AW138" i="63"/>
  <c r="AW140" i="63" s="1"/>
  <c r="AW45" i="63"/>
  <c r="AY132" i="63"/>
  <c r="AY136" i="63" s="1"/>
  <c r="AV186" i="6"/>
  <c r="AV178" i="6"/>
  <c r="AV55" i="34" s="1"/>
  <c r="AV179" i="6"/>
  <c r="AV56" i="34" s="1"/>
  <c r="AW56" i="90" l="1"/>
  <c r="AW45" i="90"/>
  <c r="AV59" i="34"/>
  <c r="AV19" i="86"/>
  <c r="AX138" i="63"/>
  <c r="AX140" i="63" s="1"/>
  <c r="AX45" i="63"/>
  <c r="AZ132" i="63"/>
  <c r="AZ136" i="63" s="1"/>
  <c r="AW187" i="6"/>
  <c r="AW39" i="86" s="1"/>
  <c r="AW202" i="6"/>
  <c r="AW186" i="6"/>
  <c r="AW178" i="6"/>
  <c r="AW55" i="34" s="1"/>
  <c r="AW179" i="6"/>
  <c r="AW56" i="34" s="1"/>
  <c r="AX56" i="90" l="1"/>
  <c r="AX45" i="90"/>
  <c r="AW59" i="34"/>
  <c r="AW19" i="86"/>
  <c r="AW29" i="86"/>
  <c r="AW60" i="34"/>
  <c r="AW63" i="34"/>
  <c r="AW55" i="84"/>
  <c r="AY138" i="63"/>
  <c r="AY140" i="63" s="1"/>
  <c r="AY45" i="63"/>
  <c r="BB132" i="63"/>
  <c r="BB136" i="63" s="1"/>
  <c r="BA132" i="63"/>
  <c r="BA136" i="63" s="1"/>
  <c r="AX202" i="6"/>
  <c r="AX186" i="6"/>
  <c r="AX178" i="6"/>
  <c r="AX55" i="34" s="1"/>
  <c r="AY56" i="90" l="1"/>
  <c r="AY45" i="90"/>
  <c r="AX59" i="34"/>
  <c r="AX19" i="86"/>
  <c r="AX63" i="34"/>
  <c r="AX55" i="84"/>
  <c r="AX187" i="6"/>
  <c r="AX39" i="86" s="1"/>
  <c r="AX179" i="6"/>
  <c r="AX56" i="34" s="1"/>
  <c r="AZ45" i="63"/>
  <c r="AZ138" i="63"/>
  <c r="AZ140" i="63" s="1"/>
  <c r="AZ178" i="6"/>
  <c r="AZ55" i="34" s="1"/>
  <c r="AZ186" i="6"/>
  <c r="AZ202" i="6"/>
  <c r="AY179" i="6"/>
  <c r="AY56" i="34" s="1"/>
  <c r="BA179" i="6"/>
  <c r="BA56" i="34" s="1"/>
  <c r="BA187" i="6"/>
  <c r="BA39" i="86" s="1"/>
  <c r="BA202" i="6"/>
  <c r="BA186" i="6"/>
  <c r="BA178" i="6"/>
  <c r="BA55" i="34" s="1"/>
  <c r="AY202" i="6"/>
  <c r="AY186" i="6"/>
  <c r="AY178" i="6"/>
  <c r="AY55" i="34" s="1"/>
  <c r="AZ56" i="90" l="1"/>
  <c r="AZ45" i="90"/>
  <c r="BA29" i="86"/>
  <c r="BA60" i="34"/>
  <c r="BA59" i="34"/>
  <c r="BA19" i="86"/>
  <c r="AZ59" i="34"/>
  <c r="AZ19" i="86"/>
  <c r="AX29" i="86"/>
  <c r="AX60" i="34"/>
  <c r="AY59" i="34"/>
  <c r="AY19" i="86"/>
  <c r="BA63" i="34"/>
  <c r="BA55" i="84"/>
  <c r="AZ63" i="34"/>
  <c r="AZ55" i="84"/>
  <c r="AY63" i="34"/>
  <c r="AY55" i="84"/>
  <c r="BA45" i="63"/>
  <c r="BA138" i="63"/>
  <c r="BA140" i="63" s="1"/>
  <c r="BB45" i="63"/>
  <c r="BB138" i="63"/>
  <c r="BB140" i="63" s="1"/>
  <c r="AZ187" i="6"/>
  <c r="AZ39" i="86" s="1"/>
  <c r="AZ179" i="6"/>
  <c r="AZ56" i="34" s="1"/>
  <c r="BB179" i="6"/>
  <c r="BB56" i="34" s="1"/>
  <c r="BB187" i="6"/>
  <c r="BB39" i="86" s="1"/>
  <c r="AY187" i="6"/>
  <c r="AY39" i="86" s="1"/>
  <c r="BB202" i="6"/>
  <c r="BB186" i="6"/>
  <c r="BB178" i="6"/>
  <c r="BB55" i="34" s="1"/>
  <c r="BB56" i="90" l="1"/>
  <c r="BB45" i="90"/>
  <c r="BA56" i="90"/>
  <c r="BA45" i="90"/>
  <c r="I44" i="86"/>
  <c r="I43" i="86"/>
  <c r="BB59" i="34"/>
  <c r="BB19" i="86"/>
  <c r="AY29" i="86"/>
  <c r="AY60" i="34"/>
  <c r="BB60" i="34"/>
  <c r="BB29" i="86"/>
  <c r="AZ60" i="34"/>
  <c r="AZ29" i="86"/>
  <c r="BB63" i="34"/>
  <c r="BB55" i="84"/>
  <c r="I93" i="84" s="1"/>
  <c r="I208" i="6" s="1"/>
  <c r="I40" i="34" s="1"/>
  <c r="I33" i="86" l="1"/>
  <c r="I34" i="86"/>
  <c r="I23" i="86"/>
  <c r="I24" i="86"/>
  <c r="I67" i="84"/>
  <c r="I206" i="6" s="1"/>
  <c r="I38" i="34" s="1"/>
  <c r="I80" i="84"/>
  <c r="I207" i="6" s="1"/>
  <c r="I39" i="34" s="1"/>
  <c r="I45" i="86" l="1"/>
  <c r="I47" i="86" s="1"/>
  <c r="I193" i="6" s="1"/>
  <c r="I35" i="86"/>
  <c r="I37" i="86" s="1"/>
  <c r="I192" i="6" s="1"/>
  <c r="I36" i="34" s="1"/>
  <c r="I25" i="86"/>
  <c r="I27" i="86" s="1"/>
  <c r="I191" i="6" s="1"/>
  <c r="I35" i="34" s="1"/>
  <c r="I37" i="34" l="1"/>
  <c r="S71" i="34" s="1"/>
  <c r="S13" i="82" s="1"/>
  <c r="P70" i="34"/>
  <c r="U69" i="34"/>
  <c r="AS71" i="34" l="1"/>
  <c r="AS13" i="82" s="1"/>
  <c r="Q71" i="34"/>
  <c r="Q13" i="82" s="1"/>
  <c r="Q26" i="63" s="1"/>
  <c r="X71" i="34"/>
  <c r="X13" i="82" s="1"/>
  <c r="AR71" i="34"/>
  <c r="AR13" i="82" s="1"/>
  <c r="AR26" i="63" s="1"/>
  <c r="AT71" i="34"/>
  <c r="AT13" i="82" s="1"/>
  <c r="AT26" i="63" s="1"/>
  <c r="AE71" i="34"/>
  <c r="AE13" i="82" s="1"/>
  <c r="AE26" i="63" s="1"/>
  <c r="AC71" i="34"/>
  <c r="AC13" i="82" s="1"/>
  <c r="AC26" i="63" s="1"/>
  <c r="W71" i="34"/>
  <c r="W13" i="82" s="1"/>
  <c r="W26" i="63" s="1"/>
  <c r="AN71" i="34"/>
  <c r="AN13" i="82" s="1"/>
  <c r="AN26" i="63" s="1"/>
  <c r="AX71" i="34"/>
  <c r="AX13" i="82" s="1"/>
  <c r="AX26" i="63" s="1"/>
  <c r="Y71" i="34"/>
  <c r="Y13" i="82" s="1"/>
  <c r="Y26" i="63" s="1"/>
  <c r="V71" i="34"/>
  <c r="V13" i="82" s="1"/>
  <c r="V26" i="63" s="1"/>
  <c r="AJ71" i="34"/>
  <c r="AJ13" i="82" s="1"/>
  <c r="AJ26" i="63" s="1"/>
  <c r="AG71" i="34"/>
  <c r="AG13" i="82" s="1"/>
  <c r="AG26" i="63" s="1"/>
  <c r="AZ71" i="34"/>
  <c r="AZ13" i="82" s="1"/>
  <c r="AZ26" i="63" s="1"/>
  <c r="Z71" i="34"/>
  <c r="Z13" i="82" s="1"/>
  <c r="Z26" i="63" s="1"/>
  <c r="AV71" i="34"/>
  <c r="AV13" i="82" s="1"/>
  <c r="AV26" i="63" s="1"/>
  <c r="AI71" i="34"/>
  <c r="AI13" i="82" s="1"/>
  <c r="AI26" i="63" s="1"/>
  <c r="AQ71" i="34"/>
  <c r="AQ13" i="82" s="1"/>
  <c r="AQ26" i="63" s="1"/>
  <c r="U71" i="34"/>
  <c r="U13" i="82" s="1"/>
  <c r="U26" i="63" s="1"/>
  <c r="AP71" i="34"/>
  <c r="AP13" i="82" s="1"/>
  <c r="AP26" i="63" s="1"/>
  <c r="T71" i="34"/>
  <c r="T13" i="82" s="1"/>
  <c r="T26" i="63" s="1"/>
  <c r="AO71" i="34"/>
  <c r="AO13" i="82" s="1"/>
  <c r="AY71" i="34"/>
  <c r="AY13" i="82" s="1"/>
  <c r="AY26" i="63" s="1"/>
  <c r="AF71" i="34"/>
  <c r="AF13" i="82" s="1"/>
  <c r="AF26" i="63" s="1"/>
  <c r="BA71" i="34"/>
  <c r="BA13" i="82" s="1"/>
  <c r="BA26" i="63" s="1"/>
  <c r="AM71" i="34"/>
  <c r="AM13" i="82" s="1"/>
  <c r="AM26" i="63" s="1"/>
  <c r="AD71" i="34"/>
  <c r="AD13" i="82" s="1"/>
  <c r="AD26" i="63" s="1"/>
  <c r="AH71" i="34"/>
  <c r="AH13" i="82" s="1"/>
  <c r="AH26" i="63" s="1"/>
  <c r="AB71" i="34"/>
  <c r="AB13" i="82" s="1"/>
  <c r="AB26" i="63" s="1"/>
  <c r="AW71" i="34"/>
  <c r="AW13" i="82" s="1"/>
  <c r="AW26" i="63" s="1"/>
  <c r="AL71" i="34"/>
  <c r="AL13" i="82" s="1"/>
  <c r="AL26" i="63" s="1"/>
  <c r="AA71" i="34"/>
  <c r="AA13" i="82" s="1"/>
  <c r="AA26" i="63" s="1"/>
  <c r="R71" i="34"/>
  <c r="R13" i="82" s="1"/>
  <c r="R26" i="63" s="1"/>
  <c r="R31" i="63" s="1"/>
  <c r="AK71" i="34"/>
  <c r="AK13" i="82" s="1"/>
  <c r="AK26" i="63" s="1"/>
  <c r="AU71" i="34"/>
  <c r="AU13" i="82" s="1"/>
  <c r="AU26" i="63" s="1"/>
  <c r="BB71" i="34"/>
  <c r="BB13" i="82" s="1"/>
  <c r="BB26" i="63" s="1"/>
  <c r="P71" i="34"/>
  <c r="P13" i="82" s="1"/>
  <c r="P26" i="63" s="1"/>
  <c r="AS26" i="63"/>
  <c r="S26" i="63"/>
  <c r="X26" i="63"/>
  <c r="AO26" i="63"/>
  <c r="R69" i="34"/>
  <c r="R11" i="82" s="1"/>
  <c r="Q69" i="34"/>
  <c r="Q11" i="82" s="1"/>
  <c r="P69" i="34"/>
  <c r="P11" i="82" s="1"/>
  <c r="S69" i="34"/>
  <c r="S11" i="82" s="1"/>
  <c r="T69" i="34"/>
  <c r="T11" i="82" s="1"/>
  <c r="U11" i="82"/>
  <c r="V69" i="34"/>
  <c r="V11" i="82" s="1"/>
  <c r="W69" i="34"/>
  <c r="W11" i="82" s="1"/>
  <c r="X69" i="34"/>
  <c r="X11" i="82" s="1"/>
  <c r="Y69" i="34"/>
  <c r="Y11" i="82" s="1"/>
  <c r="Z69" i="34"/>
  <c r="Z11" i="82" s="1"/>
  <c r="AA69" i="34"/>
  <c r="AA11" i="82" s="1"/>
  <c r="AB69" i="34"/>
  <c r="AB11" i="82" s="1"/>
  <c r="AC69" i="34"/>
  <c r="AC11" i="82" s="1"/>
  <c r="AD69" i="34"/>
  <c r="AD11" i="82" s="1"/>
  <c r="AE69" i="34"/>
  <c r="AE11" i="82" s="1"/>
  <c r="AF69" i="34"/>
  <c r="AF11" i="82" s="1"/>
  <c r="AG69" i="34"/>
  <c r="AG11" i="82" s="1"/>
  <c r="AH69" i="34"/>
  <c r="AH11" i="82" s="1"/>
  <c r="AI69" i="34"/>
  <c r="AI11" i="82" s="1"/>
  <c r="AJ69" i="34"/>
  <c r="AJ11" i="82" s="1"/>
  <c r="AK69" i="34"/>
  <c r="AK11" i="82" s="1"/>
  <c r="AL69" i="34"/>
  <c r="AL11" i="82" s="1"/>
  <c r="AM69" i="34"/>
  <c r="AM11" i="82" s="1"/>
  <c r="AN69" i="34"/>
  <c r="AN11" i="82" s="1"/>
  <c r="AO69" i="34"/>
  <c r="AO11" i="82" s="1"/>
  <c r="AP69" i="34"/>
  <c r="AP11" i="82" s="1"/>
  <c r="AQ69" i="34"/>
  <c r="AQ11" i="82" s="1"/>
  <c r="AR69" i="34"/>
  <c r="AR11" i="82" s="1"/>
  <c r="AS69" i="34"/>
  <c r="AS11" i="82" s="1"/>
  <c r="AT69" i="34"/>
  <c r="AT11" i="82" s="1"/>
  <c r="AU69" i="34"/>
  <c r="AU11" i="82" s="1"/>
  <c r="AV69" i="34"/>
  <c r="AV11" i="82" s="1"/>
  <c r="AW69" i="34"/>
  <c r="AW11" i="82" s="1"/>
  <c r="AX69" i="34"/>
  <c r="AX11" i="82" s="1"/>
  <c r="BA69" i="34"/>
  <c r="BA11" i="82" s="1"/>
  <c r="AY69" i="34"/>
  <c r="AY11" i="82" s="1"/>
  <c r="AZ69" i="34"/>
  <c r="AZ11" i="82" s="1"/>
  <c r="BB69" i="34"/>
  <c r="BB11" i="82" s="1"/>
  <c r="R70" i="34"/>
  <c r="Q70" i="34"/>
  <c r="S70" i="34"/>
  <c r="T70" i="34"/>
  <c r="U70" i="34"/>
  <c r="V70" i="34"/>
  <c r="W70" i="34"/>
  <c r="X70" i="34"/>
  <c r="Y70" i="34"/>
  <c r="Z70" i="34"/>
  <c r="AA70" i="34"/>
  <c r="AB70" i="34"/>
  <c r="AC70" i="34"/>
  <c r="AD70" i="34"/>
  <c r="AE70" i="34"/>
  <c r="AF70" i="34"/>
  <c r="AG70" i="34"/>
  <c r="AH70" i="34"/>
  <c r="AI70" i="34"/>
  <c r="AJ70" i="34"/>
  <c r="AK70" i="34"/>
  <c r="AL70" i="34"/>
  <c r="AM70" i="34"/>
  <c r="AN70" i="34"/>
  <c r="AO70" i="34"/>
  <c r="AP70" i="34"/>
  <c r="AQ70" i="34"/>
  <c r="AR70" i="34"/>
  <c r="AS70" i="34"/>
  <c r="AT70" i="34"/>
  <c r="AU70" i="34"/>
  <c r="AV70" i="34"/>
  <c r="AW70" i="34"/>
  <c r="AY70" i="34"/>
  <c r="BA70" i="34"/>
  <c r="AX70" i="34"/>
  <c r="AZ70" i="34"/>
  <c r="BB70" i="34"/>
  <c r="AO15" i="90" l="1"/>
  <c r="AO34" i="90" s="1"/>
  <c r="AG15" i="90"/>
  <c r="AG34" i="90" s="1"/>
  <c r="AX15" i="90"/>
  <c r="AX34" i="90" s="1"/>
  <c r="BB15" i="90"/>
  <c r="BB34" i="90" s="1"/>
  <c r="AA15" i="90"/>
  <c r="AA34" i="90" s="1"/>
  <c r="S15" i="90"/>
  <c r="S34" i="90" s="1"/>
  <c r="Q15" i="90"/>
  <c r="Q34" i="90" s="1"/>
  <c r="Y15" i="90"/>
  <c r="Y34" i="90" s="1"/>
  <c r="AD15" i="90"/>
  <c r="AD34" i="90" s="1"/>
  <c r="AE15" i="90"/>
  <c r="AE34" i="90" s="1"/>
  <c r="AV15" i="90"/>
  <c r="AV34" i="90" s="1"/>
  <c r="U15" i="90"/>
  <c r="U34" i="90" s="1"/>
  <c r="AJ15" i="90"/>
  <c r="AJ34" i="90" s="1"/>
  <c r="AT15" i="90"/>
  <c r="AT34" i="90" s="1"/>
  <c r="AW15" i="90"/>
  <c r="AW34" i="90" s="1"/>
  <c r="V15" i="90"/>
  <c r="V34" i="90" s="1"/>
  <c r="AK15" i="90"/>
  <c r="AK34" i="90" s="1"/>
  <c r="AU15" i="90"/>
  <c r="AU34" i="90" s="1"/>
  <c r="AL15" i="90"/>
  <c r="AL34" i="90" s="1"/>
  <c r="BA15" i="90"/>
  <c r="BA34" i="90" s="1"/>
  <c r="AY15" i="90"/>
  <c r="AY34" i="90" s="1"/>
  <c r="Z15" i="90"/>
  <c r="Z34" i="90" s="1"/>
  <c r="AB15" i="90"/>
  <c r="AB34" i="90" s="1"/>
  <c r="AZ15" i="90"/>
  <c r="AZ34" i="90" s="1"/>
  <c r="P15" i="90"/>
  <c r="P34" i="90" s="1"/>
  <c r="AM15" i="90"/>
  <c r="AM34" i="90" s="1"/>
  <c r="AF15" i="90"/>
  <c r="AF34" i="90" s="1"/>
  <c r="T15" i="90"/>
  <c r="T34" i="90" s="1"/>
  <c r="AC15" i="90"/>
  <c r="AC34" i="90" s="1"/>
  <c r="AR15" i="90"/>
  <c r="AR34" i="90" s="1"/>
  <c r="W15" i="90"/>
  <c r="W34" i="90" s="1"/>
  <c r="AN15" i="90"/>
  <c r="AN34" i="90" s="1"/>
  <c r="X15" i="90"/>
  <c r="X34" i="90" s="1"/>
  <c r="AS15" i="90"/>
  <c r="AS34" i="90" s="1"/>
  <c r="R15" i="90"/>
  <c r="R34" i="90" s="1"/>
  <c r="AP15" i="90"/>
  <c r="AP34" i="90" s="1"/>
  <c r="AI15" i="90"/>
  <c r="AI34" i="90" s="1"/>
  <c r="AQ15" i="90"/>
  <c r="AQ34" i="90" s="1"/>
  <c r="AH15" i="90"/>
  <c r="AH34" i="90" s="1"/>
  <c r="AW104" i="63"/>
  <c r="AB104" i="63"/>
  <c r="AN104" i="63"/>
  <c r="AZ104" i="63"/>
  <c r="AO104" i="63"/>
  <c r="AE104" i="63"/>
  <c r="AJ104" i="63"/>
  <c r="AK104" i="63"/>
  <c r="AV104" i="63"/>
  <c r="AL104" i="63"/>
  <c r="T104" i="63"/>
  <c r="AT104" i="63"/>
  <c r="Y104" i="63"/>
  <c r="AA104" i="63"/>
  <c r="AM31" i="63"/>
  <c r="AM32" i="63" s="1"/>
  <c r="AM104" i="63"/>
  <c r="AG113" i="63"/>
  <c r="AG104" i="63"/>
  <c r="AX113" i="63"/>
  <c r="AX104" i="63"/>
  <c r="AP31" i="63"/>
  <c r="AP32" i="63" s="1"/>
  <c r="AP104" i="63"/>
  <c r="BA31" i="63"/>
  <c r="BA32" i="63" s="1"/>
  <c r="BA104" i="63"/>
  <c r="U31" i="63"/>
  <c r="U32" i="63" s="1"/>
  <c r="U104" i="63"/>
  <c r="S31" i="63"/>
  <c r="S32" i="63" s="1"/>
  <c r="S104" i="63"/>
  <c r="AF31" i="63"/>
  <c r="AF32" i="63" s="1"/>
  <c r="AF104" i="63"/>
  <c r="AY113" i="63"/>
  <c r="AY104" i="63"/>
  <c r="AI31" i="63"/>
  <c r="AI32" i="63" s="1"/>
  <c r="AI104" i="63"/>
  <c r="AC113" i="63"/>
  <c r="AC104" i="63"/>
  <c r="Q31" i="63"/>
  <c r="Q32" i="63" s="1"/>
  <c r="Q104" i="63"/>
  <c r="AQ113" i="63"/>
  <c r="AQ104" i="63"/>
  <c r="Z31" i="63"/>
  <c r="Z32" i="63" s="1"/>
  <c r="Z104" i="63"/>
  <c r="W113" i="63"/>
  <c r="W104" i="63"/>
  <c r="V31" i="63"/>
  <c r="V32" i="63" s="1"/>
  <c r="V104" i="63"/>
  <c r="AR31" i="63"/>
  <c r="AR32" i="63" s="1"/>
  <c r="AR104" i="63"/>
  <c r="AH31" i="63"/>
  <c r="AH32" i="63" s="1"/>
  <c r="AH104" i="63"/>
  <c r="X31" i="63"/>
  <c r="X32" i="63" s="1"/>
  <c r="X104" i="63"/>
  <c r="AS31" i="63"/>
  <c r="AS32" i="63" s="1"/>
  <c r="AS104" i="63"/>
  <c r="BB31" i="63"/>
  <c r="BB32" i="63" s="1"/>
  <c r="BB104" i="63"/>
  <c r="P31" i="63"/>
  <c r="P32" i="63" s="1"/>
  <c r="P104" i="63"/>
  <c r="R32" i="63"/>
  <c r="R104" i="63"/>
  <c r="AD31" i="63"/>
  <c r="AD32" i="63" s="1"/>
  <c r="AD104" i="63"/>
  <c r="AU31" i="63"/>
  <c r="AU32" i="63" s="1"/>
  <c r="AU104" i="63"/>
  <c r="AR113" i="63"/>
  <c r="W31" i="63"/>
  <c r="W32" i="63" s="1"/>
  <c r="AD113" i="63"/>
  <c r="V113" i="63"/>
  <c r="BB113" i="63"/>
  <c r="Y31" i="63"/>
  <c r="Y32" i="63" s="1"/>
  <c r="AS113" i="63"/>
  <c r="Y113" i="63"/>
  <c r="AK113" i="63"/>
  <c r="AK31" i="63"/>
  <c r="AK32" i="63" s="1"/>
  <c r="R113" i="63"/>
  <c r="X113" i="63"/>
  <c r="AB113" i="63"/>
  <c r="AB31" i="63"/>
  <c r="AB32" i="63" s="1"/>
  <c r="AC31" i="63"/>
  <c r="AC32" i="63" s="1"/>
  <c r="AZ31" i="63"/>
  <c r="AZ32" i="63" s="1"/>
  <c r="AO31" i="63"/>
  <c r="AO32" i="63" s="1"/>
  <c r="AO113" i="63"/>
  <c r="AF113" i="63"/>
  <c r="AN31" i="63"/>
  <c r="AN32" i="63" s="1"/>
  <c r="AW31" i="63"/>
  <c r="AW32" i="63" s="1"/>
  <c r="AW113" i="63"/>
  <c r="AZ113" i="63"/>
  <c r="AY31" i="63"/>
  <c r="AY32" i="63" s="1"/>
  <c r="Z113" i="63"/>
  <c r="AU113" i="63"/>
  <c r="AT113" i="63"/>
  <c r="AA113" i="63"/>
  <c r="AA31" i="63"/>
  <c r="AA32" i="63" s="1"/>
  <c r="AE31" i="63"/>
  <c r="AE32" i="63" s="1"/>
  <c r="AE113" i="63"/>
  <c r="AL113" i="63"/>
  <c r="AH113" i="63"/>
  <c r="T113" i="63"/>
  <c r="P113" i="63"/>
  <c r="T31" i="63"/>
  <c r="T32" i="63" s="1"/>
  <c r="AM113" i="63"/>
  <c r="BB58" i="82"/>
  <c r="AZ58" i="82"/>
  <c r="AY58" i="82"/>
  <c r="AT31" i="63"/>
  <c r="AT32" i="63" s="1"/>
  <c r="AV31" i="63"/>
  <c r="AV32" i="63" s="1"/>
  <c r="AW58" i="82"/>
  <c r="S113" i="63"/>
  <c r="AV113" i="63"/>
  <c r="AN113" i="63"/>
  <c r="U113" i="63"/>
  <c r="AV58" i="82"/>
  <c r="AQ31" i="63"/>
  <c r="AQ32" i="63" s="1"/>
  <c r="AG31" i="63"/>
  <c r="AG32" i="63" s="1"/>
  <c r="AP113" i="63"/>
  <c r="BA58" i="82"/>
  <c r="AX58" i="82"/>
  <c r="AU58" i="82"/>
  <c r="AT58" i="82"/>
  <c r="Q113" i="63"/>
  <c r="AS58" i="82"/>
  <c r="AJ31" i="63"/>
  <c r="AJ32" i="63" s="1"/>
  <c r="AX31" i="63"/>
  <c r="AX32" i="63" s="1"/>
  <c r="AR58" i="82"/>
  <c r="AJ113" i="63"/>
  <c r="AI113" i="63"/>
  <c r="AQ58" i="82"/>
  <c r="AP58" i="82"/>
  <c r="AL31" i="63"/>
  <c r="AL32" i="63" s="1"/>
  <c r="BA113" i="63"/>
  <c r="AO58" i="82"/>
  <c r="AC58" i="82"/>
  <c r="AK58" i="82"/>
  <c r="X58" i="82"/>
  <c r="S58" i="82"/>
  <c r="AM58" i="82"/>
  <c r="AI58" i="82"/>
  <c r="W58" i="82"/>
  <c r="R58" i="82"/>
  <c r="AA58" i="82"/>
  <c r="AE58" i="82"/>
  <c r="AD58" i="82"/>
  <c r="AG58" i="82"/>
  <c r="AB58" i="82"/>
  <c r="T58" i="82"/>
  <c r="AN58" i="82"/>
  <c r="Z58" i="82"/>
  <c r="V58" i="82"/>
  <c r="AF58" i="82"/>
  <c r="Y58" i="82"/>
  <c r="U58" i="82"/>
  <c r="AJ58" i="82"/>
  <c r="AH58" i="82"/>
  <c r="AL58" i="82"/>
  <c r="P58" i="82"/>
  <c r="Q58" i="82"/>
  <c r="S12" i="82"/>
  <c r="R12" i="82"/>
  <c r="AN12" i="82"/>
  <c r="AT12" i="82"/>
  <c r="AP12" i="82"/>
  <c r="AF12" i="82"/>
  <c r="AZ12" i="82"/>
  <c r="AD12" i="82"/>
  <c r="Y12" i="82"/>
  <c r="AK12" i="82"/>
  <c r="AH12" i="82"/>
  <c r="AV12" i="82"/>
  <c r="AA12" i="82"/>
  <c r="BA12" i="82"/>
  <c r="AR12" i="82"/>
  <c r="AQ12" i="82"/>
  <c r="Z12" i="82"/>
  <c r="AG12" i="82"/>
  <c r="AW12" i="82"/>
  <c r="AY12" i="82"/>
  <c r="T12" i="82"/>
  <c r="U12" i="82"/>
  <c r="AJ12" i="82"/>
  <c r="AS12" i="82"/>
  <c r="AM12" i="82"/>
  <c r="AU12" i="82"/>
  <c r="X12" i="82"/>
  <c r="AL12" i="82"/>
  <c r="AE12" i="82"/>
  <c r="V12" i="82"/>
  <c r="AI12" i="82"/>
  <c r="AO12" i="82"/>
  <c r="P12" i="82"/>
  <c r="AX12" i="82"/>
  <c r="BB12" i="82"/>
  <c r="AB12" i="82"/>
  <c r="AC12" i="82"/>
  <c r="W12" i="82"/>
  <c r="Q12" i="82"/>
  <c r="AY33" i="90" l="1"/>
  <c r="AY36" i="90"/>
  <c r="BA33" i="90"/>
  <c r="BA36" i="90"/>
  <c r="Z33" i="90"/>
  <c r="Z36" i="90"/>
  <c r="AV33" i="90"/>
  <c r="AV36" i="90"/>
  <c r="W33" i="90"/>
  <c r="W36" i="90"/>
  <c r="T33" i="90"/>
  <c r="T36" i="90"/>
  <c r="AI33" i="90"/>
  <c r="AI36" i="90"/>
  <c r="AM33" i="90"/>
  <c r="AM36" i="90"/>
  <c r="AW33" i="90"/>
  <c r="AW36" i="90"/>
  <c r="BB33" i="90"/>
  <c r="BB36" i="90"/>
  <c r="AN33" i="90"/>
  <c r="AN36" i="90"/>
  <c r="Y33" i="90"/>
  <c r="Y36" i="90"/>
  <c r="AU33" i="90"/>
  <c r="AU36" i="90"/>
  <c r="AH33" i="90"/>
  <c r="AH36" i="90"/>
  <c r="AK33" i="90"/>
  <c r="AK36" i="90"/>
  <c r="AQ33" i="90"/>
  <c r="AQ36" i="90"/>
  <c r="AF33" i="90"/>
  <c r="AF36" i="90"/>
  <c r="AT33" i="90"/>
  <c r="AT36" i="90"/>
  <c r="AE33" i="90"/>
  <c r="AE36" i="90"/>
  <c r="Q33" i="90"/>
  <c r="Q36" i="90"/>
  <c r="AX33" i="90"/>
  <c r="AX36" i="90"/>
  <c r="R33" i="90"/>
  <c r="R36" i="90"/>
  <c r="AZ33" i="90"/>
  <c r="AZ36" i="90"/>
  <c r="AJ33" i="90"/>
  <c r="AJ36" i="90"/>
  <c r="AG33" i="90"/>
  <c r="AG36" i="90"/>
  <c r="X33" i="90"/>
  <c r="X36" i="90"/>
  <c r="P33" i="90"/>
  <c r="P36" i="90"/>
  <c r="P37" i="90" s="1"/>
  <c r="AD33" i="90"/>
  <c r="AD36" i="90"/>
  <c r="AC33" i="90"/>
  <c r="AC36" i="90"/>
  <c r="S33" i="90"/>
  <c r="S36" i="90"/>
  <c r="V33" i="90"/>
  <c r="V36" i="90"/>
  <c r="AS33" i="90"/>
  <c r="AS36" i="90"/>
  <c r="AB33" i="90"/>
  <c r="AB36" i="90"/>
  <c r="U33" i="90"/>
  <c r="U36" i="90"/>
  <c r="AO33" i="90"/>
  <c r="AO36" i="90"/>
  <c r="AR33" i="90"/>
  <c r="AR36" i="90"/>
  <c r="AL33" i="90"/>
  <c r="AL36" i="90"/>
  <c r="AA33" i="90"/>
  <c r="AA36" i="90"/>
  <c r="AP33" i="90"/>
  <c r="AP36" i="90"/>
  <c r="AH11" i="65"/>
  <c r="AX34" i="63"/>
  <c r="AJ34" i="63"/>
  <c r="AO11" i="65"/>
  <c r="V11" i="65"/>
  <c r="AP11" i="65"/>
  <c r="Z34" i="63"/>
  <c r="AN34" i="63"/>
  <c r="AB11" i="65"/>
  <c r="AF11" i="65"/>
  <c r="U11" i="65"/>
  <c r="AR11" i="65"/>
  <c r="AQ11" i="65"/>
  <c r="AD11" i="65"/>
  <c r="BA34" i="63"/>
  <c r="AG34" i="63"/>
  <c r="AE11" i="65"/>
  <c r="AA11" i="65"/>
  <c r="AW11" i="65"/>
  <c r="AV34" i="63"/>
  <c r="R11" i="65"/>
  <c r="AS11" i="65"/>
  <c r="Y34" i="63"/>
  <c r="T11" i="65"/>
  <c r="W34" i="63"/>
  <c r="AI34" i="63"/>
  <c r="AM11" i="65"/>
  <c r="AY11" i="65"/>
  <c r="S11" i="65"/>
  <c r="AT34" i="63"/>
  <c r="AZ11" i="65"/>
  <c r="Q11" i="65"/>
  <c r="P11" i="65"/>
  <c r="AK11" i="65"/>
  <c r="AU11" i="65"/>
  <c r="X11" i="65"/>
  <c r="AL11" i="65"/>
  <c r="AC34" i="63"/>
  <c r="BB11" i="65"/>
  <c r="AQ34" i="63"/>
  <c r="AS34" i="63"/>
  <c r="AP34" i="63"/>
  <c r="AY34" i="63"/>
  <c r="BB34" i="63"/>
  <c r="AW34" i="63"/>
  <c r="AO34" i="63"/>
  <c r="AX11" i="65"/>
  <c r="AT11" i="65"/>
  <c r="AZ34" i="63"/>
  <c r="AU34" i="63"/>
  <c r="AY24" i="63"/>
  <c r="BA24" i="63"/>
  <c r="AV11" i="65"/>
  <c r="AO24" i="63"/>
  <c r="AZ24" i="63"/>
  <c r="AR34" i="63"/>
  <c r="AP24" i="63"/>
  <c r="AU24" i="63"/>
  <c r="BA11" i="65"/>
  <c r="AW24" i="63"/>
  <c r="AQ24" i="63"/>
  <c r="AR24" i="63"/>
  <c r="BB24" i="63"/>
  <c r="AX24" i="63"/>
  <c r="AV24" i="63"/>
  <c r="AT24" i="63"/>
  <c r="AS24" i="63"/>
  <c r="AK34" i="63"/>
  <c r="X34" i="63"/>
  <c r="Q34" i="63"/>
  <c r="P34" i="63"/>
  <c r="W11" i="65"/>
  <c r="AC11" i="65"/>
  <c r="AL34" i="63"/>
  <c r="S34" i="63"/>
  <c r="AI11" i="65"/>
  <c r="AM34" i="63"/>
  <c r="AN11" i="65"/>
  <c r="T34" i="63"/>
  <c r="Z11" i="65"/>
  <c r="AG11" i="65"/>
  <c r="AB34" i="63"/>
  <c r="AJ11" i="65"/>
  <c r="Y11" i="65"/>
  <c r="AM24" i="63"/>
  <c r="AN24" i="63"/>
  <c r="R24" i="63"/>
  <c r="S24" i="63"/>
  <c r="U34" i="63"/>
  <c r="AG24" i="63"/>
  <c r="Z24" i="63"/>
  <c r="AA34" i="63"/>
  <c r="AC24" i="63"/>
  <c r="AB24" i="63"/>
  <c r="R34" i="63"/>
  <c r="AF34" i="63"/>
  <c r="AA24" i="63"/>
  <c r="AH34" i="63"/>
  <c r="AJ24" i="63"/>
  <c r="W24" i="63"/>
  <c r="P24" i="63"/>
  <c r="AH24" i="63"/>
  <c r="AK24" i="63"/>
  <c r="T24" i="63"/>
  <c r="AD34" i="63"/>
  <c r="Y24" i="63"/>
  <c r="Q24" i="63"/>
  <c r="AI24" i="63"/>
  <c r="V24" i="63"/>
  <c r="AD24" i="63"/>
  <c r="V34" i="63"/>
  <c r="AF24" i="63"/>
  <c r="AE34" i="63"/>
  <c r="U24" i="63"/>
  <c r="AE24" i="63"/>
  <c r="AL24" i="63"/>
  <c r="X24" i="63"/>
  <c r="Q44" i="63" l="1"/>
  <c r="Q56" i="63" s="1"/>
  <c r="Q57" i="63" s="1"/>
  <c r="T12" i="90"/>
  <c r="T23" i="90" s="1"/>
  <c r="T13" i="90"/>
  <c r="T24" i="90" s="1"/>
  <c r="AA14" i="90"/>
  <c r="AA27" i="90" s="1"/>
  <c r="AA11" i="90"/>
  <c r="AA35" i="90" s="1"/>
  <c r="S12" i="90"/>
  <c r="S23" i="90" s="1"/>
  <c r="S13" i="90"/>
  <c r="S24" i="90" s="1"/>
  <c r="AW12" i="90"/>
  <c r="AW23" i="90" s="1"/>
  <c r="AW13" i="90"/>
  <c r="AW24" i="90" s="1"/>
  <c r="AF12" i="90"/>
  <c r="AF23" i="90" s="1"/>
  <c r="AF13" i="90"/>
  <c r="AF24" i="90" s="1"/>
  <c r="AL12" i="90"/>
  <c r="AL23" i="90" s="1"/>
  <c r="AL13" i="90"/>
  <c r="AL24" i="90" s="1"/>
  <c r="AW14" i="90"/>
  <c r="AW27" i="90" s="1"/>
  <c r="AW11" i="90"/>
  <c r="AW35" i="90" s="1"/>
  <c r="BB13" i="90"/>
  <c r="BB24" i="90" s="1"/>
  <c r="BB12" i="90"/>
  <c r="BB23" i="90" s="1"/>
  <c r="AP14" i="90"/>
  <c r="AP27" i="90" s="1"/>
  <c r="AP11" i="90"/>
  <c r="AP35" i="90" s="1"/>
  <c r="AU12" i="90"/>
  <c r="AU23" i="90" s="1"/>
  <c r="AU13" i="90"/>
  <c r="AU24" i="90" s="1"/>
  <c r="AR14" i="90"/>
  <c r="AR27" i="90" s="1"/>
  <c r="AR11" i="90"/>
  <c r="AR35" i="90" s="1"/>
  <c r="AH12" i="90"/>
  <c r="AH23" i="90" s="1"/>
  <c r="AH13" i="90"/>
  <c r="AH24" i="90" s="1"/>
  <c r="AB14" i="90"/>
  <c r="AB27" i="90" s="1"/>
  <c r="AB11" i="90"/>
  <c r="AB35" i="90" s="1"/>
  <c r="AE14" i="90"/>
  <c r="AE27" i="90" s="1"/>
  <c r="AE11" i="90"/>
  <c r="AE35" i="90" s="1"/>
  <c r="AU14" i="90"/>
  <c r="AU27" i="90" s="1"/>
  <c r="AU11" i="90"/>
  <c r="AU35" i="90" s="1"/>
  <c r="AG14" i="90"/>
  <c r="AG27" i="90" s="1"/>
  <c r="AG11" i="90"/>
  <c r="AG35" i="90" s="1"/>
  <c r="AV12" i="90"/>
  <c r="AV23" i="90" s="1"/>
  <c r="AV13" i="90"/>
  <c r="AV24" i="90" s="1"/>
  <c r="AC14" i="90"/>
  <c r="AC27" i="90" s="1"/>
  <c r="AC11" i="90"/>
  <c r="AC35" i="90" s="1"/>
  <c r="Y13" i="90"/>
  <c r="Y24" i="90" s="1"/>
  <c r="Y12" i="90"/>
  <c r="Y23" i="90" s="1"/>
  <c r="S14" i="90"/>
  <c r="S27" i="90" s="1"/>
  <c r="S11" i="90"/>
  <c r="S35" i="90" s="1"/>
  <c r="AZ14" i="90"/>
  <c r="AZ27" i="90" s="1"/>
  <c r="AZ11" i="90"/>
  <c r="AZ35" i="90" s="1"/>
  <c r="AK14" i="90"/>
  <c r="AK27" i="90" s="1"/>
  <c r="AK11" i="90"/>
  <c r="AK35" i="90" s="1"/>
  <c r="W13" i="90"/>
  <c r="W24" i="90" s="1"/>
  <c r="W12" i="90"/>
  <c r="W23" i="90" s="1"/>
  <c r="X14" i="90"/>
  <c r="X27" i="90" s="1"/>
  <c r="X11" i="90"/>
  <c r="X35" i="90" s="1"/>
  <c r="P13" i="90"/>
  <c r="P24" i="90" s="1"/>
  <c r="P12" i="90"/>
  <c r="P23" i="90" s="1"/>
  <c r="AK12" i="90"/>
  <c r="AK23" i="90" s="1"/>
  <c r="AK13" i="90"/>
  <c r="AK24" i="90" s="1"/>
  <c r="R14" i="90"/>
  <c r="R27" i="90" s="1"/>
  <c r="R11" i="90"/>
  <c r="R35" i="90" s="1"/>
  <c r="AN14" i="90"/>
  <c r="AN27" i="90" s="1"/>
  <c r="AN11" i="90"/>
  <c r="AN35" i="90" s="1"/>
  <c r="AO14" i="90"/>
  <c r="AO27" i="90" s="1"/>
  <c r="AO11" i="90"/>
  <c r="AO35" i="90" s="1"/>
  <c r="AM14" i="90"/>
  <c r="AM27" i="90" s="1"/>
  <c r="AM11" i="90"/>
  <c r="AM35" i="90" s="1"/>
  <c r="AY14" i="90"/>
  <c r="AY27" i="90" s="1"/>
  <c r="AY11" i="90"/>
  <c r="AY35" i="90" s="1"/>
  <c r="P14" i="90"/>
  <c r="P27" i="90" s="1"/>
  <c r="P11" i="90"/>
  <c r="P35" i="90" s="1"/>
  <c r="W14" i="90"/>
  <c r="W27" i="90" s="1"/>
  <c r="W11" i="90"/>
  <c r="W35" i="90" s="1"/>
  <c r="AJ14" i="90"/>
  <c r="AJ27" i="90" s="1"/>
  <c r="AJ11" i="90"/>
  <c r="AJ35" i="90" s="1"/>
  <c r="AO13" i="90"/>
  <c r="AO24" i="90" s="1"/>
  <c r="AO12" i="90"/>
  <c r="AO23" i="90" s="1"/>
  <c r="AS12" i="90"/>
  <c r="AS23" i="90" s="1"/>
  <c r="AS13" i="90"/>
  <c r="AS24" i="90" s="1"/>
  <c r="X13" i="90"/>
  <c r="X24" i="90" s="1"/>
  <c r="X12" i="90"/>
  <c r="X23" i="90" s="1"/>
  <c r="AF14" i="90"/>
  <c r="AF27" i="90" s="1"/>
  <c r="AF11" i="90"/>
  <c r="AF35" i="90" s="1"/>
  <c r="AT13" i="90"/>
  <c r="AT24" i="90" s="1"/>
  <c r="AT12" i="90"/>
  <c r="AT23" i="90" s="1"/>
  <c r="AD14" i="90"/>
  <c r="AD27" i="90" s="1"/>
  <c r="AD11" i="90"/>
  <c r="AD35" i="90" s="1"/>
  <c r="AS14" i="90"/>
  <c r="AS27" i="90" s="1"/>
  <c r="AS11" i="90"/>
  <c r="AS35" i="90" s="1"/>
  <c r="V14" i="90"/>
  <c r="V27" i="90" s="1"/>
  <c r="V11" i="90"/>
  <c r="V35" i="90" s="1"/>
  <c r="AX12" i="90"/>
  <c r="AX23" i="90" s="1"/>
  <c r="AX13" i="90"/>
  <c r="AX24" i="90" s="1"/>
  <c r="AT14" i="90"/>
  <c r="AT27" i="90" s="1"/>
  <c r="AT11" i="90"/>
  <c r="AT35" i="90" s="1"/>
  <c r="Y14" i="90"/>
  <c r="Y27" i="90" s="1"/>
  <c r="Y11" i="90"/>
  <c r="Y35" i="90" s="1"/>
  <c r="AV14" i="90"/>
  <c r="AV27" i="90" s="1"/>
  <c r="AV11" i="90"/>
  <c r="AV35" i="90" s="1"/>
  <c r="AH14" i="90"/>
  <c r="AH27" i="90" s="1"/>
  <c r="AH11" i="90"/>
  <c r="AH35" i="90" s="1"/>
  <c r="AM12" i="90"/>
  <c r="AM23" i="90" s="1"/>
  <c r="AM13" i="90"/>
  <c r="AM24" i="90" s="1"/>
  <c r="AQ14" i="90"/>
  <c r="AQ27" i="90" s="1"/>
  <c r="AQ11" i="90"/>
  <c r="AQ35" i="90" s="1"/>
  <c r="R13" i="90"/>
  <c r="R24" i="90" s="1"/>
  <c r="R12" i="90"/>
  <c r="R23" i="90" s="1"/>
  <c r="AG12" i="90"/>
  <c r="AG23" i="90" s="1"/>
  <c r="AG13" i="90"/>
  <c r="AG24" i="90" s="1"/>
  <c r="U14" i="90"/>
  <c r="U27" i="90" s="1"/>
  <c r="U11" i="90"/>
  <c r="U35" i="90" s="1"/>
  <c r="AA13" i="90"/>
  <c r="AA24" i="90" s="1"/>
  <c r="AA12" i="90"/>
  <c r="AA23" i="90" s="1"/>
  <c r="Q12" i="90"/>
  <c r="Q23" i="90" s="1"/>
  <c r="Q13" i="90"/>
  <c r="Q24" i="90" s="1"/>
  <c r="AR13" i="90"/>
  <c r="AR24" i="90" s="1"/>
  <c r="AR12" i="90"/>
  <c r="AR23" i="90" s="1"/>
  <c r="U12" i="90"/>
  <c r="U23" i="90" s="1"/>
  <c r="U13" i="90"/>
  <c r="U24" i="90" s="1"/>
  <c r="AC12" i="90"/>
  <c r="AC23" i="90" s="1"/>
  <c r="AC13" i="90"/>
  <c r="AC24" i="90" s="1"/>
  <c r="BA14" i="90"/>
  <c r="BA27" i="90" s="1"/>
  <c r="BA11" i="90"/>
  <c r="BA35" i="90" s="1"/>
  <c r="AN13" i="90"/>
  <c r="AN24" i="90" s="1"/>
  <c r="AN12" i="90"/>
  <c r="AN23" i="90" s="1"/>
  <c r="BB14" i="90"/>
  <c r="BB27" i="90" s="1"/>
  <c r="BB11" i="90"/>
  <c r="BB35" i="90" s="1"/>
  <c r="AZ13" i="90"/>
  <c r="AZ24" i="90" s="1"/>
  <c r="AZ12" i="90"/>
  <c r="AZ23" i="90" s="1"/>
  <c r="AY12" i="90"/>
  <c r="AY23" i="90" s="1"/>
  <c r="AY13" i="90"/>
  <c r="AY24" i="90" s="1"/>
  <c r="AL14" i="90"/>
  <c r="AL27" i="90" s="1"/>
  <c r="AL11" i="90"/>
  <c r="AL35" i="90" s="1"/>
  <c r="AP13" i="90"/>
  <c r="AP24" i="90" s="1"/>
  <c r="AP12" i="90"/>
  <c r="AP23" i="90" s="1"/>
  <c r="AQ13" i="90"/>
  <c r="AQ24" i="90" s="1"/>
  <c r="AQ12" i="90"/>
  <c r="AQ23" i="90" s="1"/>
  <c r="AE13" i="90"/>
  <c r="AE24" i="90" s="1"/>
  <c r="AE12" i="90"/>
  <c r="AE23" i="90" s="1"/>
  <c r="Z14" i="90"/>
  <c r="Z27" i="90" s="1"/>
  <c r="Z11" i="90"/>
  <c r="Z35" i="90" s="1"/>
  <c r="BA12" i="90"/>
  <c r="BA23" i="90" s="1"/>
  <c r="BA13" i="90"/>
  <c r="BA24" i="90" s="1"/>
  <c r="V12" i="90"/>
  <c r="V23" i="90" s="1"/>
  <c r="V13" i="90"/>
  <c r="V24" i="90" s="1"/>
  <c r="AJ13" i="90"/>
  <c r="AJ24" i="90" s="1"/>
  <c r="AJ12" i="90"/>
  <c r="AJ23" i="90" s="1"/>
  <c r="AI14" i="90"/>
  <c r="AI27" i="90" s="1"/>
  <c r="AI11" i="90"/>
  <c r="AI35" i="90" s="1"/>
  <c r="Q14" i="90"/>
  <c r="Q27" i="90" s="1"/>
  <c r="Q11" i="90"/>
  <c r="Q35" i="90" s="1"/>
  <c r="AD12" i="90"/>
  <c r="AD23" i="90" s="1"/>
  <c r="AD13" i="90"/>
  <c r="AD24" i="90" s="1"/>
  <c r="T14" i="90"/>
  <c r="T27" i="90" s="1"/>
  <c r="T11" i="90"/>
  <c r="T35" i="90" s="1"/>
  <c r="AB13" i="90"/>
  <c r="AB24" i="90" s="1"/>
  <c r="AB12" i="90"/>
  <c r="AB23" i="90" s="1"/>
  <c r="AX14" i="90"/>
  <c r="AX27" i="90" s="1"/>
  <c r="AX11" i="90"/>
  <c r="AX35" i="90" s="1"/>
  <c r="AI13" i="90"/>
  <c r="AI24" i="90" s="1"/>
  <c r="AI12" i="90"/>
  <c r="AI23" i="90" s="1"/>
  <c r="Z13" i="90"/>
  <c r="Z24" i="90" s="1"/>
  <c r="Z12" i="90"/>
  <c r="Z23" i="90" s="1"/>
  <c r="X82" i="63"/>
  <c r="AL82" i="63"/>
  <c r="AE82" i="63"/>
  <c r="U82" i="63"/>
  <c r="AF82" i="63"/>
  <c r="AD82" i="63"/>
  <c r="V82" i="63"/>
  <c r="AI82" i="63"/>
  <c r="Q82" i="63"/>
  <c r="Y82" i="63"/>
  <c r="T82" i="63"/>
  <c r="AK82" i="63"/>
  <c r="AH82" i="63"/>
  <c r="P82" i="63"/>
  <c r="W82" i="63"/>
  <c r="AJ82" i="63"/>
  <c r="AA82" i="63"/>
  <c r="AB82" i="63"/>
  <c r="AC82" i="63"/>
  <c r="Z82" i="63"/>
  <c r="AG82" i="63"/>
  <c r="S82" i="63"/>
  <c r="R82" i="63"/>
  <c r="AN82" i="63"/>
  <c r="AM82" i="63"/>
  <c r="AS82" i="63"/>
  <c r="AT82" i="63"/>
  <c r="AV82" i="63"/>
  <c r="AX82" i="63"/>
  <c r="BB82" i="63"/>
  <c r="AR82" i="63"/>
  <c r="AQ82" i="63"/>
  <c r="AW82" i="63"/>
  <c r="AU82" i="63"/>
  <c r="AP82" i="63"/>
  <c r="AZ82" i="63"/>
  <c r="AO82" i="63"/>
  <c r="BA82" i="63"/>
  <c r="AY82" i="63"/>
  <c r="AS29" i="63"/>
  <c r="AS30" i="63" s="1"/>
  <c r="AV29" i="63"/>
  <c r="AV30" i="63" s="1"/>
  <c r="AT29" i="63"/>
  <c r="AT30" i="63" s="1"/>
  <c r="AY29" i="63"/>
  <c r="AY30" i="63" s="1"/>
  <c r="AY112" i="63"/>
  <c r="AY114" i="63" s="1"/>
  <c r="AO112" i="63"/>
  <c r="AO114" i="63" s="1"/>
  <c r="P44" i="63"/>
  <c r="P56" i="63" s="1"/>
  <c r="P57" i="63" s="1"/>
  <c r="AO29" i="63"/>
  <c r="AO30" i="63" s="1"/>
  <c r="AP29" i="63"/>
  <c r="AP30" i="63" s="1"/>
  <c r="AZ29" i="63"/>
  <c r="AZ30" i="63" s="1"/>
  <c r="AV112" i="63"/>
  <c r="AV114" i="63" s="1"/>
  <c r="AX112" i="63"/>
  <c r="AX114" i="63" s="1"/>
  <c r="BA112" i="63"/>
  <c r="BA114" i="63" s="1"/>
  <c r="AS112" i="63"/>
  <c r="AS114" i="63" s="1"/>
  <c r="AU112" i="63"/>
  <c r="AU114" i="63" s="1"/>
  <c r="AZ112" i="63"/>
  <c r="AZ114" i="63" s="1"/>
  <c r="AP112" i="63"/>
  <c r="AP114" i="63" s="1"/>
  <c r="BB29" i="63"/>
  <c r="BB30" i="63" s="1"/>
  <c r="AW29" i="63"/>
  <c r="AR29" i="63"/>
  <c r="AR30" i="63" s="1"/>
  <c r="AU29" i="63"/>
  <c r="AU30" i="63" s="1"/>
  <c r="BB112" i="63"/>
  <c r="BB114" i="63" s="1"/>
  <c r="AR112" i="63"/>
  <c r="AR114" i="63" s="1"/>
  <c r="AQ112" i="63"/>
  <c r="AQ114" i="63" s="1"/>
  <c r="AW112" i="63"/>
  <c r="AW114" i="63" s="1"/>
  <c r="AT112" i="63"/>
  <c r="AT114" i="63" s="1"/>
  <c r="AA44" i="63"/>
  <c r="AA56" i="63" s="1"/>
  <c r="AA57" i="63" s="1"/>
  <c r="AB112" i="63"/>
  <c r="AB114" i="63" s="1"/>
  <c r="AE29" i="63"/>
  <c r="AE30" i="63" s="1"/>
  <c r="AM112" i="63"/>
  <c r="AM114" i="63" s="1"/>
  <c r="AF112" i="63"/>
  <c r="AF114" i="63" s="1"/>
  <c r="R112" i="63"/>
  <c r="R114" i="63" s="1"/>
  <c r="AI112" i="63"/>
  <c r="AI114" i="63" s="1"/>
  <c r="T112" i="63"/>
  <c r="T114" i="63" s="1"/>
  <c r="P29" i="63"/>
  <c r="P30" i="63" s="1"/>
  <c r="W112" i="63"/>
  <c r="W114" i="63" s="1"/>
  <c r="U29" i="63"/>
  <c r="U30" i="63" s="1"/>
  <c r="AK112" i="63"/>
  <c r="AK114" i="63" s="1"/>
  <c r="AC112" i="63"/>
  <c r="AC114" i="63" s="1"/>
  <c r="Q112" i="63"/>
  <c r="Q114" i="63" s="1"/>
  <c r="AL29" i="63"/>
  <c r="AL30" i="63" s="1"/>
  <c r="X44" i="63"/>
  <c r="X56" i="63" s="1"/>
  <c r="X57" i="63" s="1"/>
  <c r="AD112" i="63"/>
  <c r="AD114" i="63" s="1"/>
  <c r="S29" i="63"/>
  <c r="S30" i="63" s="1"/>
  <c r="T44" i="63"/>
  <c r="T56" i="63" s="1"/>
  <c r="T57" i="63" s="1"/>
  <c r="R29" i="63"/>
  <c r="R30" i="63" s="1"/>
  <c r="AE112" i="63"/>
  <c r="AE114" i="63" s="1"/>
  <c r="AM29" i="63"/>
  <c r="AM30" i="63" s="1"/>
  <c r="U112" i="63"/>
  <c r="U114" i="63" s="1"/>
  <c r="AN112" i="63"/>
  <c r="AN114" i="63" s="1"/>
  <c r="AJ29" i="63"/>
  <c r="AJ30" i="63" s="1"/>
  <c r="AJ112" i="63"/>
  <c r="AJ114" i="63" s="1"/>
  <c r="Y29" i="63"/>
  <c r="Y30" i="63" s="1"/>
  <c r="AK29" i="63"/>
  <c r="AK30" i="63" s="1"/>
  <c r="S112" i="63"/>
  <c r="S114" i="63" s="1"/>
  <c r="Q29" i="63"/>
  <c r="Q30" i="63" s="1"/>
  <c r="X29" i="63"/>
  <c r="X30" i="63" s="1"/>
  <c r="AG29" i="63"/>
  <c r="AG30" i="63" s="1"/>
  <c r="Y44" i="63"/>
  <c r="Y56" i="63" s="1"/>
  <c r="Y57" i="63" s="1"/>
  <c r="P112" i="63"/>
  <c r="P114" i="63" s="1"/>
  <c r="X112" i="63"/>
  <c r="X114" i="63" s="1"/>
  <c r="W44" i="63"/>
  <c r="W56" i="63" s="1"/>
  <c r="W57" i="63" s="1"/>
  <c r="V29" i="63"/>
  <c r="V30" i="63" s="1"/>
  <c r="AA29" i="63"/>
  <c r="AA30" i="63" s="1"/>
  <c r="AG112" i="63"/>
  <c r="AG114" i="63" s="1"/>
  <c r="V112" i="63"/>
  <c r="V114" i="63" s="1"/>
  <c r="V44" i="63"/>
  <c r="V56" i="63" s="1"/>
  <c r="V57" i="63" s="1"/>
  <c r="Z112" i="63"/>
  <c r="Z114" i="63" s="1"/>
  <c r="AL112" i="63"/>
  <c r="AL114" i="63" s="1"/>
  <c r="AI29" i="63"/>
  <c r="AI30" i="63" s="1"/>
  <c r="AA112" i="63"/>
  <c r="AA114" i="63" s="1"/>
  <c r="Y112" i="63"/>
  <c r="Y114" i="63" s="1"/>
  <c r="AH112" i="63"/>
  <c r="AH114" i="63" s="1"/>
  <c r="AC29" i="63"/>
  <c r="AC30" i="63" s="1"/>
  <c r="W29" i="63"/>
  <c r="W30" i="63" s="1"/>
  <c r="AX29" i="63"/>
  <c r="AX30" i="63" s="1"/>
  <c r="Z29" i="63"/>
  <c r="Z30" i="63" s="1"/>
  <c r="AQ29" i="63"/>
  <c r="AQ30" i="63" s="1"/>
  <c r="BA29" i="63"/>
  <c r="BA30" i="63" s="1"/>
  <c r="T29" i="63"/>
  <c r="T30" i="63" s="1"/>
  <c r="AN29" i="63"/>
  <c r="AN30" i="63" s="1"/>
  <c r="AB29" i="63"/>
  <c r="AB30" i="63" s="1"/>
  <c r="AH29" i="63"/>
  <c r="AH30" i="63" s="1"/>
  <c r="AF29" i="63"/>
  <c r="AF30" i="63" s="1"/>
  <c r="AD29" i="63"/>
  <c r="AD30" i="63" s="1"/>
  <c r="R44" i="63"/>
  <c r="R56" i="63" s="1"/>
  <c r="R57" i="63" s="1"/>
  <c r="S44" i="63"/>
  <c r="S56" i="63" s="1"/>
  <c r="S57" i="63" s="1"/>
  <c r="U44" i="63"/>
  <c r="U56" i="63" s="1"/>
  <c r="U57" i="63" s="1"/>
  <c r="Z44" i="63"/>
  <c r="Z56" i="63" s="1"/>
  <c r="Z57" i="63" s="1"/>
  <c r="U59" i="90" l="1"/>
  <c r="U48" i="90"/>
  <c r="AW26" i="90"/>
  <c r="AW28" i="90"/>
  <c r="W59" i="90"/>
  <c r="W48" i="90"/>
  <c r="AE26" i="90"/>
  <c r="AE28" i="90"/>
  <c r="T59" i="90"/>
  <c r="T48" i="90"/>
  <c r="AX26" i="90"/>
  <c r="AX28" i="90"/>
  <c r="X59" i="90"/>
  <c r="X48" i="90"/>
  <c r="AY26" i="90"/>
  <c r="AY28" i="90"/>
  <c r="AU26" i="90"/>
  <c r="AU28" i="90"/>
  <c r="AQ26" i="90"/>
  <c r="AQ28" i="90"/>
  <c r="R48" i="90"/>
  <c r="R59" i="90"/>
  <c r="Q48" i="90"/>
  <c r="Q59" i="90"/>
  <c r="AD26" i="90"/>
  <c r="AD28" i="90"/>
  <c r="T26" i="90"/>
  <c r="T28" i="90"/>
  <c r="BA26" i="90"/>
  <c r="BA28" i="90"/>
  <c r="AK26" i="90"/>
  <c r="AK28" i="90"/>
  <c r="AB26" i="90"/>
  <c r="AB28" i="90"/>
  <c r="V59" i="90"/>
  <c r="V48" i="90"/>
  <c r="S59" i="90"/>
  <c r="S48" i="90"/>
  <c r="AS26" i="90"/>
  <c r="AS28" i="90"/>
  <c r="AZ26" i="90"/>
  <c r="AZ28" i="90"/>
  <c r="AL26" i="90"/>
  <c r="AL28" i="90"/>
  <c r="AO26" i="90"/>
  <c r="AO28" i="90"/>
  <c r="S26" i="90"/>
  <c r="S28" i="90"/>
  <c r="X26" i="90"/>
  <c r="X28" i="90"/>
  <c r="AI26" i="90"/>
  <c r="AI28" i="90"/>
  <c r="AV26" i="90"/>
  <c r="AV28" i="90"/>
  <c r="AR26" i="90"/>
  <c r="AR28" i="90"/>
  <c r="AN26" i="90"/>
  <c r="AN28" i="90"/>
  <c r="Y26" i="90"/>
  <c r="Y28" i="90"/>
  <c r="V26" i="90"/>
  <c r="V28" i="90"/>
  <c r="Y59" i="90"/>
  <c r="Y48" i="90"/>
  <c r="AF26" i="90"/>
  <c r="AF28" i="90"/>
  <c r="Z26" i="90"/>
  <c r="Z28" i="90"/>
  <c r="P48" i="90"/>
  <c r="P59" i="90"/>
  <c r="AJ26" i="90"/>
  <c r="AJ28" i="90"/>
  <c r="AC26" i="90"/>
  <c r="AC28" i="90"/>
  <c r="AA48" i="90"/>
  <c r="AA59" i="90"/>
  <c r="AA26" i="90"/>
  <c r="AA28" i="90"/>
  <c r="AM26" i="90"/>
  <c r="AM28" i="90"/>
  <c r="AH26" i="90"/>
  <c r="AH28" i="90"/>
  <c r="BB26" i="90"/>
  <c r="BB28" i="90"/>
  <c r="W26" i="90"/>
  <c r="W28" i="90"/>
  <c r="AP26" i="90"/>
  <c r="AP28" i="90"/>
  <c r="U26" i="90"/>
  <c r="U28" i="90"/>
  <c r="AG26" i="90"/>
  <c r="AG28" i="90"/>
  <c r="Q26" i="90"/>
  <c r="Q28" i="90"/>
  <c r="R26" i="90"/>
  <c r="R28" i="90"/>
  <c r="AT26" i="90"/>
  <c r="AT28" i="90"/>
  <c r="Z59" i="90"/>
  <c r="Z48" i="90"/>
  <c r="P26" i="90"/>
  <c r="P28" i="90"/>
  <c r="P29" i="90" s="1"/>
  <c r="AW30" i="63"/>
  <c r="BB44" i="63"/>
  <c r="BB56" i="63" s="1"/>
  <c r="BB57" i="63" s="1"/>
  <c r="AL44" i="63"/>
  <c r="AL56" i="63" s="1"/>
  <c r="AL57" i="63" s="1"/>
  <c r="AR44" i="63"/>
  <c r="AR56" i="63" s="1"/>
  <c r="AR57" i="63" s="1"/>
  <c r="BA44" i="63"/>
  <c r="BA56" i="63" s="1"/>
  <c r="BA57" i="63" s="1"/>
  <c r="AB44" i="63"/>
  <c r="AB56" i="63" s="1"/>
  <c r="AB57" i="63" s="1"/>
  <c r="AC44" i="63"/>
  <c r="AJ44" i="63"/>
  <c r="AJ56" i="63" s="1"/>
  <c r="AJ57" i="63" s="1"/>
  <c r="AI44" i="63"/>
  <c r="AI56" i="63" s="1"/>
  <c r="AI57" i="63" s="1"/>
  <c r="AS44" i="63"/>
  <c r="AS56" i="63" s="1"/>
  <c r="AS57" i="63" s="1"/>
  <c r="AK44" i="63"/>
  <c r="AK56" i="63" s="1"/>
  <c r="AK57" i="63" s="1"/>
  <c r="AT44" i="63"/>
  <c r="AT56" i="63" s="1"/>
  <c r="AT57" i="63" s="1"/>
  <c r="AD44" i="63"/>
  <c r="AD56" i="63" s="1"/>
  <c r="AD57" i="63" s="1"/>
  <c r="AT59" i="90" l="1"/>
  <c r="AT48" i="90"/>
  <c r="AI59" i="90"/>
  <c r="AI48" i="90"/>
  <c r="BA59" i="90"/>
  <c r="BA48" i="90"/>
  <c r="AD59" i="90"/>
  <c r="AD48" i="90"/>
  <c r="AS48" i="90"/>
  <c r="AS59" i="90"/>
  <c r="AR48" i="90"/>
  <c r="AR59" i="90"/>
  <c r="AL48" i="90"/>
  <c r="AL59" i="90"/>
  <c r="AB48" i="90"/>
  <c r="AB59" i="90"/>
  <c r="AK48" i="90"/>
  <c r="AK59" i="90"/>
  <c r="AJ48" i="90"/>
  <c r="AJ59" i="90"/>
  <c r="BB59" i="90"/>
  <c r="BB48" i="90"/>
  <c r="AC56" i="63"/>
  <c r="AC57" i="63" s="1"/>
  <c r="AQ44" i="63"/>
  <c r="AQ56" i="63" s="1"/>
  <c r="AQ57" i="63" s="1"/>
  <c r="AM44" i="63"/>
  <c r="AM56" i="63" s="1"/>
  <c r="AM57" i="63" s="1"/>
  <c r="AP44" i="63"/>
  <c r="AP56" i="63" s="1"/>
  <c r="AP57" i="63" s="1"/>
  <c r="AN44" i="63"/>
  <c r="AN56" i="63" s="1"/>
  <c r="AN57" i="63" s="1"/>
  <c r="AO44" i="63"/>
  <c r="AO56" i="63" s="1"/>
  <c r="AO57" i="63" s="1"/>
  <c r="AY44" i="63"/>
  <c r="AY56" i="63" s="1"/>
  <c r="AY57" i="63" s="1"/>
  <c r="AZ44" i="63"/>
  <c r="AZ56" i="63" s="1"/>
  <c r="AZ57" i="63" s="1"/>
  <c r="AU44" i="63"/>
  <c r="AU56" i="63" s="1"/>
  <c r="AU57" i="63" s="1"/>
  <c r="AW44" i="63"/>
  <c r="AW56" i="63" s="1"/>
  <c r="AW57" i="63" s="1"/>
  <c r="AV44" i="63"/>
  <c r="AV56" i="63" s="1"/>
  <c r="AV57" i="63" s="1"/>
  <c r="AX44" i="63"/>
  <c r="AX56" i="63" s="1"/>
  <c r="AX57" i="63" s="1"/>
  <c r="AF44" i="63"/>
  <c r="AF56" i="63" s="1"/>
  <c r="AF57" i="63" s="1"/>
  <c r="AE44" i="63"/>
  <c r="AE56" i="63" s="1"/>
  <c r="AE57" i="63" s="1"/>
  <c r="AH44" i="63"/>
  <c r="AH56" i="63" s="1"/>
  <c r="AH57" i="63" s="1"/>
  <c r="AG44" i="63"/>
  <c r="AG56" i="63" s="1"/>
  <c r="AG57" i="63" s="1"/>
  <c r="AX59" i="90" l="1"/>
  <c r="AX48" i="90"/>
  <c r="AG59" i="90"/>
  <c r="AG48" i="90"/>
  <c r="AH59" i="90"/>
  <c r="AH48" i="90"/>
  <c r="AV59" i="90"/>
  <c r="AV48" i="90"/>
  <c r="AN48" i="90"/>
  <c r="AN59" i="90"/>
  <c r="AE59" i="90"/>
  <c r="AE48" i="90"/>
  <c r="AU59" i="90"/>
  <c r="AU48" i="90"/>
  <c r="AC48" i="90"/>
  <c r="AC59" i="90"/>
  <c r="AF59" i="90"/>
  <c r="AF48" i="90"/>
  <c r="AO48" i="90"/>
  <c r="AO59" i="90"/>
  <c r="AW59" i="90"/>
  <c r="AW48" i="90"/>
  <c r="AZ59" i="90"/>
  <c r="AZ48" i="90"/>
  <c r="AY48" i="90"/>
  <c r="AY59" i="90"/>
  <c r="AP48" i="90"/>
  <c r="AP59" i="90"/>
  <c r="AM48" i="90"/>
  <c r="AM59" i="90"/>
  <c r="AQ59" i="90"/>
  <c r="AQ48" i="90"/>
  <c r="P60" i="82" l="1"/>
  <c r="P102" i="63"/>
  <c r="P27" i="63" l="1"/>
  <c r="P40" i="63" s="1"/>
  <c r="P49" i="63" s="1"/>
  <c r="P13" i="65"/>
  <c r="P37" i="63" l="1"/>
  <c r="P47" i="63" s="1"/>
  <c r="P64" i="63" s="1"/>
  <c r="P66" i="63" s="1"/>
  <c r="P122" i="63" s="1"/>
  <c r="P39" i="90" l="1"/>
  <c r="P57" i="90"/>
  <c r="P65" i="63"/>
  <c r="P67" i="63" s="1"/>
  <c r="P106" i="63" s="1"/>
  <c r="P60" i="90" l="1"/>
  <c r="P70" i="63"/>
  <c r="P73" i="63" s="1"/>
  <c r="P107" i="63"/>
  <c r="P115" i="63"/>
  <c r="P116" i="63" s="1"/>
  <c r="P145" i="63" l="1"/>
  <c r="P150" i="63" s="1"/>
  <c r="P20" i="65" s="1"/>
  <c r="P61" i="90"/>
  <c r="P62" i="90" s="1"/>
  <c r="P124" i="63"/>
  <c r="P125" i="63"/>
  <c r="P63" i="90" l="1"/>
  <c r="P126" i="63"/>
  <c r="P23" i="65" l="1"/>
  <c r="Q120" i="63"/>
  <c r="Q108" i="63" s="1"/>
  <c r="Q18" i="90" s="1"/>
  <c r="Q38" i="90" l="1"/>
  <c r="Q37" i="90"/>
  <c r="Q121" i="63"/>
  <c r="Q52" i="82"/>
  <c r="Q54" i="82" s="1"/>
  <c r="Q60" i="82" l="1"/>
  <c r="Q102" i="63"/>
  <c r="Q27" i="63" l="1"/>
  <c r="Q13" i="65"/>
  <c r="Q37" i="63" l="1"/>
  <c r="Q40" i="63"/>
  <c r="Q49" i="63" s="1"/>
  <c r="Q47" i="63" l="1"/>
  <c r="Q65" i="63" s="1"/>
  <c r="Q67" i="63" s="1"/>
  <c r="Q106" i="63" s="1"/>
  <c r="Q60" i="90" l="1"/>
  <c r="Q70" i="63"/>
  <c r="Q73" i="63" s="1"/>
  <c r="Q64" i="63"/>
  <c r="Q66" i="63" s="1"/>
  <c r="Q115" i="63"/>
  <c r="Q116" i="63" s="1"/>
  <c r="Q122" i="63" l="1"/>
  <c r="Q107" i="63"/>
  <c r="Q124" i="63" s="1"/>
  <c r="Q61" i="90" l="1"/>
  <c r="Q39" i="90"/>
  <c r="Q57" i="90"/>
  <c r="Q145" i="63"/>
  <c r="Q150" i="63" s="1"/>
  <c r="Q20" i="65" s="1"/>
  <c r="Q125" i="63"/>
  <c r="Q126" i="63" s="1"/>
  <c r="Q62" i="90" l="1"/>
  <c r="Q63" i="90" s="1"/>
  <c r="R120" i="63"/>
  <c r="Q23" i="65"/>
  <c r="R108" i="63" l="1"/>
  <c r="R18" i="90" s="1"/>
  <c r="R121" i="63"/>
  <c r="R38" i="90" l="1"/>
  <c r="R37" i="90"/>
  <c r="R52" i="82"/>
  <c r="R54" i="82" s="1"/>
  <c r="R60" i="82" l="1"/>
  <c r="R102" i="63"/>
  <c r="R27" i="63" l="1"/>
  <c r="R13" i="65"/>
  <c r="R37" i="63" l="1"/>
  <c r="R40" i="63"/>
  <c r="R49" i="63" s="1"/>
  <c r="R47" i="63" l="1"/>
  <c r="R65" i="63" s="1"/>
  <c r="R67" i="63" s="1"/>
  <c r="R106" i="63" s="1"/>
  <c r="R70" i="63" l="1"/>
  <c r="R73" i="63" s="1"/>
  <c r="R60" i="90"/>
  <c r="R64" i="63"/>
  <c r="R66" i="63" s="1"/>
  <c r="R122" i="63" s="1"/>
  <c r="R115" i="63"/>
  <c r="R116" i="63" s="1"/>
  <c r="R57" i="90" l="1"/>
  <c r="R39" i="90"/>
  <c r="R125" i="63"/>
  <c r="R107" i="63"/>
  <c r="R124" i="63" s="1"/>
  <c r="R145" i="63" l="1"/>
  <c r="R150" i="63" s="1"/>
  <c r="R20" i="65" s="1"/>
  <c r="R61" i="90"/>
  <c r="R62" i="90" s="1"/>
  <c r="R126" i="63"/>
  <c r="R63" i="90" l="1"/>
  <c r="R23" i="65"/>
  <c r="S120" i="63"/>
  <c r="S121" i="63" l="1"/>
  <c r="S108" i="63"/>
  <c r="S18" i="90" s="1"/>
  <c r="S38" i="90" l="1"/>
  <c r="S37" i="90"/>
  <c r="S52" i="82"/>
  <c r="S54" i="82" l="1"/>
  <c r="S102" i="63" s="1"/>
  <c r="S60" i="82" l="1"/>
  <c r="S27" i="63" s="1"/>
  <c r="S40" i="63" s="1"/>
  <c r="S49" i="63" s="1"/>
  <c r="S13" i="65" l="1"/>
  <c r="S37" i="63"/>
  <c r="S47" i="63" s="1"/>
  <c r="S64" i="63" s="1"/>
  <c r="S66" i="63" s="1"/>
  <c r="S65" i="63" l="1"/>
  <c r="S67" i="63" s="1"/>
  <c r="S106" i="63" s="1"/>
  <c r="S122" i="63"/>
  <c r="S60" i="90" l="1"/>
  <c r="S70" i="63"/>
  <c r="S73" i="63" s="1"/>
  <c r="S39" i="90"/>
  <c r="S57" i="90"/>
  <c r="S115" i="63"/>
  <c r="S116" i="63" s="1"/>
  <c r="S125" i="63" s="1"/>
  <c r="S107" i="63" l="1"/>
  <c r="S124" i="63" s="1"/>
  <c r="S61" i="90" l="1"/>
  <c r="S62" i="90" s="1"/>
  <c r="S126" i="63"/>
  <c r="S145" i="63"/>
  <c r="S150" i="63" s="1"/>
  <c r="S20" i="65" s="1"/>
  <c r="S23" i="65" l="1"/>
  <c r="T120" i="63"/>
  <c r="T121" i="63" s="1"/>
  <c r="S63" i="90"/>
  <c r="T108" i="63" l="1"/>
  <c r="T18" i="90" s="1"/>
  <c r="T38" i="90" s="1"/>
  <c r="T52" i="82" l="1"/>
  <c r="T54" i="82" s="1"/>
  <c r="T60" i="82" s="1"/>
  <c r="T37" i="90"/>
  <c r="T102" i="63" l="1"/>
  <c r="T27" i="63"/>
  <c r="T13" i="65"/>
  <c r="T40" i="63" l="1"/>
  <c r="T49" i="63" s="1"/>
  <c r="T37" i="63"/>
  <c r="T47" i="63" l="1"/>
  <c r="T65" i="63" s="1"/>
  <c r="T67" i="63" s="1"/>
  <c r="T106" i="63" s="1"/>
  <c r="T60" i="90" l="1"/>
  <c r="T70" i="63"/>
  <c r="T73" i="63" s="1"/>
  <c r="T64" i="63"/>
  <c r="T66" i="63" s="1"/>
  <c r="T122" i="63" s="1"/>
  <c r="T115" i="63"/>
  <c r="T116" i="63" s="1"/>
  <c r="T39" i="90" l="1"/>
  <c r="T57" i="90"/>
  <c r="T125" i="63"/>
  <c r="T107" i="63"/>
  <c r="T124" i="63" s="1"/>
  <c r="T61" i="90" l="1"/>
  <c r="T62" i="90" s="1"/>
  <c r="T126" i="63"/>
  <c r="T145" i="63"/>
  <c r="T150" i="63" s="1"/>
  <c r="T20" i="65" s="1"/>
  <c r="U120" i="63" l="1"/>
  <c r="U121" i="63" s="1"/>
  <c r="T23" i="65"/>
  <c r="T63" i="90"/>
  <c r="U108" i="63" l="1"/>
  <c r="U18" i="90" s="1"/>
  <c r="U37" i="90" s="1"/>
  <c r="U52" i="82" l="1"/>
  <c r="U54" i="82" s="1"/>
  <c r="U60" i="82" s="1"/>
  <c r="U13" i="65" s="1"/>
  <c r="U38" i="90"/>
  <c r="U102" i="63" l="1"/>
  <c r="U27" i="63"/>
  <c r="U40" i="63" s="1"/>
  <c r="U49" i="63" s="1"/>
  <c r="U37" i="63" l="1"/>
  <c r="U47" i="63" s="1"/>
  <c r="U65" i="63" s="1"/>
  <c r="U67" i="63" s="1"/>
  <c r="U115" i="63" s="1"/>
  <c r="U116" i="63" s="1"/>
  <c r="U106" i="63" l="1"/>
  <c r="U107" i="63" s="1"/>
  <c r="U124" i="63" s="1"/>
  <c r="U64" i="63"/>
  <c r="U66" i="63" s="1"/>
  <c r="U122" i="63" s="1"/>
  <c r="U60" i="90"/>
  <c r="U70" i="63"/>
  <c r="U73" i="63" s="1"/>
  <c r="U125" i="63"/>
  <c r="U61" i="90" l="1"/>
  <c r="U57" i="90"/>
  <c r="U39" i="90"/>
  <c r="U145" i="63"/>
  <c r="U150" i="63" s="1"/>
  <c r="U20" i="65" s="1"/>
  <c r="U126" i="63"/>
  <c r="U62" i="90" l="1"/>
  <c r="U63" i="90" s="1"/>
  <c r="U23" i="65"/>
  <c r="V120" i="63"/>
  <c r="V121" i="63" l="1"/>
  <c r="V108" i="63"/>
  <c r="V18" i="90" s="1"/>
  <c r="V38" i="90" l="1"/>
  <c r="V37" i="90"/>
  <c r="V52" i="82"/>
  <c r="V54" i="82" s="1"/>
  <c r="V60" i="82" l="1"/>
  <c r="V102" i="63"/>
  <c r="V27" i="63" l="1"/>
  <c r="V13" i="65"/>
  <c r="V40" i="63" l="1"/>
  <c r="V49" i="63" s="1"/>
  <c r="V37" i="63"/>
  <c r="V47" i="63" l="1"/>
  <c r="V65" i="63" s="1"/>
  <c r="V67" i="63" s="1"/>
  <c r="V106" i="63" s="1"/>
  <c r="V60" i="90" l="1"/>
  <c r="V70" i="63"/>
  <c r="V73" i="63" s="1"/>
  <c r="V64" i="63"/>
  <c r="V66" i="63" s="1"/>
  <c r="V122" i="63" s="1"/>
  <c r="V115" i="63"/>
  <c r="V116" i="63" s="1"/>
  <c r="V57" i="90" l="1"/>
  <c r="V39" i="90"/>
  <c r="V125" i="63"/>
  <c r="V107" i="63"/>
  <c r="V124" i="63" s="1"/>
  <c r="V61" i="90" l="1"/>
  <c r="V62" i="90" s="1"/>
  <c r="V126" i="63"/>
  <c r="V145" i="63"/>
  <c r="V150" i="63" s="1"/>
  <c r="V20" i="65" s="1"/>
  <c r="V23" i="65" l="1"/>
  <c r="W120" i="63"/>
  <c r="W121" i="63" s="1"/>
  <c r="V63" i="90"/>
  <c r="W108" i="63" l="1"/>
  <c r="W18" i="90" s="1"/>
  <c r="W38" i="90" s="1"/>
  <c r="W52" i="82" l="1"/>
  <c r="W54" i="82" s="1"/>
  <c r="W60" i="82" s="1"/>
  <c r="W37" i="90"/>
  <c r="W102" i="63" l="1"/>
  <c r="W27" i="63"/>
  <c r="W13" i="65"/>
  <c r="W37" i="63" l="1"/>
  <c r="W40" i="63"/>
  <c r="W49" i="63" s="1"/>
  <c r="W47" i="63" l="1"/>
  <c r="W65" i="63" s="1"/>
  <c r="W67" i="63" s="1"/>
  <c r="W106" i="63" s="1"/>
  <c r="W60" i="90" l="1"/>
  <c r="W70" i="63"/>
  <c r="W73" i="63" s="1"/>
  <c r="W64" i="63"/>
  <c r="W66" i="63" s="1"/>
  <c r="W115" i="63"/>
  <c r="W116" i="63" s="1"/>
  <c r="W122" i="63" l="1"/>
  <c r="W125" i="63"/>
  <c r="W107" i="63"/>
  <c r="W124" i="63" s="1"/>
  <c r="W61" i="90" l="1"/>
  <c r="W57" i="90"/>
  <c r="W39" i="90"/>
  <c r="W145" i="63"/>
  <c r="W150" i="63" s="1"/>
  <c r="W20" i="65" s="1"/>
  <c r="W126" i="63"/>
  <c r="W62" i="90" l="1"/>
  <c r="W63" i="90" s="1"/>
  <c r="X120" i="63"/>
  <c r="W23" i="65"/>
  <c r="X121" i="63" l="1"/>
  <c r="X108" i="63"/>
  <c r="X18" i="90" s="1"/>
  <c r="X38" i="90" l="1"/>
  <c r="X37" i="90"/>
  <c r="X52" i="82"/>
  <c r="X54" i="82" s="1"/>
  <c r="X60" i="82" l="1"/>
  <c r="X102" i="63"/>
  <c r="X13" i="65" l="1"/>
  <c r="X27" i="63"/>
  <c r="X40" i="63" l="1"/>
  <c r="X49" i="63" s="1"/>
  <c r="X37" i="63"/>
  <c r="X47" i="63" l="1"/>
  <c r="X64" i="63" s="1"/>
  <c r="X66" i="63" s="1"/>
  <c r="X65" i="63" l="1"/>
  <c r="X67" i="63" s="1"/>
  <c r="X106" i="63" s="1"/>
  <c r="X122" i="63"/>
  <c r="X60" i="90" l="1"/>
  <c r="X70" i="63"/>
  <c r="X73" i="63" s="1"/>
  <c r="X57" i="90"/>
  <c r="X39" i="90"/>
  <c r="X115" i="63"/>
  <c r="X116" i="63" s="1"/>
  <c r="X125" i="63" s="1"/>
  <c r="X107" i="63" l="1"/>
  <c r="X124" i="63" s="1"/>
  <c r="X61" i="90" l="1"/>
  <c r="X62" i="90" s="1"/>
  <c r="X126" i="63"/>
  <c r="X145" i="63"/>
  <c r="X150" i="63" s="1"/>
  <c r="X20" i="65" s="1"/>
  <c r="X23" i="65" l="1"/>
  <c r="X63" i="90"/>
  <c r="Y120" i="63"/>
  <c r="Y121" i="63" s="1"/>
  <c r="Y108" i="63" l="1"/>
  <c r="Y18" i="90" s="1"/>
  <c r="Y38" i="90" s="1"/>
  <c r="Y52" i="82" l="1"/>
  <c r="Y54" i="82" s="1"/>
  <c r="Y60" i="82" s="1"/>
  <c r="Y37" i="90"/>
  <c r="Y102" i="63" l="1"/>
  <c r="Y13" i="65"/>
  <c r="Y27" i="63"/>
  <c r="Y37" i="63" l="1"/>
  <c r="Y40" i="63"/>
  <c r="Y49" i="63" s="1"/>
  <c r="Y47" i="63" l="1"/>
  <c r="Y64" i="63" s="1"/>
  <c r="Y66" i="63" s="1"/>
  <c r="Y65" i="63" l="1"/>
  <c r="Y67" i="63" s="1"/>
  <c r="Y106" i="63" s="1"/>
  <c r="Y122" i="63"/>
  <c r="Y60" i="90" l="1"/>
  <c r="Y70" i="63"/>
  <c r="Y73" i="63" s="1"/>
  <c r="Y57" i="90"/>
  <c r="Y39" i="90"/>
  <c r="Y115" i="63"/>
  <c r="Y116" i="63" s="1"/>
  <c r="Y125" i="63" s="1"/>
  <c r="Y107" i="63" l="1"/>
  <c r="Y124" i="63" s="1"/>
  <c r="Y61" i="90" l="1"/>
  <c r="Y62" i="90" s="1"/>
  <c r="Y126" i="63"/>
  <c r="Y145" i="63"/>
  <c r="Y150" i="63" s="1"/>
  <c r="Y20" i="65" s="1"/>
  <c r="Y63" i="90" l="1"/>
  <c r="Z120" i="63"/>
  <c r="Z121" i="63" s="1"/>
  <c r="Y23" i="65"/>
  <c r="Z108" i="63" l="1"/>
  <c r="Z18" i="90" s="1"/>
  <c r="Z38" i="90" s="1"/>
  <c r="Z52" i="82" l="1"/>
  <c r="Z54" i="82" s="1"/>
  <c r="Z102" i="63" s="1"/>
  <c r="Z37" i="90"/>
  <c r="Z60" i="82" l="1"/>
  <c r="Z13" i="65" s="1"/>
  <c r="Z27" i="63" l="1"/>
  <c r="Z37" i="63" s="1"/>
  <c r="Z40" i="63" l="1"/>
  <c r="Z49" i="63" s="1"/>
  <c r="Z47" i="63"/>
  <c r="Z64" i="63" l="1"/>
  <c r="Z66" i="63" s="1"/>
  <c r="Z122" i="63" s="1"/>
  <c r="Z65" i="63"/>
  <c r="Z67" i="63" s="1"/>
  <c r="Z106" i="63" s="1"/>
  <c r="Z60" i="90" l="1"/>
  <c r="Z70" i="63"/>
  <c r="Z73" i="63" s="1"/>
  <c r="Z57" i="90"/>
  <c r="Z39" i="90"/>
  <c r="Z115" i="63"/>
  <c r="Z116" i="63" s="1"/>
  <c r="Z125" i="63" s="1"/>
  <c r="Z107" i="63" l="1"/>
  <c r="Z124" i="63" s="1"/>
  <c r="Z61" i="90" l="1"/>
  <c r="Z62" i="90" s="1"/>
  <c r="Z126" i="63"/>
  <c r="Z145" i="63"/>
  <c r="Z150" i="63" s="1"/>
  <c r="Z20" i="65" s="1"/>
  <c r="AA120" i="63" l="1"/>
  <c r="AA121" i="63" s="1"/>
  <c r="Z23" i="65"/>
  <c r="Z63" i="90"/>
  <c r="AA108" i="63" l="1"/>
  <c r="AA18" i="90" s="1"/>
  <c r="AA38" i="90" s="1"/>
  <c r="AA37" i="90" l="1"/>
  <c r="AA52" i="82"/>
  <c r="AA54" i="82" s="1"/>
  <c r="AA60" i="82" s="1"/>
  <c r="AA102" i="63" l="1"/>
  <c r="AA13" i="65"/>
  <c r="AA27" i="63"/>
  <c r="AA40" i="63" l="1"/>
  <c r="AA49" i="63" s="1"/>
  <c r="AA37" i="63"/>
  <c r="AA47" i="63" l="1"/>
  <c r="AA65" i="63" s="1"/>
  <c r="AA67" i="63" s="1"/>
  <c r="AA106" i="63" l="1"/>
  <c r="AA70" i="63"/>
  <c r="AA73" i="63" s="1"/>
  <c r="AA60" i="90"/>
  <c r="AA64" i="63"/>
  <c r="AA66" i="63" s="1"/>
  <c r="AA122" i="63" s="1"/>
  <c r="AA115" i="63"/>
  <c r="AA116" i="63" s="1"/>
  <c r="AA107" i="63" l="1"/>
  <c r="AA124" i="63" s="1"/>
  <c r="AA39" i="90"/>
  <c r="AA57" i="90"/>
  <c r="AA125" i="63"/>
  <c r="AA145" i="63" l="1"/>
  <c r="AA150" i="63" s="1"/>
  <c r="AA20" i="65" s="1"/>
  <c r="AA61" i="90"/>
  <c r="AA62" i="90" s="1"/>
  <c r="AA126" i="63"/>
  <c r="AA23" i="65" s="1"/>
  <c r="AA63" i="90" l="1"/>
  <c r="AB120" i="63"/>
  <c r="AB121" i="63" s="1"/>
  <c r="AB108" i="63" l="1"/>
  <c r="AB18" i="90" s="1"/>
  <c r="AB38" i="90" l="1"/>
  <c r="AB37" i="90"/>
  <c r="AB52" i="82"/>
  <c r="AB54" i="82" s="1"/>
  <c r="AB102" i="63" l="1"/>
  <c r="AB60" i="82"/>
  <c r="AB13" i="65" l="1"/>
  <c r="AB27" i="63"/>
  <c r="AB40" i="63" s="1"/>
  <c r="AB49" i="63" s="1"/>
  <c r="AB37" i="63" l="1"/>
  <c r="AB47" i="63" l="1"/>
  <c r="AB65" i="63" l="1"/>
  <c r="AB67" i="63" s="1"/>
  <c r="AB64" i="63"/>
  <c r="AB66" i="63" s="1"/>
  <c r="AB122" i="63" s="1"/>
  <c r="AB106" i="63" l="1"/>
  <c r="AB70" i="63"/>
  <c r="AB73" i="63" s="1"/>
  <c r="AB57" i="90"/>
  <c r="AB39" i="90"/>
  <c r="AB60" i="90"/>
  <c r="AB115" i="63"/>
  <c r="AB116" i="63" s="1"/>
  <c r="AB125" i="63" l="1"/>
  <c r="AB107" i="63"/>
  <c r="AB124" i="63" s="1"/>
  <c r="AB126" i="63" l="1"/>
  <c r="AB145" i="63"/>
  <c r="AB150" i="63" s="1"/>
  <c r="AB20" i="65" s="1"/>
  <c r="AB61" i="90"/>
  <c r="AB62" i="90" s="1"/>
  <c r="AB23" i="65" l="1"/>
  <c r="AC120" i="63"/>
  <c r="AB63" i="90"/>
  <c r="AC121" i="63" l="1"/>
  <c r="AC108" i="63"/>
  <c r="AC18" i="90" l="1"/>
  <c r="AC52" i="82"/>
  <c r="AC54" i="82" s="1"/>
  <c r="AC102" i="63" l="1"/>
  <c r="AC60" i="82"/>
  <c r="AC38" i="90"/>
  <c r="AC37" i="90"/>
  <c r="AC13" i="65" l="1"/>
  <c r="AC27" i="63"/>
  <c r="AC40" i="63" l="1"/>
  <c r="AC49" i="63" s="1"/>
  <c r="AC37" i="63"/>
  <c r="AC47" i="63" l="1"/>
  <c r="AC64" i="63" l="1"/>
  <c r="AC66" i="63" s="1"/>
  <c r="AC122" i="63" s="1"/>
  <c r="AC65" i="63"/>
  <c r="AC67" i="63" s="1"/>
  <c r="AC106" i="63" l="1"/>
  <c r="AC70" i="63"/>
  <c r="AC73" i="63" s="1"/>
  <c r="AC60" i="90"/>
  <c r="AC115" i="63"/>
  <c r="AC116" i="63" s="1"/>
  <c r="AC39" i="90"/>
  <c r="AC57" i="90"/>
  <c r="AC107" i="63" l="1"/>
  <c r="AC124" i="63" s="1"/>
  <c r="AC125" i="63"/>
  <c r="AC126" i="63" l="1"/>
  <c r="AC23" i="65" s="1"/>
  <c r="AC145" i="63"/>
  <c r="AC150" i="63" s="1"/>
  <c r="AC20" i="65" s="1"/>
  <c r="AC61" i="90"/>
  <c r="AD120" i="63" l="1"/>
  <c r="AD121" i="63" s="1"/>
  <c r="AC62" i="90"/>
  <c r="AC63" i="90" s="1"/>
  <c r="AD108" i="63" l="1"/>
  <c r="AD52" i="82" l="1"/>
  <c r="AD54" i="82" s="1"/>
  <c r="AD102" i="63" s="1"/>
  <c r="AD18" i="90"/>
  <c r="AD37" i="90" s="1"/>
  <c r="AD60" i="82" l="1"/>
  <c r="AD27" i="63" s="1"/>
  <c r="AD38" i="90"/>
  <c r="AD13" i="65" l="1"/>
  <c r="AD40" i="63"/>
  <c r="AD49" i="63" s="1"/>
  <c r="AD37" i="63"/>
  <c r="AD47" i="63" l="1"/>
  <c r="AD64" i="63" l="1"/>
  <c r="AD66" i="63" s="1"/>
  <c r="AD122" i="63" s="1"/>
  <c r="AD65" i="63"/>
  <c r="AD67" i="63" s="1"/>
  <c r="AD106" i="63" l="1"/>
  <c r="AD70" i="63"/>
  <c r="AD73" i="63" s="1"/>
  <c r="AD60" i="90"/>
  <c r="AD115" i="63"/>
  <c r="AD116" i="63" s="1"/>
  <c r="AD39" i="90"/>
  <c r="AD57" i="90"/>
  <c r="AD107" i="63" l="1"/>
  <c r="AD124" i="63" s="1"/>
  <c r="AD125" i="63"/>
  <c r="AD126" i="63" l="1"/>
  <c r="AE120" i="63" s="1"/>
  <c r="AD61" i="90"/>
  <c r="AD62" i="90" s="1"/>
  <c r="AD145" i="63"/>
  <c r="AD150" i="63" s="1"/>
  <c r="AD20" i="65" s="1"/>
  <c r="AD23" i="65" l="1"/>
  <c r="AD63" i="90"/>
  <c r="AE121" i="63"/>
  <c r="AE108" i="63"/>
  <c r="AE18" i="90" l="1"/>
  <c r="AE52" i="82"/>
  <c r="AE54" i="82" s="1"/>
  <c r="AE102" i="63" l="1"/>
  <c r="AE60" i="82"/>
  <c r="AE37" i="90"/>
  <c r="AE38" i="90"/>
  <c r="AE27" i="63" l="1"/>
  <c r="AE13" i="65"/>
  <c r="AE40" i="63" l="1"/>
  <c r="AE49" i="63" s="1"/>
  <c r="AE37" i="63"/>
  <c r="AE47" i="63" l="1"/>
  <c r="AE64" i="63" s="1"/>
  <c r="AE66" i="63" s="1"/>
  <c r="AE122" i="63" s="1"/>
  <c r="AE65" i="63" l="1"/>
  <c r="AE67" i="63" s="1"/>
  <c r="AE106" i="63" s="1"/>
  <c r="AE57" i="90"/>
  <c r="AE39" i="90"/>
  <c r="AE70" i="63" l="1"/>
  <c r="AE73" i="63" s="1"/>
  <c r="AE107" i="63"/>
  <c r="AE115" i="63"/>
  <c r="AE116" i="63" s="1"/>
  <c r="AE60" i="90"/>
  <c r="AE125" i="63" l="1"/>
  <c r="AE124" i="63"/>
  <c r="AE61" i="90"/>
  <c r="AE62" i="90" s="1"/>
  <c r="AE145" i="63"/>
  <c r="AE150" i="63" s="1"/>
  <c r="AE20" i="65" s="1"/>
  <c r="AE126" i="63" l="1"/>
  <c r="AF120" i="63" s="1"/>
  <c r="AE63" i="90"/>
  <c r="AE23" i="65" l="1"/>
  <c r="AF121" i="63"/>
  <c r="AF108" i="63"/>
  <c r="AF18" i="90" l="1"/>
  <c r="AF52" i="82"/>
  <c r="AF54" i="82" s="1"/>
  <c r="AF60" i="82" l="1"/>
  <c r="AF102" i="63"/>
  <c r="AF38" i="90"/>
  <c r="AF37" i="90"/>
  <c r="AF13" i="65" l="1"/>
  <c r="AF27" i="63"/>
  <c r="AF37" i="63" l="1"/>
  <c r="AF40" i="63"/>
  <c r="AF49" i="63" s="1"/>
  <c r="AF47" i="63" l="1"/>
  <c r="AF64" i="63" s="1"/>
  <c r="AF66" i="63" s="1"/>
  <c r="AF122" i="63" s="1"/>
  <c r="AF57" i="90" l="1"/>
  <c r="AF39" i="90"/>
  <c r="AF65" i="63"/>
  <c r="AF67" i="63" s="1"/>
  <c r="AF106" i="63" s="1"/>
  <c r="AG54" i="82"/>
  <c r="AG102" i="63" s="1"/>
  <c r="AF70" i="63" l="1"/>
  <c r="AF73" i="63" s="1"/>
  <c r="AF60" i="90"/>
  <c r="AF115" i="63"/>
  <c r="AF116" i="63" s="1"/>
  <c r="AF107" i="63"/>
  <c r="AG60" i="82"/>
  <c r="AF124" i="63" l="1"/>
  <c r="AF61" i="90"/>
  <c r="AF62" i="90" s="1"/>
  <c r="AF125" i="63"/>
  <c r="AF145" i="63"/>
  <c r="AF150" i="63" s="1"/>
  <c r="AF20" i="65" s="1"/>
  <c r="AG27" i="63"/>
  <c r="AG13" i="65"/>
  <c r="AF63" i="90" l="1"/>
  <c r="AF126" i="63"/>
  <c r="AG120" i="63" s="1"/>
  <c r="AG40" i="63"/>
  <c r="AG49" i="63" s="1"/>
  <c r="AG37" i="63"/>
  <c r="AF23" i="65" l="1"/>
  <c r="AG47" i="63"/>
  <c r="AG65" i="63" s="1"/>
  <c r="AG67" i="63" s="1"/>
  <c r="AG106" i="63" s="1"/>
  <c r="AG121" i="63"/>
  <c r="AG108" i="63"/>
  <c r="AG70" i="63" l="1"/>
  <c r="AG73" i="63" s="1"/>
  <c r="AG64" i="63"/>
  <c r="AG66" i="63" s="1"/>
  <c r="AG122" i="63" s="1"/>
  <c r="AG39" i="90" s="1"/>
  <c r="AG18" i="90"/>
  <c r="AG52" i="82"/>
  <c r="AG60" i="90"/>
  <c r="AG107" i="63"/>
  <c r="AG124" i="63" s="1"/>
  <c r="AG115" i="63"/>
  <c r="AG116" i="63" s="1"/>
  <c r="AG145" i="63" l="1"/>
  <c r="AG150" i="63" s="1"/>
  <c r="AG20" i="65" s="1"/>
  <c r="AG57" i="90"/>
  <c r="AG61" i="90"/>
  <c r="AG38" i="90"/>
  <c r="AG37" i="90"/>
  <c r="AG125" i="63"/>
  <c r="AG126" i="63" s="1"/>
  <c r="AG62" i="90" l="1"/>
  <c r="AG63" i="90" s="1"/>
  <c r="AH120" i="63"/>
  <c r="AH121" i="63" s="1"/>
  <c r="AG23" i="65"/>
  <c r="AH108" i="63" l="1"/>
  <c r="AH18" i="90" s="1"/>
  <c r="AH38" i="90" s="1"/>
  <c r="AH52" i="82" l="1"/>
  <c r="AH54" i="82" s="1"/>
  <c r="AH37" i="90"/>
  <c r="AH60" i="82" l="1"/>
  <c r="AH102" i="63"/>
  <c r="AH13" i="65" l="1"/>
  <c r="AH27" i="63"/>
  <c r="AH37" i="63" l="1"/>
  <c r="AH40" i="63"/>
  <c r="AH49" i="63" s="1"/>
  <c r="AH47" i="63" l="1"/>
  <c r="AH64" i="63" l="1"/>
  <c r="AH66" i="63" s="1"/>
  <c r="AH122" i="63" s="1"/>
  <c r="AH65" i="63"/>
  <c r="AH67" i="63" s="1"/>
  <c r="AH106" i="63" s="1"/>
  <c r="AH70" i="63" l="1"/>
  <c r="AH73" i="63" s="1"/>
  <c r="AH115" i="63"/>
  <c r="AH116" i="63" s="1"/>
  <c r="AH60" i="90"/>
  <c r="AH107" i="63"/>
  <c r="AH124" i="63" s="1"/>
  <c r="AH57" i="90"/>
  <c r="AH39" i="90"/>
  <c r="AH61" i="90" l="1"/>
  <c r="AH62" i="90" s="1"/>
  <c r="AH145" i="63"/>
  <c r="AH150" i="63" s="1"/>
  <c r="AH20" i="65" s="1"/>
  <c r="AH125" i="63"/>
  <c r="AH126" i="63" s="1"/>
  <c r="AH63" i="90" l="1"/>
  <c r="AI120" i="63"/>
  <c r="AI108" i="63" s="1"/>
  <c r="AI18" i="90" s="1"/>
  <c r="AI38" i="90" s="1"/>
  <c r="AH23" i="65"/>
  <c r="AI52" i="82" l="1"/>
  <c r="AI54" i="82" s="1"/>
  <c r="AI102" i="63" s="1"/>
  <c r="AI121" i="63"/>
  <c r="AI37" i="90"/>
  <c r="AI60" i="82" l="1"/>
  <c r="AI27" i="63" s="1"/>
  <c r="AI13" i="65" l="1"/>
  <c r="AI37" i="63"/>
  <c r="AI40" i="63"/>
  <c r="AI49" i="63" s="1"/>
  <c r="AI47" i="63" l="1"/>
  <c r="AI64" i="63" s="1"/>
  <c r="AI66" i="63" s="1"/>
  <c r="AI65" i="63" l="1"/>
  <c r="AI67" i="63" s="1"/>
  <c r="AI106" i="63" s="1"/>
  <c r="AI122" i="63"/>
  <c r="AI60" i="90" l="1"/>
  <c r="AI70" i="63"/>
  <c r="AI73" i="63" s="1"/>
  <c r="AI57" i="90"/>
  <c r="AI39" i="90"/>
  <c r="AI115" i="63"/>
  <c r="AI116" i="63" s="1"/>
  <c r="AI125" i="63" s="1"/>
  <c r="AI107" i="63" l="1"/>
  <c r="AI124" i="63" s="1"/>
  <c r="AI126" i="63" s="1"/>
  <c r="AI145" i="63" l="1"/>
  <c r="AI150" i="63" s="1"/>
  <c r="AI20" i="65" s="1"/>
  <c r="AI61" i="90"/>
  <c r="AI62" i="90" s="1"/>
  <c r="AJ120" i="63"/>
  <c r="AI23" i="65"/>
  <c r="AI63" i="90" l="1"/>
  <c r="AJ121" i="63"/>
  <c r="AJ108" i="63"/>
  <c r="AJ18" i="90" s="1"/>
  <c r="AJ38" i="90" l="1"/>
  <c r="AJ37" i="90"/>
  <c r="AJ52" i="82"/>
  <c r="AJ54" i="82" l="1"/>
  <c r="AJ102" i="63" s="1"/>
  <c r="AJ60" i="82" l="1"/>
  <c r="AJ27" i="63" l="1"/>
  <c r="AJ13" i="65"/>
  <c r="AJ40" i="63" l="1"/>
  <c r="AJ49" i="63" s="1"/>
  <c r="AJ37" i="63"/>
  <c r="AJ47" i="63" l="1"/>
  <c r="AJ64" i="63" s="1"/>
  <c r="AJ66" i="63" s="1"/>
  <c r="AJ122" i="63" s="1"/>
  <c r="AJ39" i="90" l="1"/>
  <c r="AJ57" i="90"/>
  <c r="AJ65" i="63"/>
  <c r="AJ67" i="63" s="1"/>
  <c r="AJ106" i="63" s="1"/>
  <c r="AJ60" i="90" l="1"/>
  <c r="AJ107" i="63"/>
  <c r="AJ124" i="63" s="1"/>
  <c r="AJ115" i="63"/>
  <c r="AJ116" i="63" s="1"/>
  <c r="AJ125" i="63" s="1"/>
  <c r="AJ70" i="63"/>
  <c r="AJ73" i="63" s="1"/>
  <c r="AJ126" i="63" l="1"/>
  <c r="AJ61" i="90"/>
  <c r="AJ62" i="90" s="1"/>
  <c r="AJ145" i="63"/>
  <c r="AJ150" i="63" s="1"/>
  <c r="AJ20" i="65" s="1"/>
  <c r="AJ63" i="90" l="1"/>
  <c r="AK120" i="63"/>
  <c r="AK121" i="63" s="1"/>
  <c r="AJ23" i="65"/>
  <c r="AK108" i="63" l="1"/>
  <c r="AK18" i="90" s="1"/>
  <c r="AK38" i="90" s="1"/>
  <c r="AK37" i="90" l="1"/>
  <c r="AK52" i="82"/>
  <c r="AK54" i="82" s="1"/>
  <c r="AK60" i="82" s="1"/>
  <c r="AK27" i="63" s="1"/>
  <c r="AK13" i="65" l="1"/>
  <c r="AK102" i="63"/>
  <c r="AK40" i="63"/>
  <c r="AK49" i="63" s="1"/>
  <c r="AK37" i="63"/>
  <c r="AK47" i="63" l="1"/>
  <c r="AK65" i="63" s="1"/>
  <c r="AK67" i="63" s="1"/>
  <c r="AK106" i="63" s="1"/>
  <c r="AK60" i="90" l="1"/>
  <c r="AK70" i="63"/>
  <c r="AK73" i="63" s="1"/>
  <c r="AK64" i="63"/>
  <c r="AK66" i="63" s="1"/>
  <c r="AK115" i="63"/>
  <c r="AK116" i="63" s="1"/>
  <c r="AK122" i="63" l="1"/>
  <c r="AK125" i="63"/>
  <c r="AK107" i="63"/>
  <c r="AK124" i="63" s="1"/>
  <c r="AK61" i="90" l="1"/>
  <c r="AK39" i="90"/>
  <c r="AK57" i="90"/>
  <c r="AK145" i="63"/>
  <c r="AK150" i="63" s="1"/>
  <c r="AK20" i="65" s="1"/>
  <c r="AK126" i="63"/>
  <c r="AK62" i="90" l="1"/>
  <c r="AK63" i="90" s="1"/>
  <c r="AK23" i="65"/>
  <c r="AL120" i="63"/>
  <c r="AL121" i="63" l="1"/>
  <c r="AL108" i="63"/>
  <c r="AL18" i="90" s="1"/>
  <c r="AP125" i="63"/>
  <c r="AL38" i="90" l="1"/>
  <c r="AL37" i="90"/>
  <c r="AL52" i="82"/>
  <c r="AL54" i="82" s="1"/>
  <c r="AL60" i="82" l="1"/>
  <c r="AL102" i="63"/>
  <c r="AL27" i="63" l="1"/>
  <c r="AL13" i="65"/>
  <c r="AL40" i="63" l="1"/>
  <c r="AL49" i="63" s="1"/>
  <c r="AL37" i="63"/>
  <c r="AL47" i="63" l="1"/>
  <c r="AL65" i="63" s="1"/>
  <c r="AL67" i="63" s="1"/>
  <c r="AL106" i="63" s="1"/>
  <c r="AL60" i="90" l="1"/>
  <c r="AL70" i="63"/>
  <c r="AL73" i="63" s="1"/>
  <c r="AL64" i="63"/>
  <c r="AL66" i="63" s="1"/>
  <c r="AL115" i="63"/>
  <c r="AL116" i="63" s="1"/>
  <c r="AL122" i="63" l="1"/>
  <c r="AL125" i="63"/>
  <c r="AL107" i="63"/>
  <c r="AL124" i="63" s="1"/>
  <c r="AL61" i="90" l="1"/>
  <c r="AL39" i="90"/>
  <c r="AL57" i="90"/>
  <c r="AL145" i="63"/>
  <c r="AL150" i="63" s="1"/>
  <c r="AL20" i="65" s="1"/>
  <c r="AL126" i="63"/>
  <c r="AL62" i="90" l="1"/>
  <c r="AL63" i="90" s="1"/>
  <c r="AM120" i="63"/>
  <c r="AL23" i="65"/>
  <c r="AQ125" i="63"/>
  <c r="AM121" i="63" l="1"/>
  <c r="AM108" i="63"/>
  <c r="AM18" i="90" s="1"/>
  <c r="AM38" i="90" l="1"/>
  <c r="AM37" i="90"/>
  <c r="AM52" i="82"/>
  <c r="AM54" i="82" s="1"/>
  <c r="AM102" i="63" l="1"/>
  <c r="AM60" i="82"/>
  <c r="AM27" i="63" l="1"/>
  <c r="AM13" i="65"/>
  <c r="AM40" i="63" l="1"/>
  <c r="AM49" i="63" s="1"/>
  <c r="AM37" i="63"/>
  <c r="AM47" i="63" l="1"/>
  <c r="AM65" i="63" s="1"/>
  <c r="AM67" i="63" s="1"/>
  <c r="AM106" i="63" s="1"/>
  <c r="AM60" i="90" l="1"/>
  <c r="AM70" i="63"/>
  <c r="AM73" i="63" s="1"/>
  <c r="AM64" i="63"/>
  <c r="AM66" i="63" s="1"/>
  <c r="AM115" i="63"/>
  <c r="AM116" i="63" s="1"/>
  <c r="AR125" i="63"/>
  <c r="AM122" i="63" l="1"/>
  <c r="AM125" i="63"/>
  <c r="AM107" i="63"/>
  <c r="AM124" i="63" s="1"/>
  <c r="AM61" i="90" l="1"/>
  <c r="AM39" i="90"/>
  <c r="AM57" i="90"/>
  <c r="AM145" i="63"/>
  <c r="AM150" i="63" s="1"/>
  <c r="AM20" i="65" s="1"/>
  <c r="AM126" i="63"/>
  <c r="AM62" i="90" l="1"/>
  <c r="AM63" i="90" s="1"/>
  <c r="AM23" i="65"/>
  <c r="AN120" i="63"/>
  <c r="AN121" i="63" l="1"/>
  <c r="AN108" i="63"/>
  <c r="AN18" i="90" s="1"/>
  <c r="AN38" i="90" l="1"/>
  <c r="AN37" i="90"/>
  <c r="AN52" i="82"/>
  <c r="AN54" i="82" s="1"/>
  <c r="AN60" i="82" l="1"/>
  <c r="AN102" i="63"/>
  <c r="AN27" i="63" l="1"/>
  <c r="AN13" i="65"/>
  <c r="AN40" i="63" l="1"/>
  <c r="AN49" i="63" s="1"/>
  <c r="AN37" i="63"/>
  <c r="AS125" i="63"/>
  <c r="AN47" i="63" l="1"/>
  <c r="AN65" i="63" s="1"/>
  <c r="AN67" i="63" s="1"/>
  <c r="AN106" i="63" s="1"/>
  <c r="AN60" i="90" l="1"/>
  <c r="AN70" i="63"/>
  <c r="AN73" i="63" s="1"/>
  <c r="AN64" i="63"/>
  <c r="AN66" i="63" s="1"/>
  <c r="AN115" i="63"/>
  <c r="AN116" i="63" s="1"/>
  <c r="AN122" i="63" l="1"/>
  <c r="AN125" i="63"/>
  <c r="AN107" i="63"/>
  <c r="AN124" i="63" s="1"/>
  <c r="AN61" i="90" l="1"/>
  <c r="AN39" i="90"/>
  <c r="AN57" i="90"/>
  <c r="AN145" i="63"/>
  <c r="AN150" i="63" s="1"/>
  <c r="AN20" i="65" s="1"/>
  <c r="AN126" i="63"/>
  <c r="AN62" i="90" l="1"/>
  <c r="AN63" i="90" s="1"/>
  <c r="AN23" i="65"/>
  <c r="AO120" i="63"/>
  <c r="AO121" i="63" l="1"/>
  <c r="AO108" i="63"/>
  <c r="AO18" i="90" s="1"/>
  <c r="AO38" i="90" l="1"/>
  <c r="AO37" i="90"/>
  <c r="AO52" i="82"/>
  <c r="AO54" i="82" s="1"/>
  <c r="AO60" i="82" l="1"/>
  <c r="AO102" i="63"/>
  <c r="AT125" i="63"/>
  <c r="AO13" i="65" l="1"/>
  <c r="AO27" i="63"/>
  <c r="AO40" i="63" l="1"/>
  <c r="AO49" i="63" s="1"/>
  <c r="AO37" i="63"/>
  <c r="AO47" i="63" l="1"/>
  <c r="AO65" i="63" s="1"/>
  <c r="AO67" i="63" s="1"/>
  <c r="AO106" i="63" s="1"/>
  <c r="AO60" i="90" l="1"/>
  <c r="AO70" i="63"/>
  <c r="AO73" i="63" s="1"/>
  <c r="AO64" i="63"/>
  <c r="AO66" i="63" s="1"/>
  <c r="AO115" i="63"/>
  <c r="AO116" i="63" s="1"/>
  <c r="AO125" i="63" s="1"/>
  <c r="AO122" i="63" l="1"/>
  <c r="AO107" i="63"/>
  <c r="AO124" i="63" s="1"/>
  <c r="AO61" i="90" l="1"/>
  <c r="AO39" i="90"/>
  <c r="AO57" i="90"/>
  <c r="AO145" i="63"/>
  <c r="AO150" i="63" s="1"/>
  <c r="AO20" i="65" s="1"/>
  <c r="AO126" i="63"/>
  <c r="AO62" i="90" l="1"/>
  <c r="AO63" i="90" s="1"/>
  <c r="AP120" i="63"/>
  <c r="AO23" i="65"/>
  <c r="AP121" i="63" l="1"/>
  <c r="AP108" i="63"/>
  <c r="AP18" i="90" s="1"/>
  <c r="AU125" i="63"/>
  <c r="AP38" i="90" l="1"/>
  <c r="AP37" i="90"/>
  <c r="AP52" i="82"/>
  <c r="AP54" i="82" s="1"/>
  <c r="AP60" i="82" l="1"/>
  <c r="AP102" i="63"/>
  <c r="AP13" i="65" l="1"/>
  <c r="AP27" i="63"/>
  <c r="AP40" i="63" l="1"/>
  <c r="AP49" i="63" s="1"/>
  <c r="AP37" i="63"/>
  <c r="AP47" i="63" l="1"/>
  <c r="AP65" i="63" s="1"/>
  <c r="AP67" i="63" s="1"/>
  <c r="AP106" i="63" s="1"/>
  <c r="AP60" i="90" l="1"/>
  <c r="AP70" i="63"/>
  <c r="AP73" i="63" s="1"/>
  <c r="AP64" i="63"/>
  <c r="AP66" i="63" s="1"/>
  <c r="AP115" i="63"/>
  <c r="AP122" i="63" l="1"/>
  <c r="AP107" i="63"/>
  <c r="AP124" i="63" s="1"/>
  <c r="AP61" i="90" l="1"/>
  <c r="AP39" i="90"/>
  <c r="AP57" i="90"/>
  <c r="AP145" i="63"/>
  <c r="AP150" i="63" s="1"/>
  <c r="AP20" i="65" s="1"/>
  <c r="AP126" i="63"/>
  <c r="AV125" i="63"/>
  <c r="AP62" i="90" l="1"/>
  <c r="AP63" i="90" s="1"/>
  <c r="AQ120" i="63"/>
  <c r="AQ108" i="63" s="1"/>
  <c r="AQ18" i="90" s="1"/>
  <c r="AP23" i="65"/>
  <c r="AQ38" i="90" l="1"/>
  <c r="AQ37" i="90"/>
  <c r="AQ52" i="82"/>
  <c r="AQ54" i="82" s="1"/>
  <c r="AQ121" i="63"/>
  <c r="AQ60" i="82" l="1"/>
  <c r="AQ13" i="65" s="1"/>
  <c r="AQ102" i="63"/>
  <c r="AQ27" i="63" l="1"/>
  <c r="AQ37" i="63" s="1"/>
  <c r="AQ47" i="63" l="1"/>
  <c r="AQ40" i="63"/>
  <c r="AQ49" i="63" s="1"/>
  <c r="AQ65" i="63" l="1"/>
  <c r="AQ67" i="63" s="1"/>
  <c r="AQ106" i="63" s="1"/>
  <c r="AQ64" i="63"/>
  <c r="AQ66" i="63" s="1"/>
  <c r="AQ122" i="63" s="1"/>
  <c r="AQ70" i="63" l="1"/>
  <c r="AQ73" i="63" s="1"/>
  <c r="AQ60" i="90"/>
  <c r="AQ115" i="63"/>
  <c r="AQ107" i="63"/>
  <c r="AQ124" i="63" s="1"/>
  <c r="AQ57" i="90"/>
  <c r="AQ39" i="90"/>
  <c r="AQ61" i="90" l="1"/>
  <c r="AQ62" i="90" s="1"/>
  <c r="AQ126" i="63"/>
  <c r="AQ145" i="63"/>
  <c r="AQ150" i="63" s="1"/>
  <c r="AQ20" i="65" s="1"/>
  <c r="AW125" i="63"/>
  <c r="AQ23" i="65" l="1"/>
  <c r="AR120" i="63"/>
  <c r="AR121" i="63" s="1"/>
  <c r="AQ63" i="90"/>
  <c r="AR108" i="63" l="1"/>
  <c r="AR18" i="90" s="1"/>
  <c r="AR38" i="90" s="1"/>
  <c r="AR37" i="90" l="1"/>
  <c r="AR52" i="82"/>
  <c r="AR54" i="82" s="1"/>
  <c r="AR60" i="82" s="1"/>
  <c r="AR102" i="63" l="1"/>
  <c r="AR27" i="63"/>
  <c r="AR13" i="65"/>
  <c r="AR40" i="63" l="1"/>
  <c r="AR49" i="63" s="1"/>
  <c r="AR37" i="63"/>
  <c r="AR47" i="63" l="1"/>
  <c r="AR65" i="63" s="1"/>
  <c r="AR67" i="63" s="1"/>
  <c r="AR106" i="63" s="1"/>
  <c r="AR60" i="90" l="1"/>
  <c r="AR70" i="63"/>
  <c r="AR73" i="63" s="1"/>
  <c r="AR64" i="63"/>
  <c r="AR66" i="63" s="1"/>
  <c r="AR115" i="63"/>
  <c r="AR122" i="63" l="1"/>
  <c r="AR107" i="63"/>
  <c r="AR124" i="63" s="1"/>
  <c r="AR61" i="90" l="1"/>
  <c r="AR57" i="90"/>
  <c r="AR39" i="90"/>
  <c r="AR145" i="63"/>
  <c r="AR150" i="63" s="1"/>
  <c r="AR20" i="65" s="1"/>
  <c r="AR126" i="63"/>
  <c r="AX125" i="63"/>
  <c r="AR62" i="90" l="1"/>
  <c r="AR63" i="90" s="1"/>
  <c r="AR23" i="65"/>
  <c r="AS120" i="63"/>
  <c r="AS121" i="63" l="1"/>
  <c r="AS108" i="63"/>
  <c r="AS18" i="90" s="1"/>
  <c r="AS38" i="90" l="1"/>
  <c r="AS37" i="90"/>
  <c r="AS52" i="82"/>
  <c r="AS54" i="82" s="1"/>
  <c r="AS102" i="63" l="1"/>
  <c r="AS60" i="82"/>
  <c r="AS13" i="65" l="1"/>
  <c r="AS27" i="63"/>
  <c r="AS37" i="63" l="1"/>
  <c r="AS40" i="63"/>
  <c r="AS49" i="63" s="1"/>
  <c r="AS47" i="63" l="1"/>
  <c r="AS65" i="63" s="1"/>
  <c r="AS67" i="63" s="1"/>
  <c r="AS106" i="63" s="1"/>
  <c r="AS60" i="90" l="1"/>
  <c r="AS70" i="63"/>
  <c r="AS73" i="63" s="1"/>
  <c r="AS115" i="63"/>
  <c r="AS64" i="63"/>
  <c r="AS66" i="63" s="1"/>
  <c r="AY125" i="63"/>
  <c r="AS122" i="63" l="1"/>
  <c r="AS107" i="63"/>
  <c r="AS124" i="63" s="1"/>
  <c r="AS61" i="90" l="1"/>
  <c r="AS57" i="90"/>
  <c r="AS39" i="90"/>
  <c r="AS145" i="63"/>
  <c r="AS150" i="63" s="1"/>
  <c r="AS20" i="65" s="1"/>
  <c r="AS126" i="63"/>
  <c r="AS62" i="90" l="1"/>
  <c r="AS63" i="90" s="1"/>
  <c r="AS23" i="65"/>
  <c r="AT120" i="63"/>
  <c r="AT121" i="63" l="1"/>
  <c r="AT108" i="63"/>
  <c r="AT18" i="90" s="1"/>
  <c r="AT38" i="90" l="1"/>
  <c r="AT37" i="90"/>
  <c r="AT52" i="82"/>
  <c r="AT54" i="82" s="1"/>
  <c r="AT60" i="82" l="1"/>
  <c r="AT102" i="63"/>
  <c r="AT27" i="63" l="1"/>
  <c r="AT37" i="63" s="1"/>
  <c r="AT13" i="65"/>
  <c r="AT40" i="63" l="1"/>
  <c r="AT49" i="63" s="1"/>
  <c r="AT47" i="63"/>
  <c r="AT65" i="63" l="1"/>
  <c r="AT67" i="63" s="1"/>
  <c r="AT106" i="63" s="1"/>
  <c r="AT64" i="63"/>
  <c r="AT66" i="63" s="1"/>
  <c r="AZ125" i="63"/>
  <c r="AT70" i="63" l="1"/>
  <c r="AT73" i="63" s="1"/>
  <c r="AT60" i="90"/>
  <c r="AT115" i="63"/>
  <c r="AT122" i="63"/>
  <c r="AT107" i="63" l="1"/>
  <c r="AT124" i="63" s="1"/>
  <c r="AT57" i="90"/>
  <c r="AT39" i="90"/>
  <c r="AT145" i="63" l="1"/>
  <c r="AT150" i="63" s="1"/>
  <c r="AT20" i="65" s="1"/>
  <c r="AT61" i="90"/>
  <c r="AT62" i="90" s="1"/>
  <c r="AT126" i="63"/>
  <c r="AT63" i="90" l="1"/>
  <c r="AU120" i="63"/>
  <c r="AU108" i="63" s="1"/>
  <c r="AU18" i="90" s="1"/>
  <c r="AT23" i="65"/>
  <c r="AU121" i="63" l="1"/>
  <c r="AU38" i="90"/>
  <c r="AU37" i="90"/>
  <c r="AU52" i="82"/>
  <c r="AU54" i="82" s="1"/>
  <c r="AU60" i="82" l="1"/>
  <c r="AU102" i="63"/>
  <c r="AU13" i="65" l="1"/>
  <c r="AU27" i="63"/>
  <c r="AU40" i="63" l="1"/>
  <c r="AU49" i="63" s="1"/>
  <c r="AU37" i="63"/>
  <c r="AU47" i="63" l="1"/>
  <c r="AU65" i="63" s="1"/>
  <c r="AU67" i="63" s="1"/>
  <c r="AU106" i="63" s="1"/>
  <c r="BA125" i="63"/>
  <c r="AU60" i="90" l="1"/>
  <c r="AU70" i="63"/>
  <c r="AU73" i="63" s="1"/>
  <c r="AU115" i="63"/>
  <c r="AU64" i="63"/>
  <c r="AU66" i="63" s="1"/>
  <c r="AU122" i="63" l="1"/>
  <c r="AU107" i="63"/>
  <c r="AU124" i="63" s="1"/>
  <c r="AU61" i="90" l="1"/>
  <c r="AU57" i="90"/>
  <c r="AU39" i="90"/>
  <c r="AU145" i="63"/>
  <c r="AU150" i="63" s="1"/>
  <c r="AU20" i="65" s="1"/>
  <c r="AU126" i="63"/>
  <c r="AU62" i="90" l="1"/>
  <c r="AU63" i="90" s="1"/>
  <c r="AU23" i="65"/>
  <c r="AV120" i="63"/>
  <c r="AV121" i="63" l="1"/>
  <c r="AV108" i="63"/>
  <c r="AV18" i="90" s="1"/>
  <c r="AV38" i="90" l="1"/>
  <c r="AV37" i="90"/>
  <c r="AV52" i="82"/>
  <c r="AV54" i="82" s="1"/>
  <c r="AV60" i="82" l="1"/>
  <c r="AV102" i="63"/>
  <c r="BB125" i="63"/>
  <c r="AV27" i="63" l="1"/>
  <c r="AV13" i="65"/>
  <c r="AV40" i="63" l="1"/>
  <c r="AV49" i="63" s="1"/>
  <c r="AV37" i="63"/>
  <c r="P51" i="82"/>
  <c r="P80" i="63" s="1"/>
  <c r="AV47" i="63" l="1"/>
  <c r="AV65" i="63" s="1"/>
  <c r="AV67" i="63" s="1"/>
  <c r="AV106" i="63" s="1"/>
  <c r="P59" i="82"/>
  <c r="AV60" i="90" l="1"/>
  <c r="AV70" i="63"/>
  <c r="AV73" i="63" s="1"/>
  <c r="P25" i="63"/>
  <c r="P36" i="63" s="1"/>
  <c r="P46" i="63" s="1"/>
  <c r="AV64" i="63"/>
  <c r="AV66" i="63" s="1"/>
  <c r="AV115" i="63"/>
  <c r="P12" i="65"/>
  <c r="P39" i="63" l="1"/>
  <c r="P48" i="63" s="1"/>
  <c r="P59" i="63" s="1"/>
  <c r="P61" i="63" s="1"/>
  <c r="P92" i="63" s="1"/>
  <c r="AV122" i="63"/>
  <c r="AV107" i="63"/>
  <c r="AV124" i="63" s="1"/>
  <c r="P60" i="63" l="1"/>
  <c r="P62" i="63" s="1"/>
  <c r="P84" i="63" s="1"/>
  <c r="AV61" i="90"/>
  <c r="P46" i="90"/>
  <c r="P31" i="90"/>
  <c r="AV39" i="90"/>
  <c r="AV57" i="90"/>
  <c r="AV145" i="63"/>
  <c r="AV150" i="63" s="1"/>
  <c r="AV20" i="65" s="1"/>
  <c r="AV126" i="63"/>
  <c r="P85" i="63" l="1"/>
  <c r="P50" i="90" s="1"/>
  <c r="P49" i="90"/>
  <c r="P69" i="63"/>
  <c r="P72" i="63" s="1"/>
  <c r="AV62" i="90"/>
  <c r="AV63" i="90" s="1"/>
  <c r="AW120" i="63"/>
  <c r="AV23" i="65"/>
  <c r="P144" i="63" l="1"/>
  <c r="P149" i="63" s="1"/>
  <c r="P19" i="65" s="1"/>
  <c r="P94" i="63"/>
  <c r="P95" i="63" s="1"/>
  <c r="Q90" i="63" s="1"/>
  <c r="Q86" i="63" s="1"/>
  <c r="Q17" i="90" s="1"/>
  <c r="P51" i="90"/>
  <c r="AW121" i="63"/>
  <c r="AW108" i="63"/>
  <c r="AW18" i="90" s="1"/>
  <c r="P22" i="65" l="1"/>
  <c r="Q91" i="63"/>
  <c r="P52" i="90"/>
  <c r="Q30" i="90"/>
  <c r="Q29" i="90"/>
  <c r="AW38" i="90"/>
  <c r="AW37" i="90"/>
  <c r="Q51" i="82"/>
  <c r="AW52" i="82"/>
  <c r="AW54" i="82" s="1"/>
  <c r="Q53" i="82" l="1"/>
  <c r="Q59" i="82" s="1"/>
  <c r="AW60" i="82"/>
  <c r="AW102" i="63"/>
  <c r="Q80" i="63" l="1"/>
  <c r="Q25" i="63"/>
  <c r="Q36" i="63" s="1"/>
  <c r="Q12" i="65"/>
  <c r="AW13" i="65"/>
  <c r="AW27" i="63"/>
  <c r="Q46" i="63" l="1"/>
  <c r="Q39" i="63"/>
  <c r="Q48" i="63" s="1"/>
  <c r="AW40" i="63"/>
  <c r="AW49" i="63" s="1"/>
  <c r="AW37" i="63"/>
  <c r="Q60" i="63" l="1"/>
  <c r="Q62" i="63" s="1"/>
  <c r="Q84" i="63" s="1"/>
  <c r="Q59" i="63"/>
  <c r="Q61" i="63" s="1"/>
  <c r="Q92" i="63" s="1"/>
  <c r="AW47" i="63"/>
  <c r="AW65" i="63" s="1"/>
  <c r="AW67" i="63" s="1"/>
  <c r="AW106" i="63" s="1"/>
  <c r="Q49" i="90" l="1"/>
  <c r="Q85" i="63"/>
  <c r="Q50" i="90" s="1"/>
  <c r="Q69" i="63"/>
  <c r="Q72" i="63" s="1"/>
  <c r="AW60" i="90"/>
  <c r="AW70" i="63"/>
  <c r="AW73" i="63" s="1"/>
  <c r="Q46" i="90"/>
  <c r="Q31" i="90"/>
  <c r="AW64" i="63"/>
  <c r="AW66" i="63" s="1"/>
  <c r="AW115" i="63"/>
  <c r="Q94" i="63" l="1"/>
  <c r="Q95" i="63" s="1"/>
  <c r="Q144" i="63"/>
  <c r="Q149" i="63" s="1"/>
  <c r="Q19" i="65" s="1"/>
  <c r="Q51" i="90"/>
  <c r="AW122" i="63"/>
  <c r="AW107" i="63"/>
  <c r="AW124" i="63" s="1"/>
  <c r="Q22" i="65" l="1"/>
  <c r="R90" i="63"/>
  <c r="R86" i="63" s="1"/>
  <c r="R17" i="90" s="1"/>
  <c r="R30" i="90" s="1"/>
  <c r="Q52" i="90"/>
  <c r="AW61" i="90"/>
  <c r="AW39" i="90"/>
  <c r="AW57" i="90"/>
  <c r="AW145" i="63"/>
  <c r="AW150" i="63" s="1"/>
  <c r="AW20" i="65" s="1"/>
  <c r="AW126" i="63"/>
  <c r="R91" i="63" l="1"/>
  <c r="R51" i="82"/>
  <c r="R53" i="82" s="1"/>
  <c r="R29" i="90"/>
  <c r="AW62" i="90"/>
  <c r="AW63" i="90" s="1"/>
  <c r="AW23" i="65"/>
  <c r="AX120" i="63"/>
  <c r="R59" i="82" l="1"/>
  <c r="R80" i="63"/>
  <c r="AX121" i="63"/>
  <c r="AX108" i="63"/>
  <c r="AX18" i="90" s="1"/>
  <c r="R25" i="63" l="1"/>
  <c r="R12" i="65"/>
  <c r="AX38" i="90"/>
  <c r="AX37" i="90"/>
  <c r="AX52" i="82"/>
  <c r="AX54" i="82" s="1"/>
  <c r="R36" i="63" l="1"/>
  <c r="R39" i="63"/>
  <c r="R48" i="63" s="1"/>
  <c r="AX102" i="63"/>
  <c r="R46" i="63" l="1"/>
  <c r="R60" i="63" s="1"/>
  <c r="R62" i="63" s="1"/>
  <c r="R84" i="63" s="1"/>
  <c r="AX60" i="82"/>
  <c r="R59" i="63" l="1"/>
  <c r="R61" i="63" s="1"/>
  <c r="R92" i="63" s="1"/>
  <c r="R49" i="90"/>
  <c r="R69" i="63"/>
  <c r="R72" i="63" s="1"/>
  <c r="R85" i="63"/>
  <c r="AX27" i="63"/>
  <c r="AX37" i="63" s="1"/>
  <c r="AX13" i="65"/>
  <c r="AX47" i="63" l="1"/>
  <c r="R46" i="90"/>
  <c r="R31" i="90"/>
  <c r="R144" i="63"/>
  <c r="R149" i="63" s="1"/>
  <c r="R19" i="65" s="1"/>
  <c r="R50" i="90"/>
  <c r="R94" i="63"/>
  <c r="R95" i="63" s="1"/>
  <c r="AX40" i="63"/>
  <c r="AX49" i="63" s="1"/>
  <c r="AX65" i="63" l="1"/>
  <c r="AX67" i="63" s="1"/>
  <c r="AX106" i="63" s="1"/>
  <c r="R51" i="90"/>
  <c r="R52" i="90" s="1"/>
  <c r="S90" i="63"/>
  <c r="R22" i="65"/>
  <c r="S53" i="82"/>
  <c r="S59" i="82" s="1"/>
  <c r="S25" i="63" s="1"/>
  <c r="AX64" i="63"/>
  <c r="AX66" i="63" s="1"/>
  <c r="AX122" i="63" s="1"/>
  <c r="AX60" i="90" l="1"/>
  <c r="AX107" i="63"/>
  <c r="AX124" i="63" s="1"/>
  <c r="AX115" i="63"/>
  <c r="AX70" i="63"/>
  <c r="AX73" i="63" s="1"/>
  <c r="S86" i="63"/>
  <c r="S91" i="63"/>
  <c r="S39" i="63"/>
  <c r="S36" i="63"/>
  <c r="S46" i="63" s="1"/>
  <c r="S80" i="63"/>
  <c r="S12" i="65"/>
  <c r="AX39" i="90"/>
  <c r="AX57" i="90"/>
  <c r="S48" i="63"/>
  <c r="S17" i="90" l="1"/>
  <c r="S51" i="82"/>
  <c r="AX61" i="90"/>
  <c r="AX62" i="90" s="1"/>
  <c r="AX126" i="63"/>
  <c r="AX145" i="63"/>
  <c r="AX150" i="63" s="1"/>
  <c r="AX20" i="65" s="1"/>
  <c r="S59" i="63"/>
  <c r="S61" i="63" s="1"/>
  <c r="S60" i="63"/>
  <c r="S62" i="63" s="1"/>
  <c r="S84" i="63" s="1"/>
  <c r="S30" i="90" l="1"/>
  <c r="S29" i="90"/>
  <c r="S49" i="90"/>
  <c r="S69" i="63"/>
  <c r="S72" i="63" s="1"/>
  <c r="AY120" i="63"/>
  <c r="AY121" i="63" s="1"/>
  <c r="AX23" i="65"/>
  <c r="AX63" i="90"/>
  <c r="S92" i="63"/>
  <c r="S85" i="63"/>
  <c r="S50" i="90" s="1"/>
  <c r="AY108" i="63" l="1"/>
  <c r="AY18" i="90" s="1"/>
  <c r="AY38" i="90" s="1"/>
  <c r="S46" i="90"/>
  <c r="S51" i="90" s="1"/>
  <c r="S31" i="90"/>
  <c r="S144" i="63"/>
  <c r="S149" i="63" s="1"/>
  <c r="S19" i="65" s="1"/>
  <c r="S94" i="63"/>
  <c r="S95" i="63" s="1"/>
  <c r="AY52" i="82" l="1"/>
  <c r="AY54" i="82" s="1"/>
  <c r="AY60" i="82" s="1"/>
  <c r="AY37" i="90"/>
  <c r="S52" i="90"/>
  <c r="T90" i="63"/>
  <c r="T86" i="63" s="1"/>
  <c r="T17" i="90" s="1"/>
  <c r="S22" i="65"/>
  <c r="AY102" i="63" l="1"/>
  <c r="T30" i="90"/>
  <c r="T29" i="90"/>
  <c r="T51" i="82"/>
  <c r="AY27" i="63"/>
  <c r="AY13" i="65"/>
  <c r="T91" i="63"/>
  <c r="T53" i="82" l="1"/>
  <c r="T80" i="63" s="1"/>
  <c r="AY37" i="63"/>
  <c r="AY40" i="63"/>
  <c r="AY49" i="63" s="1"/>
  <c r="T59" i="82" l="1"/>
  <c r="T25" i="63" s="1"/>
  <c r="T36" i="63" s="1"/>
  <c r="AY47" i="63"/>
  <c r="AY65" i="63" s="1"/>
  <c r="AY67" i="63" s="1"/>
  <c r="AY106" i="63" s="1"/>
  <c r="T12" i="65" l="1"/>
  <c r="T39" i="63"/>
  <c r="T48" i="63" s="1"/>
  <c r="AY60" i="90"/>
  <c r="AY70" i="63"/>
  <c r="AY73" i="63" s="1"/>
  <c r="AY115" i="63"/>
  <c r="AY64" i="63"/>
  <c r="AY66" i="63" s="1"/>
  <c r="T46" i="63"/>
  <c r="AY122" i="63" l="1"/>
  <c r="AY107" i="63"/>
  <c r="AY124" i="63" s="1"/>
  <c r="T60" i="63"/>
  <c r="T62" i="63" s="1"/>
  <c r="T84" i="63" s="1"/>
  <c r="T59" i="63"/>
  <c r="T61" i="63" s="1"/>
  <c r="T49" i="90" l="1"/>
  <c r="T69" i="63"/>
  <c r="T72" i="63" s="1"/>
  <c r="AY61" i="90"/>
  <c r="AY39" i="90"/>
  <c r="AY57" i="90"/>
  <c r="AY145" i="63"/>
  <c r="AY150" i="63" s="1"/>
  <c r="AY20" i="65" s="1"/>
  <c r="T92" i="63"/>
  <c r="T85" i="63"/>
  <c r="T50" i="90" s="1"/>
  <c r="AY126" i="63"/>
  <c r="AY62" i="90" l="1"/>
  <c r="AY63" i="90" s="1"/>
  <c r="T46" i="90"/>
  <c r="T51" i="90" s="1"/>
  <c r="T31" i="90"/>
  <c r="T144" i="63"/>
  <c r="T149" i="63" s="1"/>
  <c r="T19" i="65" s="1"/>
  <c r="T94" i="63"/>
  <c r="T95" i="63" s="1"/>
  <c r="AY23" i="65"/>
  <c r="AZ120" i="63"/>
  <c r="T52" i="90" l="1"/>
  <c r="T22" i="65"/>
  <c r="U90" i="63"/>
  <c r="U86" i="63" s="1"/>
  <c r="U17" i="90" s="1"/>
  <c r="AZ121" i="63"/>
  <c r="AZ108" i="63"/>
  <c r="AZ18" i="90" s="1"/>
  <c r="U30" i="90" l="1"/>
  <c r="U29" i="90"/>
  <c r="AZ38" i="90"/>
  <c r="AZ37" i="90"/>
  <c r="U51" i="82"/>
  <c r="U53" i="82" s="1"/>
  <c r="U91" i="63"/>
  <c r="AZ52" i="82"/>
  <c r="AZ54" i="82" s="1"/>
  <c r="U80" i="63" l="1"/>
  <c r="U59" i="82"/>
  <c r="AZ60" i="82"/>
  <c r="U25" i="63" l="1"/>
  <c r="U39" i="63" s="1"/>
  <c r="U48" i="63" s="1"/>
  <c r="U12" i="65"/>
  <c r="AZ27" i="63"/>
  <c r="AZ40" i="63" s="1"/>
  <c r="AZ49" i="63" s="1"/>
  <c r="AZ13" i="65"/>
  <c r="AZ102" i="63"/>
  <c r="U36" i="63" l="1"/>
  <c r="AZ37" i="63"/>
  <c r="AZ47" i="63" s="1"/>
  <c r="AZ64" i="63" s="1"/>
  <c r="AZ66" i="63" s="1"/>
  <c r="U46" i="63" l="1"/>
  <c r="AZ65" i="63"/>
  <c r="AZ67" i="63" s="1"/>
  <c r="AZ106" i="63" s="1"/>
  <c r="AZ122" i="63"/>
  <c r="U59" i="63" l="1"/>
  <c r="U61" i="63" s="1"/>
  <c r="U92" i="63" s="1"/>
  <c r="U46" i="90" s="1"/>
  <c r="U60" i="63"/>
  <c r="U62" i="63" s="1"/>
  <c r="U84" i="63" s="1"/>
  <c r="AZ60" i="90"/>
  <c r="AZ70" i="63"/>
  <c r="AZ73" i="63" s="1"/>
  <c r="AZ39" i="90"/>
  <c r="AZ57" i="90"/>
  <c r="AZ115" i="63"/>
  <c r="U31" i="90" l="1"/>
  <c r="U69" i="63"/>
  <c r="U72" i="63" s="1"/>
  <c r="U49" i="90"/>
  <c r="U85" i="63"/>
  <c r="AZ107" i="63"/>
  <c r="AZ124" i="63" s="1"/>
  <c r="AZ126" i="63" s="1"/>
  <c r="AZ145" i="63" l="1"/>
  <c r="AZ150" i="63" s="1"/>
  <c r="AZ20" i="65" s="1"/>
  <c r="U144" i="63"/>
  <c r="U149" i="63" s="1"/>
  <c r="U19" i="65" s="1"/>
  <c r="U50" i="90"/>
  <c r="U51" i="90" s="1"/>
  <c r="U94" i="63"/>
  <c r="U95" i="63" s="1"/>
  <c r="AZ61" i="90"/>
  <c r="AZ62" i="90" s="1"/>
  <c r="BA120" i="63"/>
  <c r="AZ23" i="65"/>
  <c r="AZ63" i="90" l="1"/>
  <c r="U52" i="90"/>
  <c r="V90" i="63"/>
  <c r="U22" i="65"/>
  <c r="BA121" i="63"/>
  <c r="BA108" i="63"/>
  <c r="BA18" i="90" s="1"/>
  <c r="V86" i="63" l="1"/>
  <c r="V91" i="63"/>
  <c r="BA38" i="90"/>
  <c r="BA37" i="90"/>
  <c r="BA52" i="82"/>
  <c r="BA54" i="82" s="1"/>
  <c r="V17" i="90" l="1"/>
  <c r="V51" i="82"/>
  <c r="V53" i="82" s="1"/>
  <c r="BA60" i="82"/>
  <c r="BA102" i="63"/>
  <c r="V80" i="63" l="1"/>
  <c r="V59" i="82"/>
  <c r="V29" i="90"/>
  <c r="V30" i="90"/>
  <c r="BA13" i="65"/>
  <c r="BA27" i="63"/>
  <c r="V25" i="63" l="1"/>
  <c r="V12" i="65"/>
  <c r="BA37" i="63"/>
  <c r="BA40" i="63"/>
  <c r="BA49" i="63" s="1"/>
  <c r="V36" i="63" l="1"/>
  <c r="V39" i="63"/>
  <c r="V48" i="63" s="1"/>
  <c r="BA47" i="63"/>
  <c r="BA65" i="63" s="1"/>
  <c r="BA67" i="63" s="1"/>
  <c r="BA106" i="63" s="1"/>
  <c r="V46" i="63" l="1"/>
  <c r="V60" i="63" s="1"/>
  <c r="V62" i="63" s="1"/>
  <c r="V84" i="63" s="1"/>
  <c r="BA60" i="90"/>
  <c r="BA70" i="63"/>
  <c r="BA73" i="63" s="1"/>
  <c r="BA64" i="63"/>
  <c r="BA66" i="63" s="1"/>
  <c r="BA122" i="63" s="1"/>
  <c r="BA115" i="63"/>
  <c r="V49" i="90" l="1"/>
  <c r="V85" i="63"/>
  <c r="V69" i="63"/>
  <c r="V72" i="63" s="1"/>
  <c r="V59" i="63"/>
  <c r="V61" i="63" s="1"/>
  <c r="V92" i="63" s="1"/>
  <c r="BA39" i="90"/>
  <c r="BA57" i="90"/>
  <c r="BA107" i="63"/>
  <c r="BA124" i="63" s="1"/>
  <c r="V46" i="90" l="1"/>
  <c r="V144" i="63"/>
  <c r="V149" i="63" s="1"/>
  <c r="V19" i="65" s="1"/>
  <c r="V31" i="90"/>
  <c r="V50" i="90"/>
  <c r="V94" i="63"/>
  <c r="V95" i="63" s="1"/>
  <c r="BA61" i="90"/>
  <c r="BA62" i="90" s="1"/>
  <c r="BA126" i="63"/>
  <c r="BA145" i="63"/>
  <c r="BA150" i="63" s="1"/>
  <c r="BA20" i="65" s="1"/>
  <c r="BA23" i="65" l="1"/>
  <c r="BB120" i="63"/>
  <c r="BB108" i="63" s="1"/>
  <c r="BB18" i="90" s="1"/>
  <c r="BB38" i="90" s="1"/>
  <c r="W90" i="63"/>
  <c r="V22" i="65"/>
  <c r="V51" i="90"/>
  <c r="V52" i="90" s="1"/>
  <c r="BA63" i="90"/>
  <c r="BB52" i="82" l="1"/>
  <c r="BB54" i="82" s="1"/>
  <c r="BB60" i="82" s="1"/>
  <c r="BB121" i="63"/>
  <c r="BB37" i="90"/>
  <c r="W86" i="63"/>
  <c r="W91" i="63"/>
  <c r="BB102" i="63" l="1"/>
  <c r="W17" i="90"/>
  <c r="W51" i="82"/>
  <c r="W53" i="82" s="1"/>
  <c r="BB13" i="65"/>
  <c r="BB27" i="63"/>
  <c r="BB37" i="63" s="1"/>
  <c r="W80" i="63" l="1"/>
  <c r="W59" i="82"/>
  <c r="W30" i="90"/>
  <c r="W29" i="90"/>
  <c r="BB40" i="63"/>
  <c r="BB49" i="63" s="1"/>
  <c r="BB47" i="63"/>
  <c r="W12" i="65" l="1"/>
  <c r="W25" i="63"/>
  <c r="BB65" i="63"/>
  <c r="BB67" i="63" s="1"/>
  <c r="BB106" i="63" s="1"/>
  <c r="BB64" i="63"/>
  <c r="BB66" i="63" s="1"/>
  <c r="BB122" i="63" s="1"/>
  <c r="W36" i="63" l="1"/>
  <c r="W39" i="63"/>
  <c r="W48" i="63" s="1"/>
  <c r="BB60" i="90"/>
  <c r="BB70" i="63"/>
  <c r="BB73" i="63" s="1"/>
  <c r="BB115" i="63"/>
  <c r="BB107" i="63"/>
  <c r="BB124" i="63" s="1"/>
  <c r="BB39" i="90"/>
  <c r="BB57" i="90"/>
  <c r="W46" i="63" l="1"/>
  <c r="W60" i="63" s="1"/>
  <c r="W62" i="63" s="1"/>
  <c r="W84" i="63" s="1"/>
  <c r="BB61" i="90"/>
  <c r="BB62" i="90" s="1"/>
  <c r="BB126" i="63"/>
  <c r="BB23" i="65" s="1"/>
  <c r="BB145" i="63"/>
  <c r="BB150" i="63" s="1"/>
  <c r="BB20" i="65" s="1"/>
  <c r="W69" i="63" l="1"/>
  <c r="W72" i="63" s="1"/>
  <c r="W49" i="90"/>
  <c r="W85" i="63"/>
  <c r="W59" i="63"/>
  <c r="W61" i="63" s="1"/>
  <c r="W92" i="63" s="1"/>
  <c r="BB63" i="90"/>
  <c r="G63" i="90" s="1"/>
  <c r="W50" i="90" l="1"/>
  <c r="W94" i="63"/>
  <c r="W95" i="63" s="1"/>
  <c r="W46" i="90"/>
  <c r="W31" i="90"/>
  <c r="W144" i="63"/>
  <c r="W149" i="63" s="1"/>
  <c r="W19" i="65" s="1"/>
  <c r="W51" i="90" l="1"/>
  <c r="W52" i="90" s="1"/>
  <c r="W22" i="65"/>
  <c r="X90" i="63"/>
  <c r="X86" i="63" l="1"/>
  <c r="X91" i="63"/>
  <c r="X17" i="90" l="1"/>
  <c r="X51" i="82"/>
  <c r="X53" i="82" s="1"/>
  <c r="X59" i="82" l="1"/>
  <c r="X80" i="63"/>
  <c r="X30" i="90"/>
  <c r="X29" i="90"/>
  <c r="X25" i="63" l="1"/>
  <c r="X12" i="65"/>
  <c r="X36" i="63" l="1"/>
  <c r="X39" i="63"/>
  <c r="X48" i="63" s="1"/>
  <c r="X46" i="63" l="1"/>
  <c r="X60" i="63" s="1"/>
  <c r="X62" i="63" s="1"/>
  <c r="X84" i="63" s="1"/>
  <c r="X49" i="90" l="1"/>
  <c r="X85" i="63"/>
  <c r="X69" i="63"/>
  <c r="X72" i="63" s="1"/>
  <c r="X59" i="63"/>
  <c r="X61" i="63" s="1"/>
  <c r="X92" i="63" s="1"/>
  <c r="X50" i="90" l="1"/>
  <c r="X94" i="63"/>
  <c r="X95" i="63" s="1"/>
  <c r="X46" i="90"/>
  <c r="X31" i="90"/>
  <c r="X144" i="63"/>
  <c r="X149" i="63" s="1"/>
  <c r="X19" i="65" s="1"/>
  <c r="X51" i="90" l="1"/>
  <c r="X52" i="90" s="1"/>
  <c r="Y90" i="63"/>
  <c r="X22" i="65"/>
  <c r="Y91" i="63" l="1"/>
  <c r="Y86" i="63"/>
  <c r="Y17" i="90" l="1"/>
  <c r="Y51" i="82"/>
  <c r="Y53" i="82" s="1"/>
  <c r="Y59" i="82" l="1"/>
  <c r="Y80" i="63"/>
  <c r="Y30" i="90"/>
  <c r="Y29" i="90"/>
  <c r="Y12" i="65" l="1"/>
  <c r="Y25" i="63"/>
  <c r="Y39" i="63" l="1"/>
  <c r="Y48" i="63" s="1"/>
  <c r="Y36" i="63"/>
  <c r="Y46" i="63" l="1"/>
  <c r="Y60" i="63" s="1"/>
  <c r="Y62" i="63" s="1"/>
  <c r="Y84" i="63" s="1"/>
  <c r="Y59" i="63" l="1"/>
  <c r="Y61" i="63" s="1"/>
  <c r="Y92" i="63" s="1"/>
  <c r="Y31" i="90" s="1"/>
  <c r="Y49" i="90"/>
  <c r="Y69" i="63"/>
  <c r="Y72" i="63" s="1"/>
  <c r="Y85" i="63"/>
  <c r="Y46" i="90" l="1"/>
  <c r="Y144" i="63"/>
  <c r="Y149" i="63" s="1"/>
  <c r="Y19" i="65" s="1"/>
  <c r="Y50" i="90"/>
  <c r="Y94" i="63"/>
  <c r="Y95" i="63" s="1"/>
  <c r="Y51" i="90" l="1"/>
  <c r="Y52" i="90" s="1"/>
  <c r="Z90" i="63"/>
  <c r="Y22" i="65"/>
  <c r="Z91" i="63" l="1"/>
  <c r="Z86" i="63"/>
  <c r="Z17" i="90" l="1"/>
  <c r="Z51" i="82"/>
  <c r="Z53" i="82" s="1"/>
  <c r="Z80" i="63" l="1"/>
  <c r="Z59" i="82"/>
  <c r="Z30" i="90"/>
  <c r="Z29" i="90"/>
  <c r="Z12" i="65" l="1"/>
  <c r="Z25" i="63"/>
  <c r="Z36" i="63" l="1"/>
  <c r="Z39" i="63"/>
  <c r="Z48" i="63" s="1"/>
  <c r="Z46" i="63" l="1"/>
  <c r="Z60" i="63" s="1"/>
  <c r="Z62" i="63" s="1"/>
  <c r="Z84" i="63" s="1"/>
  <c r="Z49" i="90" l="1"/>
  <c r="Z69" i="63"/>
  <c r="Z72" i="63" s="1"/>
  <c r="Z85" i="63"/>
  <c r="Z59" i="63"/>
  <c r="Z61" i="63" s="1"/>
  <c r="Z92" i="63" s="1"/>
  <c r="Z46" i="90" l="1"/>
  <c r="Z31" i="90"/>
  <c r="Z144" i="63"/>
  <c r="Z149" i="63" s="1"/>
  <c r="Z19" i="65" s="1"/>
  <c r="Z50" i="90"/>
  <c r="Z94" i="63"/>
  <c r="Z95" i="63" s="1"/>
  <c r="AA90" i="63" l="1"/>
  <c r="Z22" i="65"/>
  <c r="Z51" i="90"/>
  <c r="Z52" i="90" s="1"/>
  <c r="AA91" i="63" l="1"/>
  <c r="AA86" i="63"/>
  <c r="AA17" i="90" l="1"/>
  <c r="AA51" i="82"/>
  <c r="AA53" i="82" s="1"/>
  <c r="AA80" i="63" l="1"/>
  <c r="AA59" i="82"/>
  <c r="AA30" i="90"/>
  <c r="AA29" i="90"/>
  <c r="AA25" i="63" l="1"/>
  <c r="AA12" i="65"/>
  <c r="AA36" i="63" l="1"/>
  <c r="AA39" i="63"/>
  <c r="AA48" i="63" s="1"/>
  <c r="AA46" i="63" l="1"/>
  <c r="AA60" i="63" s="1"/>
  <c r="AA62" i="63" s="1"/>
  <c r="AA84" i="63" l="1"/>
  <c r="AA69" i="63"/>
  <c r="AA72" i="63" s="1"/>
  <c r="AA59" i="63"/>
  <c r="AA61" i="63" s="1"/>
  <c r="AA92" i="63" s="1"/>
  <c r="AA46" i="90" s="1"/>
  <c r="AA49" i="90"/>
  <c r="AA85" i="63" l="1"/>
  <c r="AA144" i="63" s="1"/>
  <c r="AA149" i="63" s="1"/>
  <c r="AA19" i="65" s="1"/>
  <c r="AA31" i="90"/>
  <c r="AA50" i="90" l="1"/>
  <c r="AA51" i="90" s="1"/>
  <c r="AA52" i="90" s="1"/>
  <c r="AA94" i="63"/>
  <c r="AA95" i="63" s="1"/>
  <c r="AA22" i="65" l="1"/>
  <c r="AB90" i="63"/>
  <c r="AB91" i="63" l="1"/>
  <c r="AB86" i="63"/>
  <c r="AB17" i="90" l="1"/>
  <c r="AB51" i="82"/>
  <c r="AB53" i="82" s="1"/>
  <c r="AB30" i="90" l="1"/>
  <c r="AB29" i="90"/>
  <c r="AB80" i="63"/>
  <c r="AB59" i="82"/>
  <c r="AB25" i="63" l="1"/>
  <c r="AB12" i="65"/>
  <c r="AB36" i="63" l="1"/>
  <c r="AB39" i="63"/>
  <c r="AB48" i="63" s="1"/>
  <c r="AB46" i="63" l="1"/>
  <c r="AB60" i="63" s="1"/>
  <c r="AB62" i="63" s="1"/>
  <c r="AB84" i="63" l="1"/>
  <c r="AB85" i="63" s="1"/>
  <c r="AB69" i="63"/>
  <c r="AB72" i="63" s="1"/>
  <c r="AB49" i="90"/>
  <c r="AB59" i="63"/>
  <c r="AB61" i="63" s="1"/>
  <c r="AB92" i="63" s="1"/>
  <c r="AB31" i="90" l="1"/>
  <c r="AB144" i="63"/>
  <c r="AB149" i="63" s="1"/>
  <c r="AB19" i="65" s="1"/>
  <c r="AB46" i="90"/>
  <c r="AB50" i="90"/>
  <c r="AB94" i="63"/>
  <c r="AB95" i="63" s="1"/>
  <c r="AC90" i="63" l="1"/>
  <c r="AB22" i="65"/>
  <c r="AB51" i="90"/>
  <c r="AB52" i="90" s="1"/>
  <c r="AC91" i="63" l="1"/>
  <c r="AC86" i="63"/>
  <c r="AC17" i="90" l="1"/>
  <c r="AC51" i="82"/>
  <c r="AC53" i="82" s="1"/>
  <c r="AC80" i="63" l="1"/>
  <c r="AC59" i="82"/>
  <c r="AC30" i="90"/>
  <c r="AC29" i="90"/>
  <c r="AC12" i="65" l="1"/>
  <c r="AC25" i="63"/>
  <c r="AC36" i="63" l="1"/>
  <c r="AC39" i="63"/>
  <c r="AC48" i="63" s="1"/>
  <c r="AC46" i="63" l="1"/>
  <c r="AC60" i="63" s="1"/>
  <c r="AC62" i="63" s="1"/>
  <c r="AC84" i="63" l="1"/>
  <c r="AC85" i="63" s="1"/>
  <c r="AC69" i="63"/>
  <c r="AC72" i="63" s="1"/>
  <c r="AC49" i="90"/>
  <c r="AC59" i="63"/>
  <c r="AC61" i="63" s="1"/>
  <c r="AC92" i="63" s="1"/>
  <c r="AC50" i="90" l="1"/>
  <c r="AC94" i="63"/>
  <c r="AC95" i="63" s="1"/>
  <c r="AC46" i="90"/>
  <c r="AC31" i="90"/>
  <c r="AC144" i="63"/>
  <c r="AC149" i="63" s="1"/>
  <c r="AC19" i="65" s="1"/>
  <c r="AC51" i="90" l="1"/>
  <c r="AC52" i="90" s="1"/>
  <c r="AC22" i="65"/>
  <c r="AD90" i="63"/>
  <c r="AD91" i="63" l="1"/>
  <c r="AD86" i="63"/>
  <c r="AD17" i="90" l="1"/>
  <c r="AD51" i="82"/>
  <c r="AD53" i="82" s="1"/>
  <c r="AD30" i="90" l="1"/>
  <c r="AD29" i="90"/>
  <c r="AD80" i="63"/>
  <c r="AD59" i="82"/>
  <c r="AD25" i="63" l="1"/>
  <c r="AD12" i="65"/>
  <c r="AE53" i="82"/>
  <c r="AE80" i="63" s="1"/>
  <c r="AD36" i="63" l="1"/>
  <c r="AD39" i="63"/>
  <c r="AD48" i="63" s="1"/>
  <c r="AE59" i="82"/>
  <c r="AD46" i="63" l="1"/>
  <c r="AD60" i="63" s="1"/>
  <c r="AD62" i="63" s="1"/>
  <c r="AE25" i="63"/>
  <c r="AE12" i="65"/>
  <c r="AD84" i="63" l="1"/>
  <c r="AD85" i="63" s="1"/>
  <c r="AD69" i="63"/>
  <c r="AD72" i="63" s="1"/>
  <c r="AD49" i="90"/>
  <c r="AD59" i="63"/>
  <c r="AD61" i="63" s="1"/>
  <c r="AD92" i="63" s="1"/>
  <c r="AE36" i="63"/>
  <c r="AE39" i="63"/>
  <c r="AE48" i="63" l="1"/>
  <c r="AE46" i="63"/>
  <c r="AD46" i="90"/>
  <c r="AD31" i="90"/>
  <c r="AD144" i="63"/>
  <c r="AD149" i="63" s="1"/>
  <c r="AD19" i="65" s="1"/>
  <c r="AD50" i="90"/>
  <c r="AD94" i="63"/>
  <c r="AD95" i="63" s="1"/>
  <c r="AE60" i="63" l="1"/>
  <c r="AE62" i="63" s="1"/>
  <c r="AE84" i="63" s="1"/>
  <c r="AD51" i="90"/>
  <c r="AD52" i="90" s="1"/>
  <c r="AD22" i="65"/>
  <c r="AE90" i="63"/>
  <c r="AE59" i="63"/>
  <c r="AE61" i="63" s="1"/>
  <c r="AE49" i="90" l="1"/>
  <c r="AE69" i="63"/>
  <c r="AE72" i="63" s="1"/>
  <c r="AE86" i="63"/>
  <c r="AE91" i="63"/>
  <c r="AE92" i="63" s="1"/>
  <c r="AE85" i="63" l="1"/>
  <c r="AE144" i="63" s="1"/>
  <c r="AE149" i="63" s="1"/>
  <c r="AE19" i="65" s="1"/>
  <c r="AE46" i="90"/>
  <c r="AE31" i="90"/>
  <c r="AE17" i="90"/>
  <c r="AE51" i="82"/>
  <c r="AE94" i="63" l="1"/>
  <c r="AE95" i="63" s="1"/>
  <c r="AE22" i="65" s="1"/>
  <c r="AE50" i="90"/>
  <c r="AE51" i="90" s="1"/>
  <c r="AE52" i="90" s="1"/>
  <c r="AE30" i="90"/>
  <c r="AE29" i="90"/>
  <c r="AF90" i="63" l="1"/>
  <c r="AF91" i="63" s="1"/>
  <c r="AF86" i="63" l="1"/>
  <c r="AF17" i="90" s="1"/>
  <c r="AF51" i="82" l="1"/>
  <c r="AF53" i="82" s="1"/>
  <c r="AF59" i="82" s="1"/>
  <c r="AF30" i="90"/>
  <c r="AF29" i="90"/>
  <c r="AF80" i="63" l="1"/>
  <c r="AF25" i="63"/>
  <c r="AF12" i="65"/>
  <c r="AF39" i="63" l="1"/>
  <c r="AF48" i="63" s="1"/>
  <c r="AF36" i="63"/>
  <c r="AF46" i="63" l="1"/>
  <c r="AF60" i="63" s="1"/>
  <c r="AF62" i="63" s="1"/>
  <c r="AF84" i="63" s="1"/>
  <c r="AF59" i="63" l="1"/>
  <c r="AF61" i="63" s="1"/>
  <c r="AF92" i="63" s="1"/>
  <c r="AF46" i="90" s="1"/>
  <c r="AF69" i="63"/>
  <c r="AF72" i="63" s="1"/>
  <c r="AF49" i="90"/>
  <c r="AF85" i="63"/>
  <c r="AF31" i="90" l="1"/>
  <c r="AF144" i="63"/>
  <c r="AF149" i="63" s="1"/>
  <c r="AF19" i="65" s="1"/>
  <c r="AF50" i="90"/>
  <c r="AF51" i="90" s="1"/>
  <c r="AF94" i="63"/>
  <c r="AF95" i="63" s="1"/>
  <c r="AF52" i="90" l="1"/>
  <c r="AG90" i="63"/>
  <c r="AF22" i="65"/>
  <c r="AG91" i="63" l="1"/>
  <c r="AG86" i="63"/>
  <c r="AG17" i="90" l="1"/>
  <c r="AG51" i="82"/>
  <c r="AG53" i="82" s="1"/>
  <c r="AG80" i="63" l="1"/>
  <c r="AG59" i="82"/>
  <c r="AG30" i="90"/>
  <c r="AG29" i="90"/>
  <c r="AG25" i="63" l="1"/>
  <c r="AG12" i="65"/>
  <c r="AG39" i="63" l="1"/>
  <c r="AG48" i="63" s="1"/>
  <c r="AG36" i="63"/>
  <c r="AG46" i="63" l="1"/>
  <c r="AG60" i="63" s="1"/>
  <c r="AG62" i="63" s="1"/>
  <c r="AG84" i="63" s="1"/>
  <c r="AG59" i="63" l="1"/>
  <c r="AG61" i="63" s="1"/>
  <c r="AG92" i="63" s="1"/>
  <c r="AG31" i="90" s="1"/>
  <c r="AG69" i="63"/>
  <c r="AG72" i="63" s="1"/>
  <c r="AG85" i="63"/>
  <c r="AG49" i="90"/>
  <c r="AG46" i="90" l="1"/>
  <c r="AG50" i="90"/>
  <c r="AG94" i="63"/>
  <c r="AG95" i="63" s="1"/>
  <c r="AG144" i="63"/>
  <c r="AG149" i="63" s="1"/>
  <c r="AG19" i="65" s="1"/>
  <c r="AG51" i="90" l="1"/>
  <c r="AG52" i="90" s="1"/>
  <c r="AG22" i="65"/>
  <c r="AH90" i="63"/>
  <c r="AH91" i="63" l="1"/>
  <c r="AH86" i="63"/>
  <c r="AH17" i="90" l="1"/>
  <c r="AH51" i="82"/>
  <c r="AH53" i="82" s="1"/>
  <c r="AH59" i="82" l="1"/>
  <c r="AH80" i="63"/>
  <c r="AH30" i="90"/>
  <c r="AH29" i="90"/>
  <c r="AH25" i="63" l="1"/>
  <c r="AH12" i="65"/>
  <c r="AH39" i="63" l="1"/>
  <c r="AH48" i="63" s="1"/>
  <c r="AH36" i="63"/>
  <c r="AH46" i="63" l="1"/>
  <c r="AH60" i="63" s="1"/>
  <c r="AH62" i="63" s="1"/>
  <c r="AH84" i="63" s="1"/>
  <c r="AH59" i="63" l="1"/>
  <c r="AH61" i="63" s="1"/>
  <c r="AH92" i="63" s="1"/>
  <c r="AH31" i="90" s="1"/>
  <c r="AH69" i="63"/>
  <c r="AH72" i="63" s="1"/>
  <c r="AH49" i="90"/>
  <c r="AH85" i="63"/>
  <c r="AH46" i="90" l="1"/>
  <c r="AH144" i="63"/>
  <c r="AH149" i="63" s="1"/>
  <c r="AH19" i="65" s="1"/>
  <c r="AH50" i="90"/>
  <c r="AH94" i="63"/>
  <c r="AH95" i="63" s="1"/>
  <c r="AH51" i="90" l="1"/>
  <c r="AH52" i="90" s="1"/>
  <c r="AI90" i="63"/>
  <c r="AH22" i="65"/>
  <c r="AI91" i="63" l="1"/>
  <c r="AI86" i="63"/>
  <c r="AI17" i="90" l="1"/>
  <c r="AI51" i="82"/>
  <c r="AI53" i="82" s="1"/>
  <c r="AI80" i="63" l="1"/>
  <c r="AI59" i="82"/>
  <c r="AI30" i="90"/>
  <c r="AI29" i="90"/>
  <c r="AI25" i="63" l="1"/>
  <c r="AI12" i="65"/>
  <c r="AI36" i="63" l="1"/>
  <c r="AI39" i="63"/>
  <c r="AI48" i="63" l="1"/>
  <c r="AI46" i="63"/>
  <c r="AI59" i="63" l="1"/>
  <c r="AI61" i="63" s="1"/>
  <c r="AI92" i="63" s="1"/>
  <c r="AI31" i="90" s="1"/>
  <c r="AI60" i="63"/>
  <c r="AI62" i="63" s="1"/>
  <c r="AI84" i="63" s="1"/>
  <c r="AI46" i="90" l="1"/>
  <c r="AI69" i="63"/>
  <c r="AI72" i="63" s="1"/>
  <c r="AI49" i="90"/>
  <c r="AI85" i="63"/>
  <c r="AI50" i="90" l="1"/>
  <c r="AI51" i="90" s="1"/>
  <c r="AI94" i="63"/>
  <c r="AI95" i="63" s="1"/>
  <c r="AI144" i="63"/>
  <c r="AI149" i="63" s="1"/>
  <c r="AI19" i="65" s="1"/>
  <c r="AJ90" i="63" l="1"/>
  <c r="AI22" i="65"/>
  <c r="AI52" i="90"/>
  <c r="AJ91" i="63" l="1"/>
  <c r="AJ86" i="63"/>
  <c r="AJ17" i="90" l="1"/>
  <c r="AJ51" i="82"/>
  <c r="AJ53" i="82" s="1"/>
  <c r="AJ59" i="82" l="1"/>
  <c r="AJ80" i="63"/>
  <c r="AJ30" i="90"/>
  <c r="AJ29" i="90"/>
  <c r="AJ12" i="65" l="1"/>
  <c r="AJ25" i="63"/>
  <c r="AJ36" i="63" l="1"/>
  <c r="AJ39" i="63"/>
  <c r="AJ48" i="63" l="1"/>
  <c r="AJ46" i="63"/>
  <c r="AJ59" i="63" l="1"/>
  <c r="AJ61" i="63" s="1"/>
  <c r="AJ92" i="63" s="1"/>
  <c r="AJ31" i="90" s="1"/>
  <c r="AJ60" i="63"/>
  <c r="AJ62" i="63" s="1"/>
  <c r="AJ84" i="63" s="1"/>
  <c r="AJ46" i="90" l="1"/>
  <c r="AJ49" i="90"/>
  <c r="AJ69" i="63"/>
  <c r="AJ72" i="63" s="1"/>
  <c r="AJ85" i="63"/>
  <c r="AJ50" i="90" l="1"/>
  <c r="AJ51" i="90" s="1"/>
  <c r="AJ94" i="63"/>
  <c r="AJ95" i="63" s="1"/>
  <c r="AJ144" i="63"/>
  <c r="AJ149" i="63" s="1"/>
  <c r="AJ19" i="65" s="1"/>
  <c r="AJ52" i="90" l="1"/>
  <c r="AK90" i="63"/>
  <c r="AJ22" i="65"/>
  <c r="AK86" i="63" l="1"/>
  <c r="AK91" i="63"/>
  <c r="AK17" i="90" l="1"/>
  <c r="AK51" i="82"/>
  <c r="AK53" i="82" s="1"/>
  <c r="AK59" i="82" l="1"/>
  <c r="AK80" i="63"/>
  <c r="AK30" i="90"/>
  <c r="AK29" i="90"/>
  <c r="AK25" i="63" l="1"/>
  <c r="AK12" i="65"/>
  <c r="AK39" i="63" l="1"/>
  <c r="AK36" i="63"/>
  <c r="AK46" i="63" l="1"/>
  <c r="AK48" i="63"/>
  <c r="AK59" i="63" l="1"/>
  <c r="AK61" i="63" s="1"/>
  <c r="AK92" i="63" s="1"/>
  <c r="AK46" i="90" s="1"/>
  <c r="AK60" i="63"/>
  <c r="AK62" i="63" s="1"/>
  <c r="AK84" i="63" s="1"/>
  <c r="AK31" i="90" l="1"/>
  <c r="AK49" i="90"/>
  <c r="AK69" i="63"/>
  <c r="AK72" i="63" s="1"/>
  <c r="AK85" i="63"/>
  <c r="AK50" i="90" l="1"/>
  <c r="AK51" i="90" s="1"/>
  <c r="AK94" i="63"/>
  <c r="AK95" i="63" s="1"/>
  <c r="AK144" i="63"/>
  <c r="AK149" i="63" s="1"/>
  <c r="AK19" i="65" s="1"/>
  <c r="AL90" i="63" l="1"/>
  <c r="AK22" i="65"/>
  <c r="AK52" i="90"/>
  <c r="AL91" i="63" l="1"/>
  <c r="AL86" i="63"/>
  <c r="AL17" i="90" l="1"/>
  <c r="AL51" i="82"/>
  <c r="AL53" i="82" s="1"/>
  <c r="AL80" i="63" l="1"/>
  <c r="AL59" i="82"/>
  <c r="AL30" i="90"/>
  <c r="AL29" i="90"/>
  <c r="AL12" i="65" l="1"/>
  <c r="AL25" i="63"/>
  <c r="AL39" i="63" l="1"/>
  <c r="AL36" i="63"/>
  <c r="AL48" i="63" l="1"/>
  <c r="AL46" i="63"/>
  <c r="AL60" i="63" l="1"/>
  <c r="AL62" i="63" s="1"/>
  <c r="AL84" i="63" s="1"/>
  <c r="AL59" i="63"/>
  <c r="AL61" i="63" s="1"/>
  <c r="AL92" i="63" s="1"/>
  <c r="AL49" i="90" l="1"/>
  <c r="AL85" i="63"/>
  <c r="AL50" i="90" s="1"/>
  <c r="AL69" i="63"/>
  <c r="AL72" i="63" s="1"/>
  <c r="AL31" i="90"/>
  <c r="AL46" i="90"/>
  <c r="AL94" i="63" l="1"/>
  <c r="AL95" i="63" s="1"/>
  <c r="AL144" i="63"/>
  <c r="AL149" i="63" s="1"/>
  <c r="AL19" i="65" s="1"/>
  <c r="AL51" i="90"/>
  <c r="AL52" i="90" l="1"/>
  <c r="AL22" i="65"/>
  <c r="AM90" i="63"/>
  <c r="AM86" i="63" s="1"/>
  <c r="AM91" i="63" l="1"/>
  <c r="AM17" i="90"/>
  <c r="AM51" i="82"/>
  <c r="AM53" i="82" s="1"/>
  <c r="AM80" i="63" l="1"/>
  <c r="AM59" i="82"/>
  <c r="AM30" i="90"/>
  <c r="AM29" i="90"/>
  <c r="AM25" i="63" l="1"/>
  <c r="AM12" i="65"/>
  <c r="AM36" i="63" l="1"/>
  <c r="AM39" i="63"/>
  <c r="AM46" i="63" l="1"/>
  <c r="AM48" i="63"/>
  <c r="AM59" i="63" l="1"/>
  <c r="AM61" i="63" s="1"/>
  <c r="AM92" i="63" s="1"/>
  <c r="AM31" i="90" s="1"/>
  <c r="AM60" i="63"/>
  <c r="AM62" i="63" s="1"/>
  <c r="AM84" i="63" s="1"/>
  <c r="AM46" i="90" l="1"/>
  <c r="AM69" i="63"/>
  <c r="AM72" i="63" s="1"/>
  <c r="AM49" i="90"/>
  <c r="AM85" i="63"/>
  <c r="AM50" i="90" l="1"/>
  <c r="AM51" i="90" s="1"/>
  <c r="AM94" i="63"/>
  <c r="AM95" i="63" s="1"/>
  <c r="AM144" i="63"/>
  <c r="AM149" i="63" s="1"/>
  <c r="AM19" i="65" s="1"/>
  <c r="AM52" i="90" l="1"/>
  <c r="AM22" i="65"/>
  <c r="AN90" i="63"/>
  <c r="AN86" i="63" l="1"/>
  <c r="AN91" i="63"/>
  <c r="AN17" i="90" l="1"/>
  <c r="AN51" i="82"/>
  <c r="AN53" i="82" s="1"/>
  <c r="AN59" i="82" l="1"/>
  <c r="AN80" i="63"/>
  <c r="AN30" i="90"/>
  <c r="AN29" i="90"/>
  <c r="AN25" i="63" l="1"/>
  <c r="AN12" i="65"/>
  <c r="AN36" i="63" l="1"/>
  <c r="AN39" i="63"/>
  <c r="AN48" i="63" l="1"/>
  <c r="AN46" i="63"/>
  <c r="AN59" i="63" l="1"/>
  <c r="AN61" i="63" s="1"/>
  <c r="AN92" i="63" s="1"/>
  <c r="AN31" i="90" s="1"/>
  <c r="AN60" i="63"/>
  <c r="AN62" i="63" s="1"/>
  <c r="AN84" i="63" s="1"/>
  <c r="AN46" i="90" l="1"/>
  <c r="AN49" i="90"/>
  <c r="AN85" i="63"/>
  <c r="AN69" i="63"/>
  <c r="AN72" i="63" s="1"/>
  <c r="AN50" i="90" l="1"/>
  <c r="AN51" i="90" s="1"/>
  <c r="AN94" i="63"/>
  <c r="AN95" i="63" s="1"/>
  <c r="AN144" i="63"/>
  <c r="AN149" i="63" s="1"/>
  <c r="AN19" i="65" s="1"/>
  <c r="AN22" i="65" l="1"/>
  <c r="AO90" i="63"/>
  <c r="AN52" i="90"/>
  <c r="AO86" i="63" l="1"/>
  <c r="AO91" i="63"/>
  <c r="AO17" i="90" l="1"/>
  <c r="AO51" i="82"/>
  <c r="AO53" i="82" s="1"/>
  <c r="AO80" i="63" l="1"/>
  <c r="AO59" i="82"/>
  <c r="AO30" i="90"/>
  <c r="AO29" i="90"/>
  <c r="AO25" i="63" l="1"/>
  <c r="AO12" i="65"/>
  <c r="AO36" i="63" l="1"/>
  <c r="AO39" i="63"/>
  <c r="AO48" i="63" l="1"/>
  <c r="AO46" i="63"/>
  <c r="AO60" i="63" l="1"/>
  <c r="AO62" i="63" s="1"/>
  <c r="AO84" i="63" s="1"/>
  <c r="AO59" i="63"/>
  <c r="AO61" i="63" s="1"/>
  <c r="AO92" i="63" s="1"/>
  <c r="AO49" i="90" l="1"/>
  <c r="AO85" i="63"/>
  <c r="AO50" i="90" s="1"/>
  <c r="AO69" i="63"/>
  <c r="AO72" i="63" s="1"/>
  <c r="AO46" i="90"/>
  <c r="AO31" i="90"/>
  <c r="AO94" i="63" l="1"/>
  <c r="AO95" i="63" s="1"/>
  <c r="AO144" i="63"/>
  <c r="AO149" i="63" s="1"/>
  <c r="AO19" i="65" s="1"/>
  <c r="AO51" i="90"/>
  <c r="AP90" i="63" l="1"/>
  <c r="AP86" i="63" s="1"/>
  <c r="AO52" i="90"/>
  <c r="AO22" i="65"/>
  <c r="AP91" i="63" l="1"/>
  <c r="AP17" i="90"/>
  <c r="AP51" i="82"/>
  <c r="AP53" i="82" s="1"/>
  <c r="AP80" i="63" l="1"/>
  <c r="AP59" i="82"/>
  <c r="AP30" i="90"/>
  <c r="AP29" i="90"/>
  <c r="AP25" i="63" l="1"/>
  <c r="AP12" i="65"/>
  <c r="AP36" i="63" l="1"/>
  <c r="AP39" i="63"/>
  <c r="AP48" i="63" l="1"/>
  <c r="AP46" i="63"/>
  <c r="AP60" i="63" l="1"/>
  <c r="AP62" i="63" s="1"/>
  <c r="AP84" i="63" s="1"/>
  <c r="AP59" i="63"/>
  <c r="AP61" i="63" s="1"/>
  <c r="AP92" i="63" s="1"/>
  <c r="AP49" i="90" l="1"/>
  <c r="AP85" i="63"/>
  <c r="AP50" i="90" s="1"/>
  <c r="AP69" i="63"/>
  <c r="AP72" i="63" s="1"/>
  <c r="AP46" i="90"/>
  <c r="AP31" i="90"/>
  <c r="AP94" i="63" l="1"/>
  <c r="AP95" i="63" s="1"/>
  <c r="AQ90" i="63" s="1"/>
  <c r="AP144" i="63"/>
  <c r="AP149" i="63" s="1"/>
  <c r="AP19" i="65" s="1"/>
  <c r="AP51" i="90"/>
  <c r="AP22" i="65" l="1"/>
  <c r="AP52" i="90"/>
  <c r="AQ86" i="63"/>
  <c r="AQ91" i="63"/>
  <c r="AQ17" i="90" l="1"/>
  <c r="AQ51" i="82"/>
  <c r="AQ53" i="82" s="1"/>
  <c r="AQ80" i="63" l="1"/>
  <c r="AQ59" i="82"/>
  <c r="AQ30" i="90"/>
  <c r="AQ29" i="90"/>
  <c r="AQ25" i="63" l="1"/>
  <c r="AQ12" i="65"/>
  <c r="AQ36" i="63" l="1"/>
  <c r="AQ39" i="63"/>
  <c r="AQ48" i="63" l="1"/>
  <c r="AQ46" i="63"/>
  <c r="AQ60" i="63" l="1"/>
  <c r="AQ62" i="63" s="1"/>
  <c r="AQ84" i="63" s="1"/>
  <c r="AQ59" i="63"/>
  <c r="AQ61" i="63" s="1"/>
  <c r="AQ92" i="63" s="1"/>
  <c r="AQ49" i="90" l="1"/>
  <c r="AQ85" i="63"/>
  <c r="AQ50" i="90" s="1"/>
  <c r="AQ69" i="63"/>
  <c r="AQ72" i="63" s="1"/>
  <c r="AQ31" i="90"/>
  <c r="AQ46" i="90"/>
  <c r="AQ144" i="63" l="1"/>
  <c r="AQ149" i="63" s="1"/>
  <c r="AQ19" i="65" s="1"/>
  <c r="AQ94" i="63"/>
  <c r="AQ95" i="63" s="1"/>
  <c r="AR90" i="63" s="1"/>
  <c r="AQ51" i="90"/>
  <c r="AQ22" i="65" l="1"/>
  <c r="AQ52" i="90"/>
  <c r="AR91" i="63"/>
  <c r="AR86" i="63"/>
  <c r="AR17" i="90" l="1"/>
  <c r="AR51" i="82"/>
  <c r="AR53" i="82" s="1"/>
  <c r="AR80" i="63" l="1"/>
  <c r="AR59" i="82"/>
  <c r="AR29" i="90"/>
  <c r="AR30" i="90"/>
  <c r="AR25" i="63" l="1"/>
  <c r="AR12" i="65"/>
  <c r="AR36" i="63" l="1"/>
  <c r="AR39" i="63"/>
  <c r="AR48" i="63" l="1"/>
  <c r="AR46" i="63"/>
  <c r="AR60" i="63" l="1"/>
  <c r="AR62" i="63" s="1"/>
  <c r="AR84" i="63" s="1"/>
  <c r="AR59" i="63"/>
  <c r="AR61" i="63" s="1"/>
  <c r="AR92" i="63" s="1"/>
  <c r="AR69" i="63" l="1"/>
  <c r="AR72" i="63" s="1"/>
  <c r="AR49" i="90"/>
  <c r="AR31" i="90"/>
  <c r="AR46" i="90"/>
  <c r="AR85" i="63" l="1"/>
  <c r="AR144" i="63" l="1"/>
  <c r="AR149" i="63" s="1"/>
  <c r="AR19" i="65" s="1"/>
  <c r="AR50" i="90"/>
  <c r="AR51" i="90" s="1"/>
  <c r="AR94" i="63"/>
  <c r="AR95" i="63" s="1"/>
  <c r="AS90" i="63" s="1"/>
  <c r="AS91" i="63" s="1"/>
  <c r="AR52" i="90" l="1"/>
  <c r="AS86" i="63"/>
  <c r="AS51" i="82" s="1"/>
  <c r="AS53" i="82" s="1"/>
  <c r="AR22" i="65"/>
  <c r="AS17" i="90" l="1"/>
  <c r="AS30" i="90" s="1"/>
  <c r="AS80" i="63"/>
  <c r="AS59" i="82"/>
  <c r="AS29" i="90" l="1"/>
  <c r="AS25" i="63"/>
  <c r="AS12" i="65"/>
  <c r="AS36" i="63" l="1"/>
  <c r="AS39" i="63"/>
  <c r="AS48" i="63" l="1"/>
  <c r="AS46" i="63"/>
  <c r="AS59" i="63" l="1"/>
  <c r="AS61" i="63" s="1"/>
  <c r="AS92" i="63" s="1"/>
  <c r="AS31" i="90" s="1"/>
  <c r="AS60" i="63"/>
  <c r="AS62" i="63" s="1"/>
  <c r="AS84" i="63" s="1"/>
  <c r="AS46" i="90" l="1"/>
  <c r="AS49" i="90"/>
  <c r="AS69" i="63"/>
  <c r="AS72" i="63" s="1"/>
  <c r="AS85" i="63"/>
  <c r="AS50" i="90" l="1"/>
  <c r="AS51" i="90" s="1"/>
  <c r="AS94" i="63"/>
  <c r="AS95" i="63" s="1"/>
  <c r="AS144" i="63"/>
  <c r="AS149" i="63" s="1"/>
  <c r="AS19" i="65" s="1"/>
  <c r="AS52" i="90" l="1"/>
  <c r="AT90" i="63"/>
  <c r="AS22" i="65"/>
  <c r="AT91" i="63" l="1"/>
  <c r="AT86" i="63"/>
  <c r="AT17" i="90" l="1"/>
  <c r="AT51" i="82"/>
  <c r="AT53" i="82" s="1"/>
  <c r="AT59" i="82" l="1"/>
  <c r="AT80" i="63"/>
  <c r="AT30" i="90"/>
  <c r="AT29" i="90"/>
  <c r="AT25" i="63" l="1"/>
  <c r="AT12" i="65"/>
  <c r="AT39" i="63" l="1"/>
  <c r="AT48" i="63" s="1"/>
  <c r="AT36" i="63"/>
  <c r="AT46" i="63" l="1"/>
  <c r="AT60" i="63" s="1"/>
  <c r="AT62" i="63" s="1"/>
  <c r="AT84" i="63" s="1"/>
  <c r="AT59" i="63" l="1"/>
  <c r="AT61" i="63" s="1"/>
  <c r="AT92" i="63" s="1"/>
  <c r="AT31" i="90" s="1"/>
  <c r="AT69" i="63"/>
  <c r="AT72" i="63" s="1"/>
  <c r="AT49" i="90"/>
  <c r="AT85" i="63"/>
  <c r="AT46" i="90" l="1"/>
  <c r="AT144" i="63"/>
  <c r="AT149" i="63" s="1"/>
  <c r="AT19" i="65" s="1"/>
  <c r="AT50" i="90"/>
  <c r="AT94" i="63"/>
  <c r="AT95" i="63" s="1"/>
  <c r="AT51" i="90" l="1"/>
  <c r="AT52" i="90" s="1"/>
  <c r="AT22" i="65"/>
  <c r="AU90" i="63"/>
  <c r="AU91" i="63" l="1"/>
  <c r="AU86" i="63"/>
  <c r="AU17" i="90" l="1"/>
  <c r="AU51" i="82"/>
  <c r="AU53" i="82" s="1"/>
  <c r="AU59" i="82" l="1"/>
  <c r="AU80" i="63"/>
  <c r="AU30" i="90"/>
  <c r="AU29" i="90"/>
  <c r="AU25" i="63" l="1"/>
  <c r="AU12" i="65"/>
  <c r="AU36" i="63" l="1"/>
  <c r="AU39" i="63"/>
  <c r="AU48" i="63" s="1"/>
  <c r="AU46" i="63" l="1"/>
  <c r="AU60" i="63" s="1"/>
  <c r="AU62" i="63" s="1"/>
  <c r="AU84" i="63" s="1"/>
  <c r="AU59" i="63" l="1"/>
  <c r="AU61" i="63" s="1"/>
  <c r="AU92" i="63" s="1"/>
  <c r="AU31" i="90" s="1"/>
  <c r="AU49" i="90"/>
  <c r="AU69" i="63"/>
  <c r="AU72" i="63" s="1"/>
  <c r="AU85" i="63"/>
  <c r="AU46" i="90" l="1"/>
  <c r="AU144" i="63"/>
  <c r="AU149" i="63" s="1"/>
  <c r="AU19" i="65" s="1"/>
  <c r="AU50" i="90"/>
  <c r="AU94" i="63"/>
  <c r="AU95" i="63" s="1"/>
  <c r="AU51" i="90" l="1"/>
  <c r="AU52" i="90" s="1"/>
  <c r="AV90" i="63"/>
  <c r="AU22" i="65"/>
  <c r="AV91" i="63" l="1"/>
  <c r="AV86" i="63"/>
  <c r="AV17" i="90" l="1"/>
  <c r="AV51" i="82"/>
  <c r="AV53" i="82" s="1"/>
  <c r="AV80" i="63" l="1"/>
  <c r="AV59" i="82"/>
  <c r="AV30" i="90"/>
  <c r="AV29" i="90"/>
  <c r="AV12" i="65" l="1"/>
  <c r="AV25" i="63"/>
  <c r="AV36" i="63" l="1"/>
  <c r="AV39" i="63"/>
  <c r="AV48" i="63" s="1"/>
  <c r="AV46" i="63" l="1"/>
  <c r="AV60" i="63" s="1"/>
  <c r="AV62" i="63" s="1"/>
  <c r="AV84" i="63" s="1"/>
  <c r="AV49" i="90" l="1"/>
  <c r="AV69" i="63"/>
  <c r="AV72" i="63" s="1"/>
  <c r="AV85" i="63"/>
  <c r="AV59" i="63"/>
  <c r="AV61" i="63" s="1"/>
  <c r="AV92" i="63" s="1"/>
  <c r="AV31" i="90" l="1"/>
  <c r="AV46" i="90"/>
  <c r="AV144" i="63"/>
  <c r="AV149" i="63" s="1"/>
  <c r="AV19" i="65" s="1"/>
  <c r="AV50" i="90"/>
  <c r="AV94" i="63"/>
  <c r="AV95" i="63" s="1"/>
  <c r="AV51" i="90" l="1"/>
  <c r="AV52" i="90" s="1"/>
  <c r="AV22" i="65"/>
  <c r="AW90" i="63"/>
  <c r="AW91" i="63" l="1"/>
  <c r="AW86" i="63"/>
  <c r="AW17" i="90" l="1"/>
  <c r="AW51" i="82"/>
  <c r="AW53" i="82" s="1"/>
  <c r="AW59" i="82" l="1"/>
  <c r="AW80" i="63"/>
  <c r="AW30" i="90"/>
  <c r="AW29" i="90"/>
  <c r="AW25" i="63" l="1"/>
  <c r="AW12" i="65"/>
  <c r="AW39" i="63" l="1"/>
  <c r="AW48" i="63" s="1"/>
  <c r="AW36" i="63"/>
  <c r="AW46" i="63" l="1"/>
  <c r="AW60" i="63" s="1"/>
  <c r="AW62" i="63" s="1"/>
  <c r="AW84" i="63" s="1"/>
  <c r="AW59" i="63" l="1"/>
  <c r="AW61" i="63" s="1"/>
  <c r="AW92" i="63" s="1"/>
  <c r="AW69" i="63"/>
  <c r="AW72" i="63" s="1"/>
  <c r="AW85" i="63"/>
  <c r="AW49" i="90"/>
  <c r="AW31" i="90" l="1"/>
  <c r="AW46" i="90"/>
  <c r="AW144" i="63"/>
  <c r="AW149" i="63" s="1"/>
  <c r="AW19" i="65" s="1"/>
  <c r="AW50" i="90"/>
  <c r="AW94" i="63"/>
  <c r="AW95" i="63" s="1"/>
  <c r="AW51" i="90" l="1"/>
  <c r="AW52" i="90" s="1"/>
  <c r="AW22" i="65"/>
  <c r="AX90" i="63"/>
  <c r="AX86" i="63" l="1"/>
  <c r="AX91" i="63"/>
  <c r="AX17" i="90" l="1"/>
  <c r="AX51" i="82"/>
  <c r="AX53" i="82" s="1"/>
  <c r="AX30" i="90" l="1"/>
  <c r="AX29" i="90"/>
  <c r="AX80" i="63"/>
  <c r="AX59" i="82"/>
  <c r="AX12" i="65" l="1"/>
  <c r="AX25" i="63"/>
  <c r="AX36" i="63" l="1"/>
  <c r="AX39" i="63"/>
  <c r="AX48" i="63" s="1"/>
  <c r="AX46" i="63" l="1"/>
  <c r="AX60" i="63" s="1"/>
  <c r="AX62" i="63" s="1"/>
  <c r="AX84" i="63" s="1"/>
  <c r="AX49" i="90" l="1"/>
  <c r="AX69" i="63"/>
  <c r="AX72" i="63" s="1"/>
  <c r="AX85" i="63"/>
  <c r="AX59" i="63"/>
  <c r="AX61" i="63" s="1"/>
  <c r="AX92" i="63" s="1"/>
  <c r="AX46" i="90" l="1"/>
  <c r="AX31" i="90"/>
  <c r="AX144" i="63"/>
  <c r="AX149" i="63" s="1"/>
  <c r="AX19" i="65" s="1"/>
  <c r="AX50" i="90"/>
  <c r="AX94" i="63"/>
  <c r="AX95" i="63" s="1"/>
  <c r="AX22" i="65" l="1"/>
  <c r="AY90" i="63"/>
  <c r="AX51" i="90"/>
  <c r="AX52" i="90" s="1"/>
  <c r="AY86" i="63" l="1"/>
  <c r="AY91" i="63"/>
  <c r="AY17" i="90" l="1"/>
  <c r="AY51" i="82"/>
  <c r="AY53" i="82" s="1"/>
  <c r="AY80" i="63" l="1"/>
  <c r="AY59" i="82"/>
  <c r="AY30" i="90"/>
  <c r="AY29" i="90"/>
  <c r="AY25" i="63" l="1"/>
  <c r="AY12" i="65"/>
  <c r="AY39" i="63" l="1"/>
  <c r="AY48" i="63" s="1"/>
  <c r="AY36" i="63"/>
  <c r="AY46" i="63" l="1"/>
  <c r="AY60" i="63" s="1"/>
  <c r="AY62" i="63" s="1"/>
  <c r="AY84" i="63" s="1"/>
  <c r="AY59" i="63" l="1"/>
  <c r="AY61" i="63" s="1"/>
  <c r="AY92" i="63" s="1"/>
  <c r="AY31" i="90" s="1"/>
  <c r="AY49" i="90"/>
  <c r="AY69" i="63"/>
  <c r="AY72" i="63" s="1"/>
  <c r="AY85" i="63"/>
  <c r="AY46" i="90" l="1"/>
  <c r="AY144" i="63"/>
  <c r="AY149" i="63" s="1"/>
  <c r="AY19" i="65" s="1"/>
  <c r="AY50" i="90"/>
  <c r="AY94" i="63"/>
  <c r="AY95" i="63" s="1"/>
  <c r="AY51" i="90" l="1"/>
  <c r="AY52" i="90" s="1"/>
  <c r="AZ90" i="63"/>
  <c r="AY22" i="65"/>
  <c r="AZ91" i="63" l="1"/>
  <c r="AZ86" i="63"/>
  <c r="AZ17" i="90" l="1"/>
  <c r="AZ51" i="82"/>
  <c r="AZ53" i="82" s="1"/>
  <c r="AZ80" i="63" l="1"/>
  <c r="AZ59" i="82"/>
  <c r="AZ30" i="90"/>
  <c r="AZ29" i="90"/>
  <c r="AZ12" i="65" l="1"/>
  <c r="AZ25" i="63"/>
  <c r="AZ36" i="63" l="1"/>
  <c r="AZ39" i="63"/>
  <c r="AZ48" i="63" s="1"/>
  <c r="AZ46" i="63" l="1"/>
  <c r="AZ60" i="63" s="1"/>
  <c r="AZ62" i="63" s="1"/>
  <c r="AZ84" i="63" s="1"/>
  <c r="AZ49" i="90" l="1"/>
  <c r="AZ69" i="63"/>
  <c r="AZ72" i="63" s="1"/>
  <c r="AZ85" i="63"/>
  <c r="AZ59" i="63"/>
  <c r="AZ61" i="63" s="1"/>
  <c r="AZ92" i="63" s="1"/>
  <c r="AZ46" i="90" l="1"/>
  <c r="AZ31" i="90"/>
  <c r="AZ144" i="63"/>
  <c r="AZ149" i="63" s="1"/>
  <c r="AZ19" i="65" s="1"/>
  <c r="AZ50" i="90"/>
  <c r="AZ94" i="63"/>
  <c r="AZ95" i="63" s="1"/>
  <c r="BA90" i="63" l="1"/>
  <c r="AZ22" i="65"/>
  <c r="AZ51" i="90"/>
  <c r="AZ52" i="90" s="1"/>
  <c r="BA86" i="63" l="1"/>
  <c r="BA91" i="63"/>
  <c r="BA17" i="90" l="1"/>
  <c r="BA51" i="82"/>
  <c r="BA53" i="82" s="1"/>
  <c r="BA80" i="63" l="1"/>
  <c r="BA59" i="82"/>
  <c r="BA30" i="90"/>
  <c r="BA29" i="90"/>
  <c r="BA12" i="65" l="1"/>
  <c r="BA25" i="63"/>
  <c r="BA36" i="63" l="1"/>
  <c r="BA39" i="63"/>
  <c r="BA48" i="63" s="1"/>
  <c r="BA46" i="63" l="1"/>
  <c r="BA60" i="63" s="1"/>
  <c r="BA62" i="63" s="1"/>
  <c r="BA84" i="63" s="1"/>
  <c r="BA59" i="63" l="1"/>
  <c r="BA61" i="63" s="1"/>
  <c r="BA92" i="63" s="1"/>
  <c r="BA46" i="90" s="1"/>
  <c r="BA49" i="90"/>
  <c r="BA69" i="63"/>
  <c r="BA72" i="63" s="1"/>
  <c r="BA85" i="63"/>
  <c r="BA31" i="90" l="1"/>
  <c r="BA144" i="63"/>
  <c r="BA149" i="63" s="1"/>
  <c r="BA19" i="65" s="1"/>
  <c r="BA50" i="90"/>
  <c r="BA51" i="90" s="1"/>
  <c r="BA94" i="63"/>
  <c r="BA95" i="63" s="1"/>
  <c r="BA52" i="90" l="1"/>
  <c r="BA22" i="65"/>
  <c r="BB90" i="63"/>
  <c r="BB86" i="63" l="1"/>
  <c r="BB91" i="63"/>
  <c r="BB17" i="90" l="1"/>
  <c r="BB51" i="82"/>
  <c r="BB53" i="82" s="1"/>
  <c r="BB59" i="82" l="1"/>
  <c r="BB80" i="63"/>
  <c r="BB30" i="90"/>
  <c r="BB29" i="90"/>
  <c r="BB12" i="65" l="1"/>
  <c r="BB25" i="63"/>
  <c r="BB36" i="63" l="1"/>
  <c r="BB39" i="63"/>
  <c r="BB48" i="63" s="1"/>
  <c r="BB46" i="63" l="1"/>
  <c r="BB60" i="63" s="1"/>
  <c r="BB62" i="63" s="1"/>
  <c r="BB84" i="63" s="1"/>
  <c r="BB49" i="90" l="1"/>
  <c r="BB69" i="63"/>
  <c r="BB72" i="63" s="1"/>
  <c r="BB85" i="63"/>
  <c r="BB59" i="63"/>
  <c r="BB61" i="63" s="1"/>
  <c r="BB92" i="63" s="1"/>
  <c r="BB46" i="90" l="1"/>
  <c r="BB31" i="90"/>
  <c r="BB144" i="63"/>
  <c r="BB149" i="63" s="1"/>
  <c r="BB19" i="65" s="1"/>
  <c r="BB50" i="90"/>
  <c r="BB94" i="63"/>
  <c r="BB95" i="63" s="1"/>
  <c r="BB22" i="65" l="1"/>
  <c r="BB51" i="90"/>
  <c r="BB52" i="90" s="1"/>
  <c r="G52" i="90" s="1"/>
</calcChain>
</file>

<file path=xl/sharedStrings.xml><?xml version="1.0" encoding="utf-8"?>
<sst xmlns="http://schemas.openxmlformats.org/spreadsheetml/2006/main" count="1355" uniqueCount="653">
  <si>
    <t>Cap and Floor Financial Model 2 (CFFM2)</t>
  </si>
  <si>
    <t>GCFFM2 v1.11_June2026 revisions.xlsm</t>
  </si>
  <si>
    <r>
      <t xml:space="preserve">DISCLAIMER: </t>
    </r>
    <r>
      <rPr>
        <sz val="10"/>
        <rFont val="Calibri"/>
        <family val="2"/>
        <scheme val="minor"/>
      </rPr>
      <t xml:space="preserve">The inputs used in this model (with the exception of those imported from the NLCFFM1 used to set cap and floor levels and PCA adjustments at PCR) are purely
</t>
    </r>
  </si>
  <si>
    <t>illustrative and no inference should be made about any future regulatory settlement for Nemo Link beyond PCR.</t>
  </si>
  <si>
    <t>For guidance on the use of the CFFM2, please refer to the CFFM2 Handbook (CFFM2H)</t>
  </si>
  <si>
    <t>Model key</t>
  </si>
  <si>
    <t>Sample</t>
  </si>
  <si>
    <t>Calculated value</t>
  </si>
  <si>
    <t>Formula changes in cells to the right</t>
  </si>
  <si>
    <t>Value imported from other sheet</t>
  </si>
  <si>
    <t>Value exported to other sheet</t>
  </si>
  <si>
    <t>Import from &amp; export to other sheet</t>
  </si>
  <si>
    <t>Initial input</t>
  </si>
  <si>
    <t>Initial input for non-GB indexed portion (to be left empty if GB-indexed only)</t>
  </si>
  <si>
    <t>Updated input</t>
  </si>
  <si>
    <t>Notes and instructions</t>
  </si>
  <si>
    <t>Cell intentionally blank</t>
  </si>
  <si>
    <t>Contents</t>
  </si>
  <si>
    <t>Cover</t>
  </si>
  <si>
    <t>Model key and content directory</t>
  </si>
  <si>
    <t>Version Control</t>
  </si>
  <si>
    <t>Version control and log of changes</t>
  </si>
  <si>
    <t>Inputs</t>
  </si>
  <si>
    <t>Data Sources</t>
  </si>
  <si>
    <t>Information on sources of inputs</t>
  </si>
  <si>
    <t>Costs &amp; Revenue</t>
  </si>
  <si>
    <t>Baseline cost summary and currency conversion of nominal actual costs and revenue</t>
  </si>
  <si>
    <t>ORA Adjustment</t>
  </si>
  <si>
    <t>Controllable Opex adjustment</t>
  </si>
  <si>
    <t>DC Adjustment</t>
  </si>
  <si>
    <t>Decommissioning costs adjustment</t>
  </si>
  <si>
    <t>Indexation</t>
  </si>
  <si>
    <t>Cap and floor inflation indexation</t>
  </si>
  <si>
    <t>Availability</t>
  </si>
  <si>
    <t>Availability incentive calculations</t>
  </si>
  <si>
    <t>Assessment</t>
  </si>
  <si>
    <t>Revenue assessment relative to cap and floor and non-controllable Opex assessment relative to baseline level</t>
  </si>
  <si>
    <t>Revenue Adjustment</t>
  </si>
  <si>
    <t>Cap and floor levels and revenue adjustments</t>
  </si>
  <si>
    <t>Audit</t>
  </si>
  <si>
    <t>Summary information on the model state</t>
  </si>
  <si>
    <t>Checks</t>
  </si>
  <si>
    <t>Partial year cap adjustment factor</t>
  </si>
  <si>
    <t>Partial year floor adjustment factor</t>
  </si>
  <si>
    <t>ORA start date</t>
  </si>
  <si>
    <t>No relevant inputs outside of operational period</t>
  </si>
  <si>
    <t>End of sheet</t>
  </si>
  <si>
    <t>Version number</t>
  </si>
  <si>
    <t>File pathname</t>
  </si>
  <si>
    <t>Based on version</t>
  </si>
  <si>
    <t>Author or editor</t>
  </si>
  <si>
    <t>Date</t>
  </si>
  <si>
    <t>Description of changes</t>
  </si>
  <si>
    <t>Rationale for changes</t>
  </si>
  <si>
    <t>Location of changes</t>
  </si>
  <si>
    <t>Impact of changes on outputs</t>
  </si>
  <si>
    <t>Quality assurance performed? By?</t>
  </si>
  <si>
    <t>Comments on QA performed</t>
  </si>
  <si>
    <t>N/a</t>
  </si>
  <si>
    <t>Andrew Stone &amp; Neill Aitken (NGV)</t>
  </si>
  <si>
    <t>New model</t>
  </si>
  <si>
    <t>Martin Namor</t>
  </si>
  <si>
    <t>CFFM1 and CFFM2 split out of original CFFM</t>
  </si>
  <si>
    <t>Reviewing and improving CFFM</t>
  </si>
  <si>
    <t>No</t>
  </si>
  <si>
    <t>Nick Clitheroe &amp; Tadeos Shahbazia (GAD)</t>
  </si>
  <si>
    <t>Multiple high, medium and low priority issues identified</t>
  </si>
  <si>
    <t>Multiple structural changes</t>
  </si>
  <si>
    <t>Addressing main concerns raised by GAD</t>
  </si>
  <si>
    <t>Multiple sheets</t>
  </si>
  <si>
    <t>Potential</t>
  </si>
  <si>
    <t>Nick Clitheroe &amp; Tadeos Shahbazia (GAD), Svitlana Voronkova (ORE)</t>
  </si>
  <si>
    <t>High and main medium priority issues addressed satisfactorily</t>
  </si>
  <si>
    <t>Multiple presentational changes</t>
  </si>
  <si>
    <t>Addressing medium and minor concerns raised by GAD</t>
  </si>
  <si>
    <t>Svitlana Voronkova (ORE)</t>
  </si>
  <si>
    <t>Remaining medium and low priority issues addressed satisfactorily</t>
  </si>
  <si>
    <t>Vanessa Simpson &amp; Neill Aitken (NGV)</t>
  </si>
  <si>
    <t xml:space="preserve">Costs transferred from IFA2CFFM1. Changes made to reflect IFA2 operational years. Replaced RPI inflation value with actual RPI inflation value. Changes made to reflect that IFA2 is a single currency  project. </t>
  </si>
  <si>
    <t>Implementing the model for IFA2</t>
  </si>
  <si>
    <t>Multiple Sheets</t>
  </si>
  <si>
    <t>Medium</t>
  </si>
  <si>
    <t>Internal (ORE - Rahmatullah Kawsary)</t>
  </si>
  <si>
    <t>Comments reflected in version 1.4</t>
  </si>
  <si>
    <t>Alexander Graham</t>
  </si>
  <si>
    <t>Inclusion of figures (real and forecast revenues, real and forecast inflation, and real outages) for first Relevant Assessment Period</t>
  </si>
  <si>
    <t>Assessing the proposed value for the Within Period Adjustment requested by NGIFA2</t>
  </si>
  <si>
    <t>Tomo Sandeman</t>
  </si>
  <si>
    <t>Modifications for project financed interconnectors. 
A) added Actual Floor elements
B) added Temporary Financial Support elements
C) switched review period from 5yr to 1yr</t>
  </si>
  <si>
    <t>New model template for project financed interconnectors</t>
  </si>
  <si>
    <t>Inputs, ORA Adjustment, DC Adjustment, Indexation, Availability, Assessment, Revenue Adjustment</t>
  </si>
  <si>
    <r>
      <t xml:space="preserve">Corrected ICF rows in </t>
    </r>
    <r>
      <rPr>
        <i/>
        <sz val="10"/>
        <color theme="1"/>
        <rFont val="Calibri"/>
        <family val="2"/>
        <scheme val="minor"/>
      </rPr>
      <t>Assessment</t>
    </r>
    <r>
      <rPr>
        <sz val="10"/>
        <color theme="1"/>
        <rFont val="Calibri"/>
        <family val="2"/>
        <scheme val="minor"/>
      </rPr>
      <t>, which formerly ignored above cap revenues when availability &lt;1. 
1) P158 (“ICF (for notional floor) (pre-TRU adjustment)”) changed from “=P154+P102+P103+IF(AND(P87&gt;=1,P95=0),P80,P94)” to “=P154+P102+P103+P80-P93+P94”.
2) P519 (“ICF (for actual floor) (pre-TRU adjustment)”) changed from “=P154+P134+P135+IF(AND(P111&gt;=1,P119=0),P81,P118)” to “=P154+P134+P135+P81-P117+P118”</t>
    </r>
  </si>
  <si>
    <t>Corrections</t>
  </si>
  <si>
    <r>
      <t xml:space="preserve">Corrected Temporary Support Actual in OTSBED corkscrew. </t>
    </r>
    <r>
      <rPr>
        <i/>
        <sz val="10"/>
        <color theme="1"/>
        <rFont val="Calibri"/>
        <family val="2"/>
        <scheme val="minor"/>
      </rPr>
      <t>Assessment</t>
    </r>
    <r>
      <rPr>
        <sz val="10"/>
        <color theme="1"/>
        <rFont val="Calibri"/>
        <family val="2"/>
        <scheme val="minor"/>
      </rPr>
      <t xml:space="preserve"> row 136 changed from "=P117" to "=P118".</t>
    </r>
  </si>
  <si>
    <r>
      <t xml:space="preserve">Created new </t>
    </r>
    <r>
      <rPr>
        <i/>
        <sz val="10"/>
        <color theme="1"/>
        <rFont val="Calibri"/>
        <family val="2"/>
        <scheme val="minor"/>
      </rPr>
      <t>Audit</t>
    </r>
    <r>
      <rPr>
        <sz val="10"/>
        <color theme="1"/>
        <rFont val="Calibri"/>
        <family val="2"/>
        <scheme val="minor"/>
      </rPr>
      <t xml:space="preserve"> tab to illustrate the situation of revenues vs cap/floor/OTSBED etc. </t>
    </r>
  </si>
  <si>
    <t>N/A</t>
  </si>
  <si>
    <r>
      <t xml:space="preserve">Added a scalar for "Notional/Actual floor temporary support requested scalar" in </t>
    </r>
    <r>
      <rPr>
        <i/>
        <sz val="10"/>
        <color theme="1"/>
        <rFont val="Calibri"/>
        <family val="2"/>
        <scheme val="minor"/>
      </rPr>
      <t>Inputs</t>
    </r>
    <r>
      <rPr>
        <sz val="10"/>
        <color theme="1"/>
        <rFont val="Calibri"/>
        <family val="2"/>
        <scheme val="minor"/>
      </rPr>
      <t xml:space="preserve"> row 122, linked to </t>
    </r>
    <r>
      <rPr>
        <i/>
        <sz val="10"/>
        <color theme="1"/>
        <rFont val="Calibri"/>
        <family val="2"/>
        <scheme val="minor"/>
      </rPr>
      <t xml:space="preserve">Availability </t>
    </r>
    <r>
      <rPr>
        <sz val="10"/>
        <color theme="1"/>
        <rFont val="Calibri"/>
        <family val="2"/>
        <scheme val="minor"/>
      </rPr>
      <t xml:space="preserve">row 50. Added "*P50" onto end of formulas in </t>
    </r>
    <r>
      <rPr>
        <i/>
        <sz val="10"/>
        <color theme="1"/>
        <rFont val="Calibri"/>
        <family val="2"/>
        <scheme val="minor"/>
      </rPr>
      <t>Availability</t>
    </r>
    <r>
      <rPr>
        <sz val="10"/>
        <color theme="1"/>
        <rFont val="Calibri"/>
        <family val="2"/>
        <scheme val="minor"/>
      </rPr>
      <t xml:space="preserve"> rows 53 and 54 to account for the scalar. This implementation aligns the model to Licence Special Condition 4 para 16</t>
    </r>
  </si>
  <si>
    <t>Licence alignment</t>
  </si>
  <si>
    <t>Inputs, Availability</t>
  </si>
  <si>
    <t>Moderate</t>
  </si>
  <si>
    <r>
      <t xml:space="preserve">Modify timing flag for Actual Floor debt service element. </t>
    </r>
    <r>
      <rPr>
        <i/>
        <sz val="10"/>
        <color theme="1"/>
        <rFont val="Calibri"/>
        <family val="2"/>
        <scheme val="minor"/>
      </rPr>
      <t xml:space="preserve">Inputs </t>
    </r>
    <r>
      <rPr>
        <sz val="10"/>
        <color theme="1"/>
        <rFont val="Calibri"/>
        <family val="2"/>
        <scheme val="minor"/>
      </rPr>
      <t>O80 changed from “=IF(O4&lt;$I$80,1,0)+IF(AND(O4&gt;=$I$80,O3&lt;=$I$80),($I$80-O3+1)/365.25,0)” to “=IF(O4&lt;$I$80,O78,0)+IF(AND(O4&gt;=$I$80,O3&lt;=$I$80),($I$80-O3+1)/365.25,0)”.</t>
    </r>
  </si>
  <si>
    <t>Correction</t>
  </si>
  <si>
    <t>Update indexation inputs for debt service element of actual floor. 
1.	Add 4 new rows below row 165 for indexation assumptions for each year prior to model timeline. Re-label row 170 from “CPIH inflation assumption at financial close - 2021 to 2025” to “Inflation assumption at financial close - 2024 onwards”. Change first year value to a single input instead of a fudge formula.
2.	Row 171 “Indexation factor for debt service portion of actual floor”. Change O170 from “=(1+O167)*(1+O168)*(1+O169)*(1+O170)”.</t>
  </si>
  <si>
    <t>Remove "Within-period adjustments" from model, replace with TRU true-up term.
1.	Assessment delete rows: 40 (Within-period adjustment (assessed); 51 (NPV of Within-period adjustment (assessed)); 52 (NPV of Within-period adjustment (assessed)); 70 (NPV of Within-period adjustment (assessed)). Remove the reference from rows 72 (Cap and Notional Floor revenue adjustment - Unadjusted for end of period) and 73 (Cap and Actual Floor revenue adjustment - Unadjusted for end of period).
2.	Revenue Adjustment delete row 22 and 23 (GB share of within-period revenue adjustment (negative value: payment to consumers; positive value: payment from consumers))
3.	Inputs row 117 relabel from “Within-period adjustment (assessed) (negative value: payment to consumers; positive value: payment from consumers)” to “True-up Term  (negative value: payment to consumers; positive value: payment from consumers)”
4.	Assessment added 5 new rows below row 154. Row 156 is True-up Term “=Inputs!P117”. Row 158 is ICF (for notional floor) (post-TRU adjustment) “=P153+P156”. Row 159 is ICT (for actual floor) (post-TRU adjustment) “=P154+P156”
5.	Revenue Adjustment change O19 from “=$I$17*Assessment!P153” to “=$I$17*Assessment!P158”. Change O20 from “=$I$17*Assessment!P154” to “=$I$17*Assessment!P159”.</t>
  </si>
  <si>
    <t>Inputs, Assessment, Revenue Adjustment</t>
  </si>
  <si>
    <t>Data Sources tab updated with new inputs</t>
  </si>
  <si>
    <t>Reflecting updates</t>
  </si>
  <si>
    <t>Removing markup from recent changes, adding high-contrast colours for accessibility purposes</t>
  </si>
  <si>
    <r>
      <t xml:space="preserve">Model audit issues:
1. </t>
    </r>
    <r>
      <rPr>
        <i/>
        <sz val="10"/>
        <color theme="1"/>
        <rFont val="Calibri"/>
        <family val="2"/>
        <scheme val="minor"/>
      </rPr>
      <t>DC Adjustment</t>
    </r>
    <r>
      <rPr>
        <sz val="10"/>
        <color theme="1"/>
        <rFont val="Calibri"/>
        <family val="2"/>
        <scheme val="minor"/>
      </rPr>
      <t xml:space="preserve"> I61 ("NPV of second DCCt adjustment") references a blank cell. Changed from "=SUMPRODUCT($O$57:$BB$57,$O$25:$BB$25)*I25" to "=SUMPRODUCT($O$57:$BB$57,$O$25:$BB$25)*I24".
2. </t>
    </r>
    <r>
      <rPr>
        <i/>
        <sz val="10"/>
        <color theme="1"/>
        <rFont val="Calibri"/>
        <family val="2"/>
        <scheme val="minor"/>
      </rPr>
      <t>Indexation</t>
    </r>
    <r>
      <rPr>
        <sz val="10"/>
        <color theme="1"/>
        <rFont val="Calibri"/>
        <family val="2"/>
        <scheme val="minor"/>
      </rPr>
      <t xml:space="preserve"> H32 and H33 labels swapped. (PCANF and PCAAF)
3. All references to "financial year" in </t>
    </r>
    <r>
      <rPr>
        <i/>
        <sz val="10"/>
        <color theme="1"/>
        <rFont val="Calibri"/>
        <family val="2"/>
        <scheme val="minor"/>
      </rPr>
      <t>Inputs</t>
    </r>
    <r>
      <rPr>
        <sz val="10"/>
        <color theme="1"/>
        <rFont val="Calibri"/>
        <family val="2"/>
        <scheme val="minor"/>
      </rPr>
      <t xml:space="preserve"> labels replaced with "year".
4. </t>
    </r>
    <r>
      <rPr>
        <i/>
        <sz val="10"/>
        <color theme="1"/>
        <rFont val="Calibri"/>
        <family val="2"/>
        <scheme val="minor"/>
      </rPr>
      <t xml:space="preserve">Indexation </t>
    </r>
    <r>
      <rPr>
        <sz val="10"/>
        <color theme="1"/>
        <rFont val="Calibri"/>
        <family val="2"/>
        <scheme val="minor"/>
      </rPr>
      <t xml:space="preserve">row 55 "PCAC adjustment factor" changed from "=INDEX(Inputs!$P$178:$BB$178,MATCH(P$5,Inputs!$P$5:$BB$5,0))" to "=Inputs!P178". Row 56 "PCANF/PCAAF adjustment factor" changed from "=INDEX(Inputs!$P$179:$BB$179,MATCH(P$5,Inputs!$P$5:$BB$5,0))" to "=Inputs!P179".
5. </t>
    </r>
    <r>
      <rPr>
        <i/>
        <sz val="10"/>
        <color theme="1"/>
        <rFont val="Calibri"/>
        <family val="2"/>
        <scheme val="minor"/>
      </rPr>
      <t>Assessment</t>
    </r>
    <r>
      <rPr>
        <sz val="10"/>
        <color theme="1"/>
        <rFont val="Calibri"/>
        <family val="2"/>
        <scheme val="minor"/>
      </rPr>
      <t xml:space="preserve"> row 11 changed from "=INDEX(Inputs!$O$160:$BB$160,MATCH(O5,Inputs!$O$5:$BB$5,0))" to "=Inputs!O160". Label changed from "PPPI index" to "Inflation index". Label changed in E12 also and E137
6. </t>
    </r>
    <r>
      <rPr>
        <i/>
        <sz val="10"/>
        <color theme="1"/>
        <rFont val="Calibri"/>
        <family val="2"/>
        <scheme val="minor"/>
      </rPr>
      <t xml:space="preserve">Inputs </t>
    </r>
    <r>
      <rPr>
        <sz val="10"/>
        <color theme="1"/>
        <rFont val="Calibri"/>
        <family val="2"/>
        <scheme val="minor"/>
      </rPr>
      <t xml:space="preserve">row 70 changed from "=+IF(SUM($O66:O66)&lt;1,0,IF(O$5=1,$I$69/365.25,IF(O$5=25,1+(365.25-$I$69)/365.25,IF(O$5&gt;25,0,1))))" to "=+IF(SUM($O66:O66)&lt;1,0,IF(O$5=1,$I$69/365.25,IF(O$5=op_years,1+(365.25-$I$69)/365.25,IF(O$5&gt;op_years,0,1))))".
7. Removing duplicate rows.  </t>
    </r>
    <r>
      <rPr>
        <i/>
        <sz val="10"/>
        <color theme="1"/>
        <rFont val="Calibri"/>
        <family val="2"/>
        <scheme val="minor"/>
      </rPr>
      <t>Asessment</t>
    </r>
    <r>
      <rPr>
        <sz val="10"/>
        <color theme="1"/>
        <rFont val="Calibri"/>
        <family val="2"/>
        <scheme val="minor"/>
      </rPr>
      <t xml:space="preserve"> changed row 88 (Temporary Support Notional) from "=IF(AND(P84=0,P82&lt;1,P83&lt;=1,P71&gt;0),P71,0)" to "=IF(AND(P84=0,P82&lt;1,P83&lt;=1,P61&gt;0),P61,0)". Changed row 111 (Temporary Support Actual) from "=IF(AND(P107=0,P105&lt;1,P106&lt;=1,P73&gt;0),P73,0)" to "=IF(AND(P107=0,P105&lt;1,P106&lt;=1,P65&gt;0),P65,0)". Deleted rows 73 (Revenue shortfall at actual floor) and 71 (Revenue shortfall at notional floor). Rows 70 (Revenue Excess At Notional Floor Level) and 71 (Revenue Excess At Actual Floor Level) are moved to below row 60 (Relevant revenue at Floor (for RSNF calculation)) and row 64 (Relevant revenue at Floor (for RSAF calculation)) respectively.
8. Removing duplicate rows. </t>
    </r>
    <r>
      <rPr>
        <i/>
        <sz val="10"/>
        <color theme="1"/>
        <rFont val="Calibri"/>
        <family val="2"/>
        <scheme val="minor"/>
      </rPr>
      <t>Assessment</t>
    </r>
    <r>
      <rPr>
        <sz val="10"/>
        <color theme="1"/>
        <rFont val="Calibri"/>
        <family val="2"/>
        <scheme val="minor"/>
      </rPr>
      <t xml:space="preserve"> row 85 (Temporary Support Notional) changed from "=IF(AND(P81=0,P79&lt;1,P80&lt;=1,P62&gt;0),P62,0)" to "=IF(AND(P57=0,P79&lt;1,P80&lt;=1,P62&gt;0),P62,0)". Row 81 (Revenue Excess at Cap). Row 108 (Temporary Support Actual) changed from "=IF(AND(P104=0,P102&lt;1,P103&lt;=1,P67&gt;0),P67,0)" to "=IF(AND(P57=0,P102&lt;1,P103&lt;=1,P67&gt;0),P67,0)". Delete rows 81 and 104 (Revenue Excess at Cap). 
9. Removing duplicate rows. </t>
    </r>
    <r>
      <rPr>
        <i/>
        <sz val="10"/>
        <color theme="1"/>
        <rFont val="Calibri"/>
        <family val="2"/>
        <scheme val="minor"/>
      </rPr>
      <t>Assessment</t>
    </r>
    <r>
      <rPr>
        <sz val="10"/>
        <color theme="1"/>
        <rFont val="Calibri"/>
        <family val="2"/>
        <scheme val="minor"/>
      </rPr>
      <t xml:space="preserve"> row 133 (Non-controlable Opex (baseline)) change from "='Costs &amp; Revenue'!P13*P130" to "='Costs &amp; Revenue'!P13*P11". Delete row 130 (Inflation index)</t>
    </r>
  </si>
  <si>
    <t>Corrections arising from model audit</t>
  </si>
  <si>
    <t>Various</t>
  </si>
  <si>
    <t>Minor labelling updates</t>
  </si>
  <si>
    <t>Inputs, DC Adjustment, Indexation, Assessment</t>
  </si>
  <si>
    <t>None</t>
  </si>
  <si>
    <t>Alterations to price base:
1.	Inputs cell I11 “Base year price term” changed from “£m 20/21” to “£m 2020”. This assumes therefore that all £m real inputs are in £m 2020 prices (predominantly from CFFM1 but also Ofgem-determined PCR adjustments to PCA, ORA, DC)
2.	Inputs row 52 “Base year RPI inflation index value (CHAW)” change H52 from “UK RPI index 21/22” to “UK RPI index 2020”. Change I52 from “256.5” to “293.1”
3.	Inputs row 155 import out-turn RPI values, and future values are based on assumed long term of inflation 4.28% (taken from CFFM1 Inputs I179)</t>
  </si>
  <si>
    <t>Updating to 2020 price base, calendar year basis</t>
  </si>
  <si>
    <t>Minor</t>
  </si>
  <si>
    <r>
      <t>Inputs</t>
    </r>
    <r>
      <rPr>
        <sz val="10"/>
        <color theme="1"/>
        <rFont val="Calibri"/>
        <family val="2"/>
        <scheme val="minor"/>
      </rPr>
      <t xml:space="preserve"> removed all scenario functionality and replaced scenario-driven inputs with hard-coded zeroes. Deleted </t>
    </r>
    <r>
      <rPr>
        <i/>
        <sz val="10"/>
        <color theme="1"/>
        <rFont val="Calibri"/>
        <family val="2"/>
        <scheme val="minor"/>
      </rPr>
      <t>Scenarios</t>
    </r>
    <r>
      <rPr>
        <sz val="10"/>
        <color theme="1"/>
        <rFont val="Calibri"/>
        <family val="2"/>
        <scheme val="minor"/>
      </rPr>
      <t xml:space="preserve"> tab.</t>
    </r>
  </si>
  <si>
    <t>Cleaning model</t>
  </si>
  <si>
    <t>No impact</t>
  </si>
  <si>
    <t>Updated inputs with PCR consultation values</t>
  </si>
  <si>
    <t>Updates</t>
  </si>
  <si>
    <t>Licence</t>
  </si>
  <si>
    <t>Parameter</t>
  </si>
  <si>
    <t>Units</t>
  </si>
  <si>
    <t>Terminology</t>
  </si>
  <si>
    <t>Constant</t>
  </si>
  <si>
    <t>Annual values</t>
  </si>
  <si>
    <t>Year commencing</t>
  </si>
  <si>
    <t>Year ending</t>
  </si>
  <si>
    <t>Operational year</t>
  </si>
  <si>
    <t>Items transferred from CFFM1</t>
  </si>
  <si>
    <t>Base year and currency</t>
  </si>
  <si>
    <t>Base year price term</t>
  </si>
  <si>
    <t>£m 2020</t>
  </si>
  <si>
    <t>Currency of revenue and cost inputs</t>
  </si>
  <si>
    <t>£</t>
  </si>
  <si>
    <t>Model operation</t>
  </si>
  <si>
    <t>Regime start date</t>
  </si>
  <si>
    <t>date</t>
  </si>
  <si>
    <t>Start of year of regime start date</t>
  </si>
  <si>
    <t>End of year of first regime year</t>
  </si>
  <si>
    <t>Start of preceding year</t>
  </si>
  <si>
    <t>Number of relevant years</t>
  </si>
  <si>
    <t>full years</t>
  </si>
  <si>
    <t>Calendar month number (e.g. Jan=1) of first month of year when operations start</t>
  </si>
  <si>
    <t>value</t>
  </si>
  <si>
    <t>Debt service period for Actual Floor</t>
  </si>
  <si>
    <t>years</t>
  </si>
  <si>
    <t>Cap and Floor levels</t>
  </si>
  <si>
    <t>Preliminary Cap including tax</t>
  </si>
  <si>
    <t>PCL</t>
  </si>
  <si>
    <t>Preliminary Notional Floor including tax</t>
  </si>
  <si>
    <t>PNFL</t>
  </si>
  <si>
    <t>Preliminary Actual Floor Level (Other cost component)</t>
  </si>
  <si>
    <t>PAFL</t>
  </si>
  <si>
    <t>Preliminary Actual Floor Level (Debt service component)</t>
  </si>
  <si>
    <t>Cap PCA adjustment</t>
  </si>
  <si>
    <t>PCAC</t>
  </si>
  <si>
    <t>Notional Floor PCA adjustment</t>
  </si>
  <si>
    <t>PCANF</t>
  </si>
  <si>
    <t>Actual Floor PCA adjustment (Other cost component)</t>
  </si>
  <si>
    <t>PCAAF</t>
  </si>
  <si>
    <t>Actual Floor PCA adjustment (Debt service component)</t>
  </si>
  <si>
    <t>Baseline cost inputs during operations</t>
  </si>
  <si>
    <t>Decommissioning (baseline)</t>
  </si>
  <si>
    <t>Controllable Opex (baseline)</t>
  </si>
  <si>
    <t>Non-controllable Opex (baseline)</t>
  </si>
  <si>
    <t>BNCOA</t>
  </si>
  <si>
    <t>Financial returns</t>
  </si>
  <si>
    <t>Cap return rate</t>
  </si>
  <si>
    <t>real annual %</t>
  </si>
  <si>
    <t>Notional Floor return rate</t>
  </si>
  <si>
    <t>Actual Floor return rate</t>
  </si>
  <si>
    <t>Base year indices</t>
  </si>
  <si>
    <t>Base year RPI inflation index value (CHAW)</t>
  </si>
  <si>
    <t>Jan 1987 = 100</t>
  </si>
  <si>
    <t>UK RPI index 2020</t>
  </si>
  <si>
    <t>Base year non-GB inflation index value</t>
  </si>
  <si>
    <t>non-GB inflation index 2020</t>
  </si>
  <si>
    <t>Base year average exchange rate (XUMAERS)</t>
  </si>
  <si>
    <t>GBP / EUR</t>
  </si>
  <si>
    <t>GBP2020 / EUR2020</t>
  </si>
  <si>
    <t>Regime timings and design</t>
  </si>
  <si>
    <t>Note: changes to these variables may require structural changes to the model</t>
  </si>
  <si>
    <t>Days in year</t>
  </si>
  <si>
    <t>days</t>
  </si>
  <si>
    <t>Regime start date flag</t>
  </si>
  <si>
    <t>flag</t>
  </si>
  <si>
    <t>Regime end date</t>
  </si>
  <si>
    <t>Regime end date flag</t>
  </si>
  <si>
    <t>Number of days cap term</t>
  </si>
  <si>
    <t>NDC</t>
  </si>
  <si>
    <t>scalar</t>
  </si>
  <si>
    <t>PYCt</t>
  </si>
  <si>
    <t>Partial year cap adjustment factor check</t>
  </si>
  <si>
    <t>check</t>
  </si>
  <si>
    <t>Floor start date</t>
  </si>
  <si>
    <t>Start of year of floor start date</t>
  </si>
  <si>
    <t>End of year of floor start date</t>
  </si>
  <si>
    <t>Floor start date flag</t>
  </si>
  <si>
    <t>Number of days floor term</t>
  </si>
  <si>
    <t>NDF</t>
  </si>
  <si>
    <t>PYFt</t>
  </si>
  <si>
    <t>Partial year floor adjustment factor check</t>
  </si>
  <si>
    <t>Partial year adjustment factor - actual floor debt service component</t>
  </si>
  <si>
    <t>Number of operational years</t>
  </si>
  <si>
    <t>Assessment period length</t>
  </si>
  <si>
    <t>GB indexed portion of interconnector</t>
  </si>
  <si>
    <t>%</t>
  </si>
  <si>
    <t>Variables to be updated</t>
  </si>
  <si>
    <t>Cost items to be updated up to and beyond PCA stage (actual)</t>
  </si>
  <si>
    <t>Non-controllable Opex (actual)</t>
  </si>
  <si>
    <t>Non-controllable Opex adjustment following NRA review (actual)</t>
  </si>
  <si>
    <t>Revenue items to be updated (actual)</t>
  </si>
  <si>
    <t>Capacity allocation revenue</t>
  </si>
  <si>
    <t>CARt</t>
  </si>
  <si>
    <t>Ancillary services revenue (GB)</t>
  </si>
  <si>
    <t>ASRGBt</t>
  </si>
  <si>
    <t>Ancillary services revenue (non-GB, if applicable)</t>
  </si>
  <si>
    <t>ASRnGBt</t>
  </si>
  <si>
    <t>Capacity market revenue</t>
  </si>
  <si>
    <t>CMRt</t>
  </si>
  <si>
    <t>Receipts from insurance</t>
  </si>
  <si>
    <t>RIt</t>
  </si>
  <si>
    <t>Constraint payments (GB)</t>
  </si>
  <si>
    <t>CPGBt</t>
  </si>
  <si>
    <t>Constraint payments (non-GB, if applicable)</t>
  </si>
  <si>
    <t>CPnGBt</t>
  </si>
  <si>
    <t>Additional revenue (net of relevant costs)</t>
  </si>
  <si>
    <t>ADRt</t>
  </si>
  <si>
    <t>Gross congestion revenues</t>
  </si>
  <si>
    <t>GCRt</t>
  </si>
  <si>
    <t>Error accounting costs</t>
  </si>
  <si>
    <t>EACt</t>
  </si>
  <si>
    <t>Firmness costs</t>
  </si>
  <si>
    <t>FCt</t>
  </si>
  <si>
    <t>Trip contract costs</t>
  </si>
  <si>
    <t>TCCt</t>
  </si>
  <si>
    <t>Market related costs</t>
  </si>
  <si>
    <t>MRCt</t>
  </si>
  <si>
    <t>Income adjusting event</t>
  </si>
  <si>
    <t>IATt</t>
  </si>
  <si>
    <t>Notional assessed revenue</t>
  </si>
  <si>
    <t>NARt</t>
  </si>
  <si>
    <t>Assessed revenue</t>
  </si>
  <si>
    <t>ARt</t>
  </si>
  <si>
    <t>True-up Term  (negative value: payment to consumers; positive value: payment from consumers)</t>
  </si>
  <si>
    <t>£m nominal prices</t>
  </si>
  <si>
    <t>TRUt</t>
  </si>
  <si>
    <t>A4 p58</t>
  </si>
  <si>
    <t>Actual floor temporary support</t>
  </si>
  <si>
    <t>Notional/Actual floor temporary support requested</t>
  </si>
  <si>
    <t>Notional/Actual floor temporary support requested scalar</t>
  </si>
  <si>
    <t>CAPOTSN/CAPOTSA floor multiple</t>
  </si>
  <si>
    <t>Extra Repayment of Temporary Support Notional &amp; Actual (-ve = repayment)</t>
  </si>
  <si>
    <t>ETRSNt/ETRSAt</t>
  </si>
  <si>
    <t>Adjustment to Cap and Floor levels</t>
  </si>
  <si>
    <t>Availability incentive</t>
  </si>
  <si>
    <t>Cap availability incentive ratio</t>
  </si>
  <si>
    <t>ratio</t>
  </si>
  <si>
    <t>Cap availability incentive target</t>
  </si>
  <si>
    <t>Cap availability incentive upper limit</t>
  </si>
  <si>
    <t>Cap availability incentive lower limit</t>
  </si>
  <si>
    <t>Interconnector rated capacity</t>
  </si>
  <si>
    <t>MW</t>
  </si>
  <si>
    <t>RC</t>
  </si>
  <si>
    <t>Number of hours in relevant year</t>
  </si>
  <si>
    <t>hours pa</t>
  </si>
  <si>
    <t>Total interconnector outages during active Cap period</t>
  </si>
  <si>
    <t>MWh</t>
  </si>
  <si>
    <t>Allowed outages during active Cap period</t>
  </si>
  <si>
    <t>Total interconnector outages less allowed outages during active Cap period</t>
  </si>
  <si>
    <t>IOt</t>
  </si>
  <si>
    <t>Total Interconnector outages during active Floor period</t>
  </si>
  <si>
    <t>Allowed outages during active Floor period</t>
  </si>
  <si>
    <t>Total interconnector outages less allowed outages during active Floor period</t>
  </si>
  <si>
    <t>Outages associated with exceptional events</t>
  </si>
  <si>
    <t>Floor availability incentive target</t>
  </si>
  <si>
    <t>Inflation and exchange rate</t>
  </si>
  <si>
    <t>-</t>
  </si>
  <si>
    <t>Average UK RPI inflation index value (CHAW)</t>
  </si>
  <si>
    <t>UK RPI index t</t>
  </si>
  <si>
    <t>Average non-GB inflation index value</t>
  </si>
  <si>
    <t>non-GB inflation index t</t>
  </si>
  <si>
    <t>Average exchange rate (XUMAERS)</t>
  </si>
  <si>
    <t>GBPt/EURt</t>
  </si>
  <si>
    <t>Indexation Factor</t>
  </si>
  <si>
    <r>
      <t>RPI</t>
    </r>
    <r>
      <rPr>
        <vertAlign val="subscript"/>
        <sz val="10"/>
        <rFont val="Calibri"/>
        <family val="2"/>
        <scheme val="minor"/>
      </rPr>
      <t>t</t>
    </r>
  </si>
  <si>
    <t>Bank of England Sterling Overnight Index Average</t>
  </si>
  <si>
    <t>SONIAt</t>
  </si>
  <si>
    <t>SONIA Margin for ODR</t>
  </si>
  <si>
    <t>Combined SONIA + Margin rate</t>
  </si>
  <si>
    <t>Debt service portion of actual floor indexation: inflation assumption for 2021</t>
  </si>
  <si>
    <t>Debt service portion of actual floor indexation: inflation assumption for 2022</t>
  </si>
  <si>
    <t>Debt service portion of actual floor indexation: inflation assumption for 2023</t>
  </si>
  <si>
    <t>Debt service portion of actual floor indexation: inflation assumption at financial close - 2024 onwards</t>
  </si>
  <si>
    <t>Debt service portion of actual floor indexation factor</t>
  </si>
  <si>
    <t>PCA adjustment</t>
  </si>
  <si>
    <t>PCA/PFA adjustment - Ofgem start date</t>
  </si>
  <si>
    <t>Later of PCA/PFA start date and Regime start date</t>
  </si>
  <si>
    <t>Later of PCA/PFA start date and Floor start date</t>
  </si>
  <si>
    <t>Apply PCA adjustment factor?</t>
  </si>
  <si>
    <t>switch</t>
  </si>
  <si>
    <t>Yes</t>
  </si>
  <si>
    <t>PCA adjustment factor</t>
  </si>
  <si>
    <t>PFA adjustment factor</t>
  </si>
  <si>
    <t>ORA adjustment</t>
  </si>
  <si>
    <t>Apply ORA adjustment factor?</t>
  </si>
  <si>
    <t>ORA start date check</t>
  </si>
  <si>
    <t>ORA Cap effective flag</t>
  </si>
  <si>
    <t>ORA Floor effective flag</t>
  </si>
  <si>
    <t>Revised controllable Opex at date of ORA submission</t>
  </si>
  <si>
    <t>Amendment to Cap rate (to be hard-coded in this cell once ORAC adjustment finalised)</t>
  </si>
  <si>
    <t>ORAC</t>
  </si>
  <si>
    <t>Amendment to notional Floor rate (to be hard-coded in this cell once ORAF adjustment finalised)</t>
  </si>
  <si>
    <t>ORANF</t>
  </si>
  <si>
    <t>Amendment to actual Floor rate (to be hard-coded in this cell once ORAF adjustment finalised)</t>
  </si>
  <si>
    <t>ORAAF</t>
  </si>
  <si>
    <t>DC adjustments</t>
  </si>
  <si>
    <t>Apply DC adjustment factor?</t>
  </si>
  <si>
    <t>Current DC adjustment</t>
  </si>
  <si>
    <t>Current DC start date</t>
  </si>
  <si>
    <t>Current DC Cap and Floor effective flag</t>
  </si>
  <si>
    <t>Decommissioning Costs (latest view at submission of DCt adjustment)</t>
  </si>
  <si>
    <t>Amendment to Cap rate (to be hard-coded in section below once DCC adjustment finalised)</t>
  </si>
  <si>
    <t>DCCt</t>
  </si>
  <si>
    <t>Amendment to Notional floor rate (to be hard-coded in section below once DCF adjustment finalised)</t>
  </si>
  <si>
    <t>DCNFt</t>
  </si>
  <si>
    <t>Amendment to Actual floor rate (to be hard-coded in section below once DCF adjustment finalised)</t>
  </si>
  <si>
    <t>DCAFt</t>
  </si>
  <si>
    <t>Previous DC adjustments</t>
  </si>
  <si>
    <t>First DCt adjustment</t>
  </si>
  <si>
    <t>Start date</t>
  </si>
  <si>
    <t>Cap value</t>
  </si>
  <si>
    <t>Notional floor value</t>
  </si>
  <si>
    <t>Actual floor value</t>
  </si>
  <si>
    <t>Second DCt adjustment</t>
  </si>
  <si>
    <t>Third DCt adjustment</t>
  </si>
  <si>
    <t>Fourth DCt adjustment</t>
  </si>
  <si>
    <t>Latest start date</t>
  </si>
  <si>
    <t>DCt adjustment flags - Cap and Floor</t>
  </si>
  <si>
    <t>start</t>
  </si>
  <si>
    <t>end</t>
  </si>
  <si>
    <t>First DCCt adjustment</t>
  </si>
  <si>
    <t>Second DCCt adjustment</t>
  </si>
  <si>
    <t>Third DCCt adjustment</t>
  </si>
  <si>
    <t>Fourth DCCt adjustment</t>
  </si>
  <si>
    <t>No relevant values input into individual years outside of the operational period</t>
  </si>
  <si>
    <t>No relevant values input into any year outside of the operational period</t>
  </si>
  <si>
    <t>Reference row in</t>
  </si>
  <si>
    <t>Inputs sheet</t>
  </si>
  <si>
    <t>Source</t>
  </si>
  <si>
    <t>Link</t>
  </si>
  <si>
    <t>GCFFM1</t>
  </si>
  <si>
    <t xml:space="preserve">  </t>
  </si>
  <si>
    <t>Base year indices and other index values</t>
  </si>
  <si>
    <t>Greenlink</t>
  </si>
  <si>
    <t>RIGs and Ofgem decision (current value is illustrative)</t>
  </si>
  <si>
    <t>Ofgem decision (current value is illustrative)</t>
  </si>
  <si>
    <t>Extra Repayment of Temporary Support Actual (-ve = repayment)</t>
  </si>
  <si>
    <t>Inflation &amp; exchange rate</t>
  </si>
  <si>
    <t>[Unused]</t>
  </si>
  <si>
    <t>`</t>
  </si>
  <si>
    <t>Costs</t>
  </si>
  <si>
    <t>Baseline costs</t>
  </si>
  <si>
    <t>ONCOCt</t>
  </si>
  <si>
    <t>Revenue</t>
  </si>
  <si>
    <t>Controllable Opex</t>
  </si>
  <si>
    <t>Original controllable Opex allowance from PCR stage</t>
  </si>
  <si>
    <t>Revised controllable Opex allowance from ORA submission</t>
  </si>
  <si>
    <t>Controllable Opex (ORA submission)</t>
  </si>
  <si>
    <t>NPV comparisons</t>
  </si>
  <si>
    <t>Discount factor to start of operational period (cap)</t>
  </si>
  <si>
    <t>NPV of original allowance</t>
  </si>
  <si>
    <t>NPV of revised allowance</t>
  </si>
  <si>
    <t>Difference in NPV</t>
  </si>
  <si>
    <t>Amendment to Cap rate</t>
  </si>
  <si>
    <t>ORA Notional floor effective flag</t>
  </si>
  <si>
    <t>Floor return rate</t>
  </si>
  <si>
    <t>Discount factor to start of operational period (floor)</t>
  </si>
  <si>
    <t>Amendment to Floor rate</t>
  </si>
  <si>
    <t>ORA Actual floor effective flag</t>
  </si>
  <si>
    <t>Decommissioning costs</t>
  </si>
  <si>
    <t>Original decommissioning costs allowance from PCR stage</t>
  </si>
  <si>
    <t>Decommissioning costs (baseline)</t>
  </si>
  <si>
    <t>Revised decommissioning costs allowance from latest DC submission</t>
  </si>
  <si>
    <t>Decommissioning costs (latest DC submission)</t>
  </si>
  <si>
    <t>All DCC adjustments (Cap)</t>
  </si>
  <si>
    <t>Value</t>
  </si>
  <si>
    <t>Activity flag</t>
  </si>
  <si>
    <t>All DCF adjustments (Floor)</t>
  </si>
  <si>
    <t>First DCFt adjustment</t>
  </si>
  <si>
    <t>Second DCFt adjustment</t>
  </si>
  <si>
    <t>Third DCFt adjustment</t>
  </si>
  <si>
    <t>Fourth DCFt adjustment</t>
  </si>
  <si>
    <t>Cap real return</t>
  </si>
  <si>
    <t>NPV of original allowance at Cap rate</t>
  </si>
  <si>
    <t>NPV of first DCCt adjustment</t>
  </si>
  <si>
    <t>NPV of second DCCt adjustment</t>
  </si>
  <si>
    <t>NPV of third DCCt adjustment</t>
  </si>
  <si>
    <t>NPV of fourth DCCt adjustment</t>
  </si>
  <si>
    <t>NPV of revised allowance at Cap rate</t>
  </si>
  <si>
    <t>Notional floor real return</t>
  </si>
  <si>
    <t>NPV of original allowance at Floor rate</t>
  </si>
  <si>
    <t>NPV of first DCFt adjustment</t>
  </si>
  <si>
    <t>NPV of second DCFt adjustment</t>
  </si>
  <si>
    <t>NPV of third DCFt adjustment</t>
  </si>
  <si>
    <t>NPV of fourth DCFt adjustment</t>
  </si>
  <si>
    <t>NPV of revised allowance at Floor rate</t>
  </si>
  <si>
    <t>Actual floor real return</t>
  </si>
  <si>
    <t>Indexation factors</t>
  </si>
  <si>
    <t>Indexation factor</t>
  </si>
  <si>
    <t>RPIt</t>
  </si>
  <si>
    <t>Indexation factor for Actual Floor debt service component</t>
  </si>
  <si>
    <t>Partial year factors</t>
  </si>
  <si>
    <t>Partial year Cap adjustment factor</t>
  </si>
  <si>
    <t>Partial year Floor adjustment factor</t>
  </si>
  <si>
    <t>Partial year Floor adjustment factor debt service component</t>
  </si>
  <si>
    <t>Indexed annuity (pre-availability incentive)</t>
  </si>
  <si>
    <t>Preliminary Cap</t>
  </si>
  <si>
    <t>Preliminary Notional Floor</t>
  </si>
  <si>
    <t>Preliminary Cap (pre-availability incentive and pre adjustments)</t>
  </si>
  <si>
    <t>Preliminary Notional Floor (pre-availability incentive and pre adjustments)</t>
  </si>
  <si>
    <t>Preliminary Actual Floor (pre-availability incentive and pre adjustments)</t>
  </si>
  <si>
    <t>PCA adjustment to Cap</t>
  </si>
  <si>
    <t>PCA adjustment to Notional Floor</t>
  </si>
  <si>
    <t>PCA adjustment to Actual Floor (Other cost component)</t>
  </si>
  <si>
    <t>PCA adjustment to Actual Floor (Debt service component)</t>
  </si>
  <si>
    <t>ORA adjustment to Cap</t>
  </si>
  <si>
    <t>ORA adjustment to Notional Floor</t>
  </si>
  <si>
    <t>ORA adjustment to Actual Floor</t>
  </si>
  <si>
    <t>Latest DC adjustment to Cap</t>
  </si>
  <si>
    <t>Latest DC adjustment to Notional Floor</t>
  </si>
  <si>
    <t>Latest DC adjustment to Actual Floor</t>
  </si>
  <si>
    <t>First DC adjustment to Cap</t>
  </si>
  <si>
    <t>First DC adjustment to Notional Floor</t>
  </si>
  <si>
    <t>First DC adjustment to Actual Floor</t>
  </si>
  <si>
    <t>Second DC adjustment to Cap</t>
  </si>
  <si>
    <t>Second DC adjustment to Notional Floor</t>
  </si>
  <si>
    <t>Second DC adjustment to Actual Floor</t>
  </si>
  <si>
    <t>Third DC adjustment to Cap</t>
  </si>
  <si>
    <t>Third DC adjustment to Notional Floor</t>
  </si>
  <si>
    <t>Third DC adjustment to Actual Floor</t>
  </si>
  <si>
    <t>Fourth DC adjustment to Cap</t>
  </si>
  <si>
    <t>Fourth DC adjustment to Notional Floor</t>
  </si>
  <si>
    <t>Fourth DC adjustment to Actual Floor</t>
  </si>
  <si>
    <t>PCAC adjustment factor</t>
  </si>
  <si>
    <t>PCANF/PCAAF adjustment factor</t>
  </si>
  <si>
    <t>ORAC adjustment factor</t>
  </si>
  <si>
    <t>ORANF/ORAAF adjustment factor</t>
  </si>
  <si>
    <t>Latest DCC and DCF adjustment factor</t>
  </si>
  <si>
    <t>First DCC and DCF adjustment factor</t>
  </si>
  <si>
    <t>Second DCC and DCF adjustment factor</t>
  </si>
  <si>
    <t>Third DCC and DCF adjustment factor</t>
  </si>
  <si>
    <t>Fourth DCC and DCF adjustment factor</t>
  </si>
  <si>
    <t>Cap (pre-availability incentive)</t>
  </si>
  <si>
    <t>Notional Floor (pre-availability incentive)</t>
  </si>
  <si>
    <t>NFLt</t>
  </si>
  <si>
    <t>Actual Floor (pre-availability incentive)</t>
  </si>
  <si>
    <t>AFLt</t>
  </si>
  <si>
    <t>Availability incentives</t>
  </si>
  <si>
    <t>Cap and Floor (pre-availability incentive)</t>
  </si>
  <si>
    <t>Availability parameters</t>
  </si>
  <si>
    <t>Year is within operational period</t>
  </si>
  <si>
    <t>Cap incentive rate</t>
  </si>
  <si>
    <t>Maximum possible availability</t>
  </si>
  <si>
    <t>MPA</t>
  </si>
  <si>
    <t>Actual availability for Cap</t>
  </si>
  <si>
    <t>AACt (AAt)</t>
  </si>
  <si>
    <t>Availability target</t>
  </si>
  <si>
    <t>AT</t>
  </si>
  <si>
    <t>Availability performance at Cap</t>
  </si>
  <si>
    <t>APCt</t>
  </si>
  <si>
    <t>Cap availability incentive rate</t>
  </si>
  <si>
    <t>AICt</t>
  </si>
  <si>
    <t>Floor incentive rate (Notional &amp; Actual)</t>
  </si>
  <si>
    <t>Actual availability for Floor</t>
  </si>
  <si>
    <t>AAFt (AAt)</t>
  </si>
  <si>
    <t>Minimum availability target</t>
  </si>
  <si>
    <t>MAT</t>
  </si>
  <si>
    <t>Availability performance at Floor</t>
  </si>
  <si>
    <t>APFt</t>
  </si>
  <si>
    <t>CAPOTSN cap</t>
  </si>
  <si>
    <t>CAPOTSA cap</t>
  </si>
  <si>
    <t>Availability Incentive Adjustment at Notional Floor</t>
  </si>
  <si>
    <t>AINFt</t>
  </si>
  <si>
    <t>Availability Incentive Adjustment At Actual Floor</t>
  </si>
  <si>
    <t>AIAFt</t>
  </si>
  <si>
    <t>Cap and Floor (post-availability incentive)</t>
  </si>
  <si>
    <t>Cap (post-availability incentive)</t>
  </si>
  <si>
    <t>CLt</t>
  </si>
  <si>
    <t>Notional Floor (post-availability incentive)</t>
  </si>
  <si>
    <t>Actual Floor (post-availability incentive)</t>
  </si>
  <si>
    <t>Revenue assessment</t>
  </si>
  <si>
    <t>NPV uplift factors</t>
  </si>
  <si>
    <t>Inflation index</t>
  </si>
  <si>
    <t>Inflation index change</t>
  </si>
  <si>
    <t>annual %</t>
  </si>
  <si>
    <t>CPPPIt</t>
  </si>
  <si>
    <t>Operational discount rate</t>
  </si>
  <si>
    <t>nominal %</t>
  </si>
  <si>
    <t>NODRt</t>
  </si>
  <si>
    <t>Five-year uplift factor</t>
  </si>
  <si>
    <t>UFt1</t>
  </si>
  <si>
    <t>Four-year uplift factor</t>
  </si>
  <si>
    <t>UFt2</t>
  </si>
  <si>
    <t>Three-year uplift factor</t>
  </si>
  <si>
    <t>UFt3</t>
  </si>
  <si>
    <t>Two-year uplift factor</t>
  </si>
  <si>
    <t>UFt4</t>
  </si>
  <si>
    <t>One-year uplift factor</t>
  </si>
  <si>
    <t>UFt5</t>
  </si>
  <si>
    <t>Revenue assessed for cap and floor</t>
  </si>
  <si>
    <t>Notional Floor (post availability incentive)</t>
  </si>
  <si>
    <t>FLt</t>
  </si>
  <si>
    <t>Actual Floor (post availability incentive)</t>
  </si>
  <si>
    <t>Notional floor surplus assessed revenue</t>
  </si>
  <si>
    <t>Notional floor surplus assessed revenue (surplus only)</t>
  </si>
  <si>
    <t>Actual floor surplus assessed revenue</t>
  </si>
  <si>
    <t>Actual floor surplus assessed revenue (surplus only)</t>
  </si>
  <si>
    <t>Revenue assessed for cap</t>
  </si>
  <si>
    <t>Revenue assessed for Notional floor</t>
  </si>
  <si>
    <t>Choice of SARt or ARt</t>
  </si>
  <si>
    <t>Revenue assessed for Actual floor</t>
  </si>
  <si>
    <t>NPV of assessed revenue for cap and floor</t>
  </si>
  <si>
    <t>CLNap</t>
  </si>
  <si>
    <t>ARNap</t>
  </si>
  <si>
    <t>FLNap</t>
  </si>
  <si>
    <t>ALNap</t>
  </si>
  <si>
    <t>Assessed adjustment</t>
  </si>
  <si>
    <t>Assessment year flag</t>
  </si>
  <si>
    <t>Relevant revenue at Cap</t>
  </si>
  <si>
    <t>RRACap</t>
  </si>
  <si>
    <t>Revenue excess at Cap</t>
  </si>
  <si>
    <t>RECap</t>
  </si>
  <si>
    <t>Relevant revenue at Floor (for RENF calculation)</t>
  </si>
  <si>
    <t>RRNFLt</t>
  </si>
  <si>
    <t>Relevant revenue at Floor (for RSNF calculation)</t>
  </si>
  <si>
    <t>RRANFLt</t>
  </si>
  <si>
    <t>Revenue Excess At Notional Floor Level</t>
  </si>
  <si>
    <t>RENFLt</t>
  </si>
  <si>
    <t>Revenue shortfall at Notional Floor</t>
  </si>
  <si>
    <t>RSFap</t>
  </si>
  <si>
    <t>Relevant revenue at Floor (for REAF calculation)</t>
  </si>
  <si>
    <t>RRAFLt</t>
  </si>
  <si>
    <t>Relevant revenue at Floor (for RSAF calculation)</t>
  </si>
  <si>
    <t>RRAAFLt</t>
  </si>
  <si>
    <t>Revenue Excess At Actual Floor Level</t>
  </si>
  <si>
    <t>REAFLt</t>
  </si>
  <si>
    <t>Revenue shortfall at Actual Floor</t>
  </si>
  <si>
    <t>Cap and Notional Floor revenue adjustment - Unadjusted for end of period</t>
  </si>
  <si>
    <t>Cap and Actual Floor revenue adjustment - Unadjusted for end of period</t>
  </si>
  <si>
    <t>End of period Cap and Floor revenue adjustment (Notional floor)</t>
  </si>
  <si>
    <t>CNFAt</t>
  </si>
  <si>
    <t>End of period Cap and Floor revenue adjustment (Actual floor)</t>
  </si>
  <si>
    <t>CAFAt</t>
  </si>
  <si>
    <t>Temporary Support Notional</t>
  </si>
  <si>
    <t>Calculation of Temporary Support Notional</t>
  </si>
  <si>
    <t>Availability Performance At Floor</t>
  </si>
  <si>
    <t>TSNt</t>
  </si>
  <si>
    <t>Temporary Support Notional (post CAPOTSN limitation)</t>
  </si>
  <si>
    <t>CAPTOSN threshold reached (considering t-1)</t>
  </si>
  <si>
    <t>Repayment of Temporary Support Notional</t>
  </si>
  <si>
    <t>Outstanding Temporary Support Notional - opening balance</t>
  </si>
  <si>
    <t>OTSNt</t>
  </si>
  <si>
    <t>Uplift to RTSNt-1, ERTSNt-1 and TSNt-1</t>
  </si>
  <si>
    <t>RTSNt</t>
  </si>
  <si>
    <t>Extra Repayment of Temporary Support Notional</t>
  </si>
  <si>
    <t>ERTSNt</t>
  </si>
  <si>
    <t>Outstanding Temporary Support Before Equity Distribution Notional</t>
  </si>
  <si>
    <t>OTSBEDt</t>
  </si>
  <si>
    <t>Temporary Support Actual</t>
  </si>
  <si>
    <t>Calculation of Temporary Support Actual</t>
  </si>
  <si>
    <t>Availability Incentive Adjustment at Actual Floor</t>
  </si>
  <si>
    <t>TSAt</t>
  </si>
  <si>
    <t>Temporary Support Actual (post CAPOTSA limitation)</t>
  </si>
  <si>
    <t>CAPTOSA threshold reached (considering t-1)</t>
  </si>
  <si>
    <t>Calculation of difference between Actual and Notional Floor to be repaid</t>
  </si>
  <si>
    <t>Difference between Actual Floor and Notional Floor, if Actual Floor is higher</t>
  </si>
  <si>
    <t>Revenue Shortfall At Actual Floor</t>
  </si>
  <si>
    <t>RSAFt</t>
  </si>
  <si>
    <t>Difference between Actual Floor and Notional Floor to be repaid</t>
  </si>
  <si>
    <t>Repayment of Temporary Support Actual</t>
  </si>
  <si>
    <t>Outstanding Temporary Support Actual - opening balance</t>
  </si>
  <si>
    <t>OTSAt-1</t>
  </si>
  <si>
    <t>Uplift to RTSAt and ERTSAt</t>
  </si>
  <si>
    <t>RTSAt</t>
  </si>
  <si>
    <t>Extra Repayment of Temporary Support Actual</t>
  </si>
  <si>
    <t>ERTSAt</t>
  </si>
  <si>
    <t>Outstanding Temporary Support Before Equity Distribution Actual</t>
  </si>
  <si>
    <t>Revenue adjustment for changes in non-controllable Opex</t>
  </si>
  <si>
    <t>BNCOCt</t>
  </si>
  <si>
    <t>Non-controllable Opex change from baseline</t>
  </si>
  <si>
    <t>DNCOCt</t>
  </si>
  <si>
    <t>Adjustment to non-controllable Opex (from NRA efficiency and economic review)</t>
  </si>
  <si>
    <t>Total non-controllable Opex change from baseline (including NRA)</t>
  </si>
  <si>
    <t>NCOCt</t>
  </si>
  <si>
    <t>Pass-through revenue adjustment (assessed) - Unadjusted for end of period</t>
  </si>
  <si>
    <t>End of period pass-through revenue adjustment (assessed)</t>
  </si>
  <si>
    <t>PTAap</t>
  </si>
  <si>
    <t>Calculation of ICF (Notional &amp; Actual)</t>
  </si>
  <si>
    <t>ICF (for notional floor) (pre-TRU adjustment)</t>
  </si>
  <si>
    <t>ICF (for actual floor) (pre-TRU adjustment)</t>
  </si>
  <si>
    <t>True-up Term</t>
  </si>
  <si>
    <t>ICF (for notional floor) (post-TRU adjustment)</t>
  </si>
  <si>
    <t>ICF (for actual floor) (post-TRU adjustment)</t>
  </si>
  <si>
    <t>Model outputs</t>
  </si>
  <si>
    <t>Amounts due to or from GB consumers</t>
  </si>
  <si>
    <t>GB consumer share</t>
  </si>
  <si>
    <t>GB share of end of period revenue adjustment (negative value: payment to consumers; positive value: payment from consumers) (based on notional floor)</t>
  </si>
  <si>
    <t>ICFap</t>
  </si>
  <si>
    <t>GB share of end of period revenue adjustment (negative value: payment to consumers; positive value: payment from consumers) (based on actual floor)</t>
  </si>
  <si>
    <t>Flags describing project situation</t>
  </si>
  <si>
    <t>Key operating parameters</t>
  </si>
  <si>
    <t>Actual floor is greater than notional floor</t>
  </si>
  <si>
    <t>Revenue is greater than cap</t>
  </si>
  <si>
    <t>Revenue is between cap and notional&amp;actual floor</t>
  </si>
  <si>
    <t>Revenue is below notional floor</t>
  </si>
  <si>
    <t>Revenue is below actual floor</t>
  </si>
  <si>
    <t>Availability is &gt;=1</t>
  </si>
  <si>
    <t>Outstanding temporary support below CAPOTSN</t>
  </si>
  <si>
    <t>Outstanding temporary support below CAPOTSA</t>
  </si>
  <si>
    <t>Temporary support requested</t>
  </si>
  <si>
    <t>Outcomes</t>
  </si>
  <si>
    <t>Repayment above cap is made</t>
  </si>
  <si>
    <t>No top up/cap payments made</t>
  </si>
  <si>
    <t>Notional Floor top-up required</t>
  </si>
  <si>
    <t>Notional Floor top-up made</t>
  </si>
  <si>
    <t>Temporary support (notional) required</t>
  </si>
  <si>
    <t>Notional Temporary support floor top-up made</t>
  </si>
  <si>
    <t>CAPOTSN reached</t>
  </si>
  <si>
    <t>TSN repayment made</t>
  </si>
  <si>
    <t>Actual Floor top-up required</t>
  </si>
  <si>
    <t>Actual Floor top-up made</t>
  </si>
  <si>
    <t>Notional to actual floor difference top-up made</t>
  </si>
  <si>
    <t>Temporary support (actual) required</t>
  </si>
  <si>
    <t>Actual Temporary support floor top-up made</t>
  </si>
  <si>
    <t>CAPOTSA reached</t>
  </si>
  <si>
    <t>TSA repayment made</t>
  </si>
  <si>
    <t>ICF check</t>
  </si>
  <si>
    <t>ICF notional</t>
  </si>
  <si>
    <t>Pass-through revenue adjustment</t>
  </si>
  <si>
    <t>TSN repayment</t>
  </si>
  <si>
    <t>ETRSN repayment</t>
  </si>
  <si>
    <t>Above-cap repayment</t>
  </si>
  <si>
    <t>Floor top-up</t>
  </si>
  <si>
    <t>Floor top-up using Temporary Support Notional</t>
  </si>
  <si>
    <t>ICF notional (pre-TRU)</t>
  </si>
  <si>
    <t>Check</t>
  </si>
  <si>
    <t>ICF actual</t>
  </si>
  <si>
    <t>Floor top-up using Temporary Support Actual</t>
  </si>
  <si>
    <t>ICF actual (pre-TRU)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</si>
</sst>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164" formatCode="_(* #,##0.00_);_(* \(#,##0.00\);_(* &quot;-&quot;??_);_(@_)"/>
    <numFmt numFmtId="165" formatCode="0.0"/>
    <numFmt numFmtId="166" formatCode="#,##0.0"/>
    <numFmt numFmtId="167" formatCode="0.0%"/>
    <numFmt numFmtId="168" formatCode="#,##0.0_);\(#,##0.0\);\-_)"/>
    <numFmt numFmtId="169" formatCode="dd\ mmm\ yyyy"/>
    <numFmt numFmtId="170" formatCode="#,##0_);\(#,##0\);\-_)"/>
    <numFmt numFmtId="171" formatCode="#,##0.00_);\(#,##0.00\);\-_)"/>
    <numFmt numFmtId="172" formatCode="yyyy"/>
    <numFmt numFmtId="173" formatCode="#,##0.000"/>
    <numFmt numFmtId="174" formatCode="0.000"/>
    <numFmt numFmtId="175" formatCode="#,##0_);\(#,##0\);\-\ \ ;@"/>
    <numFmt numFmtId="176" formatCode="#,##0.0000_);\(#,##0.0000\);\-\ \ ;@"/>
    <numFmt numFmtId="177" formatCode="0.00%_);\-0.00%_);\-\ \ ;@"/>
    <numFmt numFmtId="178" formatCode="dd\-mmm\-yy_);;\-\ \ ;@"/>
    <numFmt numFmtId="179" formatCode="_-[$€-2]* #,##0.00_-;\-[$€-2]* #,##0.00_-;_-[$€-2]* &quot;-&quot;??_-"/>
    <numFmt numFmtId="180" formatCode="#,##0.000_);\(#,##0.000\);\-_)"/>
    <numFmt numFmtId="181" formatCode="#,##0_-;\(#,##0\);&quot;-&quot;"/>
    <numFmt numFmtId="182" formatCode="#,##0_);\(#,##0\)"/>
    <numFmt numFmtId="183" formatCode="[Magenta]&quot;Err&quot;;[Magenta]&quot;Err&quot;;[Blue]&quot;OK&quot;"/>
    <numFmt numFmtId="184" formatCode="General\ &quot;.&quot;"/>
    <numFmt numFmtId="185" formatCode="#,##0_);[Red]\(#,##0\);\-_)"/>
    <numFmt numFmtId="186" formatCode="0.0_)%;[Red]\(0.0%\);0.0_)%"/>
    <numFmt numFmtId="187" formatCode="[Red][&gt;1]&quot;&gt;100 %&quot;;[Red]\(0.0%\);0.0_)%"/>
    <numFmt numFmtId="188" formatCode="_-* #,##0.000_-;\-* #,##0.000_-;_-* &quot;-&quot;??_-;_-@_-"/>
    <numFmt numFmtId="189" formatCode="&quot;error&quot;;&quot;error&quot;;&quot;ok&quot;"/>
    <numFmt numFmtId="190" formatCode="#,##0.000;\(#,##0.000\);\-"/>
    <numFmt numFmtId="191" formatCode="_-* #,##0_-;\-* #,##0_-;_-* &quot;-&quot;??_-;_-@_-"/>
    <numFmt numFmtId="192" formatCode="#,##0.00;\(#,##0.00\);\-"/>
    <numFmt numFmtId="193" formatCode="_(* #,##0.000000_);_(* \(#,##0.000000\);_(* &quot;-&quot;??_);_(@_)"/>
    <numFmt numFmtId="194" formatCode="_-* #,##0.00000000_-;\-* #,##0.00000000_-;_-* &quot;-&quot;??_-;_-@_-"/>
    <numFmt numFmtId="195" formatCode="_(* #,##0.0_);_(* \(#,##0.0\);_(* &quot;-&quot;??_);_(@_)"/>
    <numFmt numFmtId="196" formatCode="#,##0.000000_);\(#,##0.000000\);\-_)"/>
    <numFmt numFmtId="197" formatCode="_(* #,##0.000_);_(* \(#,##0.000\);_(* &quot;-&quot;??_);_(@_)"/>
    <numFmt numFmtId="198" formatCode="_(* #,##0_);_(* \(#,##0\);_(* &quot;-&quot;??_);_(@_)"/>
    <numFmt numFmtId="199" formatCode="#,##0.0000_);\(#,##0.0000\);\-_)"/>
    <numFmt numFmtId="200" formatCode="[=1]&quot;TRUE&quot;;[=0]&quot;FALSE&quot;"/>
  </numFmts>
  <fonts count="94">
    <font>
      <sz val="10"/>
      <color theme="1"/>
      <name val="Calibri"/>
      <family val="2"/>
    </font>
    <font>
      <sz val="11"/>
      <color theme="1"/>
      <name val="Calibri"/>
      <family val="2"/>
      <scheme val="minor"/>
    </font>
    <font>
      <sz val="10"/>
      <color theme="1"/>
      <name val="Verdana"/>
      <family val="2"/>
    </font>
    <font>
      <sz val="11"/>
      <color theme="1"/>
      <name val="Calibri"/>
      <family val="2"/>
      <scheme val="minor"/>
    </font>
    <font>
      <sz val="10"/>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0"/>
      <name val="Calibri"/>
      <family val="2"/>
      <scheme val="minor"/>
    </font>
    <font>
      <sz val="10"/>
      <color theme="1"/>
      <name val="Calibri"/>
      <family val="2"/>
      <scheme val="minor"/>
    </font>
    <font>
      <u/>
      <sz val="10"/>
      <name val="Calibri"/>
      <family val="2"/>
      <scheme val="minor"/>
    </font>
    <font>
      <sz val="10"/>
      <color theme="4"/>
      <name val="Calibri"/>
      <family val="2"/>
      <scheme val="minor"/>
    </font>
    <font>
      <sz val="10"/>
      <color theme="0" tint="-4.9989318521683403E-2"/>
      <name val="Calibri"/>
      <family val="2"/>
      <scheme val="minor"/>
    </font>
    <font>
      <b/>
      <sz val="10"/>
      <color theme="1"/>
      <name val="Calibri"/>
      <family val="2"/>
      <scheme val="minor"/>
    </font>
    <font>
      <u/>
      <sz val="10"/>
      <color theme="1"/>
      <name val="Calibri"/>
      <family val="2"/>
      <scheme val="minor"/>
    </font>
    <font>
      <i/>
      <sz val="10"/>
      <name val="Calibri"/>
      <family val="2"/>
      <scheme val="minor"/>
    </font>
    <font>
      <b/>
      <i/>
      <sz val="10"/>
      <name val="Calibri"/>
      <family val="2"/>
      <scheme val="minor"/>
    </font>
    <font>
      <sz val="16"/>
      <color theme="1"/>
      <name val="Calibri"/>
      <family val="2"/>
      <scheme val="minor"/>
    </font>
    <font>
      <b/>
      <sz val="10"/>
      <color indexed="9"/>
      <name val="Calibri"/>
      <family val="2"/>
      <scheme val="minor"/>
    </font>
    <font>
      <b/>
      <sz val="10"/>
      <name val="Calibri"/>
      <family val="2"/>
      <scheme val="minor"/>
    </font>
    <font>
      <u/>
      <sz val="11"/>
      <color theme="10"/>
      <name val="Calibri"/>
      <family val="2"/>
      <scheme val="minor"/>
    </font>
    <font>
      <sz val="11"/>
      <name val="CG Omega"/>
      <family val="2"/>
    </font>
    <font>
      <sz val="10"/>
      <name val="Arial"/>
      <family val="2"/>
    </font>
    <font>
      <sz val="11"/>
      <color indexed="8"/>
      <name val="Calibri"/>
      <family val="2"/>
    </font>
    <font>
      <sz val="10"/>
      <name val="Arial"/>
      <family val="2"/>
    </font>
    <font>
      <sz val="10"/>
      <color indexed="8"/>
      <name val="Arial"/>
      <family val="2"/>
    </font>
    <font>
      <sz val="10"/>
      <name val="Geneva"/>
      <family val="2"/>
    </font>
    <font>
      <sz val="10"/>
      <color indexed="8"/>
      <name val="Verdana"/>
      <family val="2"/>
    </font>
    <font>
      <sz val="10"/>
      <name val="Verdana"/>
      <family val="2"/>
    </font>
    <font>
      <sz val="10"/>
      <name val="Times New Roman"/>
      <family val="1"/>
    </font>
    <font>
      <u/>
      <sz val="11"/>
      <color indexed="48"/>
      <name val="CG Omega"/>
      <family val="2"/>
    </font>
    <font>
      <i/>
      <sz val="10"/>
      <color indexed="10"/>
      <name val="Arial"/>
      <family val="2"/>
    </font>
    <font>
      <sz val="10"/>
      <color theme="1"/>
      <name val="Calibri"/>
      <family val="2"/>
    </font>
    <font>
      <sz val="10"/>
      <color theme="1"/>
      <name val="Arial"/>
      <family val="2"/>
    </font>
    <font>
      <sz val="11"/>
      <color theme="1"/>
      <name val="Calibri"/>
      <family val="2"/>
    </font>
    <font>
      <sz val="11"/>
      <color indexed="9"/>
      <name val="Calibri"/>
      <family val="2"/>
    </font>
    <font>
      <sz val="11"/>
      <color indexed="10"/>
      <name val="Calibri"/>
      <family val="2"/>
    </font>
    <font>
      <b/>
      <sz val="11"/>
      <color indexed="52"/>
      <name val="Calibri"/>
      <family val="2"/>
    </font>
    <font>
      <sz val="10"/>
      <color indexed="12"/>
      <name val="Arial"/>
      <family val="2"/>
    </font>
    <font>
      <sz val="11"/>
      <color indexed="17"/>
      <name val="Calibri"/>
      <family val="2"/>
    </font>
    <font>
      <b/>
      <sz val="10"/>
      <name val="Arial"/>
      <family val="2"/>
    </font>
    <font>
      <sz val="11"/>
      <color indexed="20"/>
      <name val="Calibri"/>
      <family val="2"/>
    </font>
    <font>
      <b/>
      <sz val="11"/>
      <color indexed="8"/>
      <name val="Calibri"/>
      <family val="2"/>
    </font>
    <font>
      <sz val="12"/>
      <name val="Times New Roman"/>
      <family val="1"/>
    </font>
    <font>
      <sz val="9"/>
      <color indexed="12"/>
      <name val="Arial"/>
      <family val="2"/>
    </font>
    <font>
      <b/>
      <sz val="8"/>
      <color indexed="12"/>
      <name val="Arial"/>
      <family val="2"/>
    </font>
    <font>
      <b/>
      <sz val="12"/>
      <color indexed="8"/>
      <name val="Arial"/>
      <family val="2"/>
    </font>
    <font>
      <b/>
      <sz val="10.5"/>
      <color indexed="8"/>
      <name val="Arial"/>
      <family val="2"/>
    </font>
    <font>
      <i/>
      <sz val="10"/>
      <color indexed="8"/>
      <name val="Arial"/>
      <family val="2"/>
    </font>
    <font>
      <i/>
      <sz val="11"/>
      <color indexed="23"/>
      <name val="Calibri"/>
      <family val="2"/>
    </font>
    <font>
      <sz val="11"/>
      <color indexed="62"/>
      <name val="Calibri"/>
      <family val="2"/>
    </font>
    <font>
      <b/>
      <sz val="11"/>
      <color indexed="9"/>
      <name val="Calibri"/>
      <family val="2"/>
    </font>
    <font>
      <sz val="11"/>
      <color indexed="52"/>
      <name val="Calibri"/>
      <family val="2"/>
    </font>
    <font>
      <b/>
      <sz val="14"/>
      <name val="Arial"/>
      <family val="2"/>
    </font>
    <font>
      <b/>
      <sz val="15"/>
      <color indexed="56"/>
      <name val="Calibri"/>
      <family val="2"/>
    </font>
    <font>
      <b/>
      <sz val="13"/>
      <color indexed="56"/>
      <name val="Calibri"/>
      <family val="2"/>
    </font>
    <font>
      <b/>
      <sz val="11"/>
      <color indexed="56"/>
      <name val="Calibri"/>
      <family val="2"/>
    </font>
    <font>
      <b/>
      <sz val="18"/>
      <color indexed="56"/>
      <name val="Cambria"/>
      <family val="2"/>
    </font>
    <font>
      <b/>
      <i/>
      <sz val="12"/>
      <color indexed="8"/>
      <name val="Arial"/>
      <family val="2"/>
    </font>
    <font>
      <sz val="12"/>
      <color indexed="8"/>
      <name val="Arial"/>
      <family val="2"/>
    </font>
    <font>
      <b/>
      <sz val="8"/>
      <color indexed="8"/>
      <name val="Arial"/>
      <family val="2"/>
    </font>
    <font>
      <sz val="8"/>
      <name val="Arial"/>
      <family val="2"/>
    </font>
    <font>
      <b/>
      <sz val="8"/>
      <name val="Arial"/>
      <family val="2"/>
    </font>
    <font>
      <i/>
      <sz val="12"/>
      <color indexed="8"/>
      <name val="Arial"/>
      <family val="2"/>
    </font>
    <font>
      <sz val="8"/>
      <color indexed="8"/>
      <name val="Arial"/>
      <family val="2"/>
    </font>
    <font>
      <sz val="19"/>
      <color indexed="48"/>
      <name val="Arial"/>
      <family val="2"/>
    </font>
    <font>
      <sz val="12"/>
      <color indexed="14"/>
      <name val="Arial"/>
      <family val="2"/>
    </font>
    <font>
      <b/>
      <sz val="18"/>
      <color indexed="62"/>
      <name val="Cambria"/>
      <family val="2"/>
    </font>
    <font>
      <b/>
      <sz val="11"/>
      <color indexed="63"/>
      <name val="Calibri"/>
      <family val="2"/>
    </font>
    <font>
      <u/>
      <sz val="8"/>
      <color indexed="12"/>
      <name val="Arial"/>
      <family val="2"/>
    </font>
    <font>
      <u/>
      <sz val="10"/>
      <color theme="10"/>
      <name val="Calibri"/>
      <family val="2"/>
    </font>
    <font>
      <sz val="10"/>
      <color theme="0"/>
      <name val="Calibri"/>
      <family val="2"/>
      <scheme val="minor"/>
    </font>
    <font>
      <sz val="10"/>
      <color rgb="FFFF0000"/>
      <name val="Calibri"/>
      <family val="2"/>
      <scheme val="minor"/>
    </font>
    <font>
      <sz val="10"/>
      <color theme="5" tint="0.59999389629810485"/>
      <name val="Calibri"/>
      <family val="2"/>
      <scheme val="minor"/>
    </font>
    <font>
      <b/>
      <sz val="11"/>
      <color theme="3"/>
      <name val="Verdana"/>
      <family val="2"/>
    </font>
    <font>
      <u/>
      <sz val="10"/>
      <color theme="10"/>
      <name val="Verdana"/>
      <family val="2"/>
    </font>
    <font>
      <b/>
      <sz val="10"/>
      <color theme="0"/>
      <name val="Calibri"/>
      <family val="2"/>
      <scheme val="minor"/>
    </font>
    <font>
      <b/>
      <sz val="11"/>
      <name val="Calibri"/>
      <family val="2"/>
      <scheme val="minor"/>
    </font>
    <font>
      <b/>
      <sz val="11"/>
      <color theme="1"/>
      <name val="Calibri"/>
      <family val="2"/>
      <scheme val="minor"/>
    </font>
    <font>
      <sz val="10"/>
      <color rgb="FF7030A0"/>
      <name val="Calibri"/>
      <family val="2"/>
      <scheme val="minor"/>
    </font>
    <font>
      <strike/>
      <sz val="10"/>
      <name val="Calibri"/>
      <family val="2"/>
      <scheme val="minor"/>
    </font>
    <font>
      <i/>
      <strike/>
      <sz val="10"/>
      <name val="Calibri"/>
      <family val="2"/>
      <scheme val="minor"/>
    </font>
    <font>
      <sz val="8"/>
      <name val="Calibri"/>
      <family val="2"/>
    </font>
    <font>
      <vertAlign val="subscript"/>
      <sz val="10"/>
      <name val="Calibri"/>
      <family val="2"/>
      <scheme val="minor"/>
    </font>
    <font>
      <i/>
      <sz val="10"/>
      <color rgb="FFFF00FF"/>
      <name val="Calibri"/>
      <family val="2"/>
      <scheme val="minor"/>
    </font>
    <font>
      <i/>
      <sz val="10"/>
      <color theme="1"/>
      <name val="Calibri"/>
      <family val="2"/>
      <scheme val="minor"/>
    </font>
    <font>
      <sz val="10"/>
      <color rgb="FFA20000"/>
      <name val="Calibri"/>
      <family val="2"/>
      <scheme val="minor"/>
    </font>
    <font>
      <sz val="10"/>
      <color theme="4" tint="-0.249977111117893"/>
      <name val="Calibri"/>
      <family val="2"/>
      <scheme val="minor"/>
    </font>
    <font>
      <b/>
      <sz val="10"/>
      <color rgb="FF101011"/>
      <name val="Calibri"/>
      <family val="2"/>
      <scheme val="minor"/>
    </font>
    <font>
      <sz val="10"/>
      <color rgb="FFC00000"/>
      <name val="Calibri"/>
      <family val="2"/>
      <scheme val="minor"/>
    </font>
    <font>
      <i/>
      <sz val="10"/>
      <color rgb="FFC00000"/>
      <name val="Calibri"/>
      <family val="2"/>
      <scheme val="minor"/>
    </font>
    <font>
      <i/>
      <sz val="10"/>
      <color rgb="FFC00000"/>
      <name val="Calibri"/>
      <family val="2"/>
    </font>
    <font>
      <sz val="10"/>
      <color theme="3"/>
      <name val="Calibri"/>
      <family val="2"/>
      <scheme val="minor"/>
    </font>
    <font>
      <b/>
      <sz val="10"/>
      <color rgb="FFC00000"/>
      <name val="Calibri"/>
      <family val="2"/>
      <scheme val="minor"/>
    </font>
  </fonts>
  <fills count="76">
    <fill>
      <patternFill patternType="none"/>
    </fill>
    <fill>
      <patternFill patternType="gray125"/>
    </fill>
    <fill>
      <patternFill patternType="solid">
        <fgColor theme="0" tint="-0.249977111117893"/>
        <bgColor indexed="64"/>
      </patternFill>
    </fill>
    <fill>
      <patternFill patternType="solid">
        <fgColor rgb="FFFFFFCC"/>
        <bgColor indexed="64"/>
      </patternFill>
    </fill>
    <fill>
      <patternFill patternType="solid">
        <fgColor rgb="FFFF9900"/>
        <bgColor indexed="64"/>
      </patternFill>
    </fill>
    <fill>
      <patternFill patternType="solid">
        <fgColor theme="0" tint="-0.499984740745262"/>
        <bgColor indexed="64"/>
      </patternFill>
    </fill>
    <fill>
      <patternFill patternType="lightUp">
        <fgColor theme="0" tint="-0.24994659260841701"/>
        <bgColor indexed="65"/>
      </patternFill>
    </fill>
    <fill>
      <patternFill patternType="solid">
        <fgColor theme="7" tint="0.59999389629810485"/>
        <bgColor indexed="64"/>
      </patternFill>
    </fill>
    <fill>
      <patternFill patternType="solid">
        <fgColor rgb="FFCCECFF"/>
        <bgColor indexed="64"/>
      </patternFill>
    </fill>
    <fill>
      <patternFill patternType="solid">
        <fgColor indexed="26"/>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1"/>
        <bgColor indexed="61"/>
      </patternFill>
    </fill>
    <fill>
      <patternFill patternType="solid">
        <fgColor indexed="22"/>
        <bgColor indexed="22"/>
      </patternFill>
    </fill>
    <fill>
      <patternFill patternType="solid">
        <fgColor indexed="58"/>
        <bgColor indexed="58"/>
      </patternFill>
    </fill>
    <fill>
      <patternFill patternType="solid">
        <fgColor indexed="31"/>
        <bgColor indexed="31"/>
      </patternFill>
    </fill>
    <fill>
      <patternFill patternType="solid">
        <fgColor indexed="40"/>
        <bgColor indexed="40"/>
      </patternFill>
    </fill>
    <fill>
      <patternFill patternType="solid">
        <fgColor indexed="45"/>
        <bgColor indexed="45"/>
      </patternFill>
    </fill>
    <fill>
      <patternFill patternType="solid">
        <fgColor indexed="60"/>
        <bgColor indexed="60"/>
      </patternFill>
    </fill>
    <fill>
      <patternFill patternType="solid">
        <fgColor indexed="11"/>
        <bgColor indexed="11"/>
      </patternFill>
    </fill>
    <fill>
      <patternFill patternType="solid">
        <fgColor indexed="50"/>
        <bgColor indexed="50"/>
      </patternFill>
    </fill>
    <fill>
      <patternFill patternType="solid">
        <fgColor indexed="55"/>
        <bgColor indexed="55"/>
      </patternFill>
    </fill>
    <fill>
      <patternFill patternType="solid">
        <fgColor indexed="41"/>
        <bgColor indexed="41"/>
      </patternFill>
    </fill>
    <fill>
      <patternFill patternType="solid">
        <fgColor indexed="54"/>
        <bgColor indexed="54"/>
      </patternFill>
    </fill>
    <fill>
      <patternFill patternType="solid">
        <fgColor indexed="26"/>
        <bgColor indexed="26"/>
      </patternFill>
    </fill>
    <fill>
      <patternFill patternType="solid">
        <fgColor indexed="47"/>
        <bgColor indexed="47"/>
      </patternFill>
    </fill>
    <fill>
      <patternFill patternType="solid">
        <fgColor indexed="51"/>
        <bgColor indexed="51"/>
      </patternFill>
    </fill>
    <fill>
      <patternFill patternType="solid">
        <fgColor indexed="22"/>
      </patternFill>
    </fill>
    <fill>
      <patternFill patternType="solid">
        <fgColor indexed="43"/>
        <bgColor indexed="64"/>
      </patternFill>
    </fill>
    <fill>
      <patternFill patternType="lightUp">
        <fgColor indexed="9"/>
        <bgColor indexed="24"/>
      </patternFill>
    </fill>
    <fill>
      <patternFill patternType="lightUp">
        <fgColor indexed="9"/>
        <bgColor indexed="12"/>
      </patternFill>
    </fill>
    <fill>
      <patternFill patternType="lightUp">
        <fgColor indexed="9"/>
        <bgColor indexed="57"/>
      </patternFill>
    </fill>
    <fill>
      <patternFill patternType="solid">
        <fgColor indexed="55"/>
      </patternFill>
    </fill>
    <fill>
      <patternFill patternType="solid">
        <fgColor indexed="43"/>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54"/>
      </patternFill>
    </fill>
    <fill>
      <patternFill patternType="solid">
        <fgColor indexed="23"/>
      </patternFill>
    </fill>
    <fill>
      <patternFill patternType="solid">
        <fgColor indexed="40"/>
      </patternFill>
    </fill>
    <fill>
      <patternFill patternType="solid">
        <fgColor indexed="41"/>
      </patternFill>
    </fill>
    <fill>
      <patternFill patternType="solid">
        <fgColor indexed="9"/>
      </patternFill>
    </fill>
    <fill>
      <patternFill patternType="solid">
        <fgColor indexed="41"/>
        <bgColor indexed="64"/>
      </patternFill>
    </fill>
    <fill>
      <patternFill patternType="solid">
        <fgColor indexed="40"/>
        <bgColor indexed="64"/>
      </patternFill>
    </fill>
    <fill>
      <patternFill patternType="solid">
        <fgColor indexed="20"/>
      </patternFill>
    </fill>
    <fill>
      <patternFill patternType="solid">
        <fgColor theme="5" tint="0.79998168889431442"/>
        <bgColor indexed="64"/>
      </patternFill>
    </fill>
    <fill>
      <patternFill patternType="solid">
        <fgColor theme="4" tint="0.39997558519241921"/>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rgb="FFFFFF00"/>
        <bgColor indexed="64"/>
      </patternFill>
    </fill>
    <fill>
      <patternFill patternType="lightUp">
        <fgColor theme="0" tint="-0.24994659260841701"/>
        <bgColor theme="5" tint="0.79998168889431442"/>
      </patternFill>
    </fill>
  </fills>
  <borders count="28">
    <border>
      <left/>
      <right/>
      <top/>
      <bottom/>
      <diagonal/>
    </border>
    <border>
      <left/>
      <right/>
      <top/>
      <bottom style="thin">
        <color indexed="64"/>
      </bottom>
      <diagonal/>
    </border>
    <border>
      <left/>
      <right style="thin">
        <color indexed="64"/>
      </right>
      <top/>
      <bottom/>
      <diagonal/>
    </border>
    <border>
      <left style="medium">
        <color theme="0"/>
      </left>
      <right style="medium">
        <color theme="0"/>
      </right>
      <top style="medium">
        <color theme="0"/>
      </top>
      <bottom style="medium">
        <color theme="0"/>
      </bottom>
      <diagonal/>
    </border>
    <border>
      <left/>
      <right/>
      <top style="thin">
        <color auto="1"/>
      </top>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right/>
      <top style="thin">
        <color indexed="8"/>
      </top>
      <bottom style="thin">
        <color indexed="8"/>
      </bottom>
      <diagonal/>
    </border>
    <border>
      <left/>
      <right/>
      <top style="thin">
        <color indexed="8"/>
      </top>
      <bottom style="double">
        <color indexed="8"/>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style="thin">
        <color indexed="18"/>
      </left>
      <right style="thin">
        <color indexed="18"/>
      </right>
      <top style="thin">
        <color indexed="18"/>
      </top>
      <bottom style="thin">
        <color indexed="18"/>
      </bottom>
      <diagonal/>
    </border>
    <border>
      <left style="thin">
        <color indexed="58"/>
      </left>
      <right style="medium">
        <color indexed="58"/>
      </right>
      <top style="medium">
        <color indexed="58"/>
      </top>
      <bottom style="thin">
        <color indexed="58"/>
      </bottom>
      <diagonal/>
    </border>
    <border>
      <left style="thin">
        <color indexed="54"/>
      </left>
      <right/>
      <top style="thin">
        <color indexed="54"/>
      </top>
      <bottom/>
      <diagonal/>
    </border>
    <border>
      <left/>
      <right/>
      <top style="thin">
        <color indexed="48"/>
      </top>
      <bottom style="thin">
        <color indexed="48"/>
      </bottom>
      <diagonal/>
    </border>
    <border>
      <left/>
      <right/>
      <top style="thin">
        <color indexed="64"/>
      </top>
      <bottom/>
      <diagonal/>
    </border>
    <border>
      <left/>
      <right/>
      <top style="thin">
        <color indexed="62"/>
      </top>
      <bottom style="double">
        <color indexed="62"/>
      </bottom>
      <diagonal/>
    </border>
    <border>
      <left/>
      <right/>
      <top style="thin">
        <color indexed="64"/>
      </top>
      <bottom style="double">
        <color indexed="64"/>
      </bottom>
      <diagonal/>
    </border>
    <border>
      <left style="thin">
        <color indexed="63"/>
      </left>
      <right style="thin">
        <color indexed="63"/>
      </right>
      <top style="thin">
        <color indexed="63"/>
      </top>
      <bottom style="thin">
        <color indexed="63"/>
      </bottom>
      <diagonal/>
    </border>
    <border>
      <left style="thick">
        <color theme="0"/>
      </left>
      <right style="thick">
        <color theme="0"/>
      </right>
      <top style="thick">
        <color theme="0"/>
      </top>
      <bottom style="thick">
        <color theme="0"/>
      </bottom>
      <diagonal/>
    </border>
  </borders>
  <cellStyleXfs count="2150">
    <xf numFmtId="0" fontId="0" fillId="0" borderId="0"/>
    <xf numFmtId="9" fontId="7" fillId="0" borderId="0" applyFont="0" applyFill="0" applyBorder="0" applyAlignment="0" applyProtection="0"/>
    <xf numFmtId="0" fontId="20" fillId="0" borderId="0" applyNumberFormat="0" applyFill="0" applyBorder="0" applyAlignment="0" applyProtection="0"/>
    <xf numFmtId="0" fontId="21" fillId="0" borderId="0"/>
    <xf numFmtId="0" fontId="22" fillId="0" borderId="0"/>
    <xf numFmtId="0" fontId="21" fillId="0" borderId="0"/>
    <xf numFmtId="0" fontId="21" fillId="0" borderId="0"/>
    <xf numFmtId="0" fontId="21" fillId="0" borderId="0"/>
    <xf numFmtId="0" fontId="21" fillId="0" borderId="0"/>
    <xf numFmtId="0" fontId="21" fillId="0" borderId="0"/>
    <xf numFmtId="0" fontId="21" fillId="0" borderId="0"/>
    <xf numFmtId="0" fontId="24" fillId="0" borderId="0"/>
    <xf numFmtId="0" fontId="21" fillId="0" borderId="0"/>
    <xf numFmtId="0" fontId="21" fillId="0" borderId="0"/>
    <xf numFmtId="175" fontId="24" fillId="0" borderId="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0" fontId="27" fillId="0" borderId="0" applyFont="0" applyFill="0" applyBorder="0" applyAlignment="0" applyProtection="0"/>
    <xf numFmtId="164" fontId="29" fillId="0" borderId="0" applyFont="0" applyFill="0" applyBorder="0" applyAlignment="0" applyProtection="0"/>
    <xf numFmtId="164" fontId="29"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3"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0"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78" fontId="24" fillId="0" borderId="0"/>
    <xf numFmtId="179" fontId="29" fillId="0" borderId="0" applyFont="0" applyFill="0" applyBorder="0" applyAlignment="0" applyProtection="0"/>
    <xf numFmtId="0" fontId="25" fillId="0" borderId="0" applyFill="0" applyBorder="0" applyAlignment="0" applyProtection="0"/>
    <xf numFmtId="176" fontId="24" fillId="0" borderId="0"/>
    <xf numFmtId="0" fontId="30" fillId="9" borderId="0"/>
    <xf numFmtId="0" fontId="27" fillId="0" borderId="0"/>
    <xf numFmtId="0" fontId="24" fillId="0" borderId="0"/>
    <xf numFmtId="0" fontId="27" fillId="0" borderId="0"/>
    <xf numFmtId="0" fontId="27" fillId="0" borderId="0"/>
    <xf numFmtId="0" fontId="27" fillId="0" borderId="0"/>
    <xf numFmtId="0" fontId="27" fillId="0" borderId="0"/>
    <xf numFmtId="0" fontId="29" fillId="0" borderId="0"/>
    <xf numFmtId="0" fontId="29" fillId="0" borderId="0"/>
    <xf numFmtId="0" fontId="23" fillId="0" borderId="0"/>
    <xf numFmtId="0" fontId="27" fillId="0" borderId="0"/>
    <xf numFmtId="0" fontId="27" fillId="0" borderId="0"/>
    <xf numFmtId="0" fontId="27" fillId="0" borderId="0"/>
    <xf numFmtId="0" fontId="27" fillId="0" borderId="0"/>
    <xf numFmtId="0" fontId="28" fillId="0" borderId="0"/>
    <xf numFmtId="0" fontId="28" fillId="0" borderId="0"/>
    <xf numFmtId="0" fontId="27" fillId="0" borderId="0"/>
    <xf numFmtId="0" fontId="27" fillId="0" borderId="0"/>
    <xf numFmtId="0" fontId="27" fillId="0" borderId="0"/>
    <xf numFmtId="0" fontId="21" fillId="0" borderId="0"/>
    <xf numFmtId="0" fontId="27" fillId="0" borderId="0"/>
    <xf numFmtId="0" fontId="27" fillId="0" borderId="0"/>
    <xf numFmtId="0" fontId="27" fillId="0" borderId="0"/>
    <xf numFmtId="0" fontId="27" fillId="0" borderId="0"/>
    <xf numFmtId="9" fontId="24" fillId="0" borderId="0" applyFont="0" applyFill="0" applyBorder="0" applyAlignment="0" applyProtection="0"/>
    <xf numFmtId="9" fontId="27" fillId="0" borderId="0" applyFont="0" applyFill="0" applyBorder="0" applyAlignment="0" applyProtection="0"/>
    <xf numFmtId="9" fontId="27" fillId="0" borderId="0" applyFont="0" applyFill="0" applyBorder="0" applyAlignment="0" applyProtection="0"/>
    <xf numFmtId="9" fontId="29" fillId="0" borderId="0" applyFont="0" applyFill="0" applyBorder="0" applyAlignment="0" applyProtection="0"/>
    <xf numFmtId="9" fontId="23" fillId="0" borderId="0" applyFont="0" applyFill="0" applyBorder="0" applyAlignment="0" applyProtection="0"/>
    <xf numFmtId="9" fontId="27" fillId="0" borderId="0" applyFont="0" applyFill="0" applyBorder="0" applyAlignment="0" applyProtection="0"/>
    <xf numFmtId="177" fontId="24" fillId="0" borderId="0"/>
    <xf numFmtId="9" fontId="27" fillId="0" borderId="0" applyFont="0" applyFill="0" applyBorder="0" applyAlignment="0" applyProtection="0"/>
    <xf numFmtId="9" fontId="27" fillId="0" borderId="0" applyFont="0" applyFill="0" applyBorder="0" applyAlignment="0" applyProtection="0"/>
    <xf numFmtId="0" fontId="31" fillId="0" borderId="0"/>
    <xf numFmtId="0" fontId="26" fillId="0" borderId="0"/>
    <xf numFmtId="164" fontId="32" fillId="0" borderId="0" applyFont="0" applyFill="0" applyBorder="0" applyAlignment="0" applyProtection="0"/>
    <xf numFmtId="9" fontId="6" fillId="0" borderId="0" applyFont="0" applyFill="0" applyBorder="0" applyAlignment="0" applyProtection="0"/>
    <xf numFmtId="0" fontId="22" fillId="0" borderId="0"/>
    <xf numFmtId="175" fontId="22" fillId="0" borderId="0"/>
    <xf numFmtId="178" fontId="22" fillId="0" borderId="0"/>
    <xf numFmtId="176" fontId="22" fillId="0" borderId="0"/>
    <xf numFmtId="0" fontId="22" fillId="0" borderId="0"/>
    <xf numFmtId="9" fontId="22" fillId="0" borderId="0" applyFont="0" applyFill="0" applyBorder="0" applyAlignment="0" applyProtection="0"/>
    <xf numFmtId="177" fontId="22" fillId="0" borderId="0"/>
    <xf numFmtId="0" fontId="33" fillId="0" borderId="0"/>
    <xf numFmtId="0" fontId="5" fillId="0" borderId="0"/>
    <xf numFmtId="164" fontId="5" fillId="0" borderId="0" applyFont="0" applyFill="0" applyBorder="0" applyAlignment="0" applyProtection="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2" fillId="0" borderId="0" applyFont="0" applyFill="0" applyBorder="0" applyAlignment="0" applyProtection="0"/>
    <xf numFmtId="0" fontId="22" fillId="0" borderId="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3" borderId="0" applyNumberFormat="0" applyBorder="0" applyAlignment="0" applyProtection="0"/>
    <xf numFmtId="0" fontId="23" fillId="16" borderId="0" applyNumberFormat="0" applyBorder="0" applyAlignment="0" applyProtection="0"/>
    <xf numFmtId="0" fontId="23" fillId="19"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3" borderId="0" applyNumberFormat="0" applyBorder="0" applyAlignment="0" applyProtection="0"/>
    <xf numFmtId="0" fontId="23" fillId="16" borderId="0" applyNumberFormat="0" applyBorder="0" applyAlignment="0" applyProtection="0"/>
    <xf numFmtId="0" fontId="23" fillId="19" borderId="0" applyNumberFormat="0" applyBorder="0" applyAlignment="0" applyProtection="0"/>
    <xf numFmtId="0" fontId="35" fillId="20" borderId="0" applyNumberFormat="0" applyBorder="0" applyAlignment="0" applyProtection="0"/>
    <xf numFmtId="0" fontId="35" fillId="17" borderId="0" applyNumberFormat="0" applyBorder="0" applyAlignment="0" applyProtection="0"/>
    <xf numFmtId="0" fontId="35" fillId="18"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23" borderId="0" applyNumberFormat="0" applyBorder="0" applyAlignment="0" applyProtection="0"/>
    <xf numFmtId="0" fontId="35" fillId="20" borderId="0" applyNumberFormat="0" applyBorder="0" applyAlignment="0" applyProtection="0"/>
    <xf numFmtId="0" fontId="35" fillId="17" borderId="0" applyNumberFormat="0" applyBorder="0" applyAlignment="0" applyProtection="0"/>
    <xf numFmtId="0" fontId="35" fillId="18"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23" borderId="0" applyNumberFormat="0" applyBorder="0" applyAlignment="0" applyProtection="0"/>
    <xf numFmtId="0" fontId="23" fillId="24" borderId="0" applyNumberFormat="0" applyBorder="0" applyAlignment="0" applyProtection="0"/>
    <xf numFmtId="0" fontId="23" fillId="25" borderId="0" applyNumberFormat="0" applyBorder="0" applyAlignment="0" applyProtection="0"/>
    <xf numFmtId="0" fontId="35" fillId="26" borderId="0" applyNumberFormat="0" applyBorder="0" applyAlignment="0" applyProtection="0"/>
    <xf numFmtId="0" fontId="23" fillId="27" borderId="0" applyNumberFormat="0" applyBorder="0" applyAlignment="0" applyProtection="0"/>
    <xf numFmtId="0" fontId="23" fillId="28" borderId="0" applyNumberFormat="0" applyBorder="0" applyAlignment="0" applyProtection="0"/>
    <xf numFmtId="0" fontId="35" fillId="29" borderId="0" applyNumberFormat="0" applyBorder="0" applyAlignment="0" applyProtection="0"/>
    <xf numFmtId="0" fontId="23" fillId="30" borderId="0" applyNumberFormat="0" applyBorder="0" applyAlignment="0" applyProtection="0"/>
    <xf numFmtId="0" fontId="23" fillId="31" borderId="0" applyNumberFormat="0" applyBorder="0" applyAlignment="0" applyProtection="0"/>
    <xf numFmtId="0" fontId="35" fillId="32" borderId="0" applyNumberFormat="0" applyBorder="0" applyAlignment="0" applyProtection="0"/>
    <xf numFmtId="0" fontId="23" fillId="27" borderId="0" applyNumberFormat="0" applyBorder="0" applyAlignment="0" applyProtection="0"/>
    <xf numFmtId="0" fontId="23" fillId="33" borderId="0" applyNumberFormat="0" applyBorder="0" applyAlignment="0" applyProtection="0"/>
    <xf numFmtId="0" fontId="35" fillId="28" borderId="0" applyNumberFormat="0" applyBorder="0" applyAlignment="0" applyProtection="0"/>
    <xf numFmtId="0" fontId="23" fillId="34" borderId="0" applyNumberFormat="0" applyBorder="0" applyAlignment="0" applyProtection="0"/>
    <xf numFmtId="0" fontId="23" fillId="35" borderId="0" applyNumberFormat="0" applyBorder="0" applyAlignment="0" applyProtection="0"/>
    <xf numFmtId="0" fontId="35" fillId="26" borderId="0" applyNumberFormat="0" applyBorder="0" applyAlignment="0" applyProtection="0"/>
    <xf numFmtId="0" fontId="23" fillId="36" borderId="0" applyNumberFormat="0" applyBorder="0" applyAlignment="0" applyProtection="0"/>
    <xf numFmtId="0" fontId="23" fillId="37" borderId="0" applyNumberFormat="0" applyBorder="0" applyAlignment="0" applyProtection="0"/>
    <xf numFmtId="0" fontId="35" fillId="38" borderId="0" applyNumberFormat="0" applyBorder="0" applyAlignment="0" applyProtection="0"/>
    <xf numFmtId="0" fontId="36" fillId="0" borderId="0" applyNumberFormat="0" applyFill="0" applyBorder="0" applyAlignment="0" applyProtection="0"/>
    <xf numFmtId="0" fontId="22" fillId="9" borderId="6" applyNumberFormat="0" applyFont="0" applyAlignment="0" applyProtection="0"/>
    <xf numFmtId="0" fontId="23" fillId="9" borderId="6" applyNumberFormat="0" applyFont="0" applyAlignment="0" applyProtection="0"/>
    <xf numFmtId="0" fontId="37" fillId="39" borderId="7" applyNumberFormat="0" applyAlignment="0" applyProtection="0"/>
    <xf numFmtId="0" fontId="37" fillId="39" borderId="7" applyNumberFormat="0" applyAlignment="0" applyProtection="0"/>
    <xf numFmtId="181" fontId="38" fillId="40" borderId="8" applyAlignment="0">
      <protection locked="0"/>
    </xf>
    <xf numFmtId="0" fontId="39" fillId="12" borderId="0" applyNumberFormat="0" applyBorder="0" applyAlignment="0" applyProtection="0"/>
    <xf numFmtId="182" fontId="40" fillId="0" borderId="1">
      <alignment horizontal="center"/>
    </xf>
    <xf numFmtId="182" fontId="40" fillId="0" borderId="0">
      <alignment horizontal="center" vertical="center" wrapText="1"/>
    </xf>
    <xf numFmtId="164" fontId="22" fillId="0" borderId="0" applyFont="0" applyFill="0" applyBorder="0" applyAlignment="0" applyProtection="0"/>
    <xf numFmtId="0" fontId="41" fillId="11" borderId="0" applyNumberFormat="0" applyBorder="0" applyAlignment="0" applyProtection="0"/>
    <xf numFmtId="0" fontId="42" fillId="41" borderId="0" applyNumberFormat="0" applyBorder="0" applyAlignment="0" applyProtection="0"/>
    <xf numFmtId="0" fontId="42" fillId="42" borderId="0" applyNumberFormat="0" applyBorder="0" applyAlignment="0" applyProtection="0"/>
    <xf numFmtId="0" fontId="42" fillId="43" borderId="0" applyNumberFormat="0" applyBorder="0" applyAlignment="0" applyProtection="0"/>
    <xf numFmtId="179" fontId="22" fillId="0" borderId="0" applyFont="0" applyFill="0" applyBorder="0" applyAlignment="0" applyProtection="0"/>
    <xf numFmtId="0" fontId="43" fillId="44" borderId="0" applyNumberFormat="0" applyFont="0" applyBorder="0" applyAlignment="0" applyProtection="0"/>
    <xf numFmtId="0" fontId="44" fillId="0" borderId="0" applyNumberFormat="0" applyFill="0" applyBorder="0" applyAlignment="0" applyProtection="0"/>
    <xf numFmtId="183" fontId="45" fillId="0" borderId="0" applyFill="0" applyBorder="0"/>
    <xf numFmtId="15" fontId="25" fillId="0" borderId="0" applyFill="0" applyBorder="0" applyProtection="0">
      <alignment horizontal="center"/>
    </xf>
    <xf numFmtId="0" fontId="43" fillId="11" borderId="0" applyNumberFormat="0" applyFont="0" applyBorder="0" applyAlignment="0" applyProtection="0"/>
    <xf numFmtId="184" fontId="46" fillId="39" borderId="5" applyAlignment="0" applyProtection="0"/>
    <xf numFmtId="185" fontId="47" fillId="0" borderId="0" applyNumberFormat="0" applyFill="0" applyBorder="0" applyAlignment="0" applyProtection="0"/>
    <xf numFmtId="185" fontId="48" fillId="0" borderId="0" applyNumberFormat="0" applyFill="0" applyBorder="0" applyAlignment="0" applyProtection="0"/>
    <xf numFmtId="15" fontId="38" fillId="45" borderId="9">
      <alignment horizontal="center"/>
      <protection locked="0"/>
    </xf>
    <xf numFmtId="186" fontId="38" fillId="45" borderId="9" applyAlignment="0">
      <protection locked="0"/>
    </xf>
    <xf numFmtId="185" fontId="38" fillId="45" borderId="9" applyAlignment="0">
      <protection locked="0"/>
    </xf>
    <xf numFmtId="185" fontId="25" fillId="0" borderId="0" applyFill="0" applyBorder="0" applyAlignment="0" applyProtection="0"/>
    <xf numFmtId="186" fontId="25" fillId="0" borderId="0" applyFill="0" applyBorder="0" applyAlignment="0" applyProtection="0"/>
    <xf numFmtId="187" fontId="25" fillId="0" borderId="0" applyFill="0" applyBorder="0" applyAlignment="0" applyProtection="0"/>
    <xf numFmtId="0" fontId="43" fillId="0" borderId="10" applyNumberFormat="0" applyFont="0" applyAlignment="0" applyProtection="0"/>
    <xf numFmtId="0" fontId="43" fillId="0" borderId="11" applyNumberFormat="0" applyFont="0" applyAlignment="0" applyProtection="0"/>
    <xf numFmtId="0" fontId="43" fillId="18" borderId="0" applyNumberFormat="0" applyFont="0" applyBorder="0" applyAlignment="0" applyProtection="0"/>
    <xf numFmtId="0" fontId="35" fillId="46" borderId="0" applyNumberFormat="0" applyBorder="0" applyAlignment="0" applyProtection="0"/>
    <xf numFmtId="0" fontId="35" fillId="47" borderId="0" applyNumberFormat="0" applyBorder="0" applyAlignment="0" applyProtection="0"/>
    <xf numFmtId="0" fontId="35" fillId="48"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49" borderId="0" applyNumberFormat="0" applyBorder="0" applyAlignment="0" applyProtection="0"/>
    <xf numFmtId="0" fontId="49" fillId="0" borderId="0" applyNumberFormat="0" applyFill="0" applyBorder="0" applyAlignment="0" applyProtection="0"/>
    <xf numFmtId="0" fontId="49" fillId="0" borderId="0" applyNumberFormat="0" applyFill="0" applyBorder="0" applyAlignment="0" applyProtection="0"/>
    <xf numFmtId="0" fontId="43" fillId="0" borderId="0" applyFont="0" applyFill="0" applyBorder="0" applyAlignment="0" applyProtection="0"/>
    <xf numFmtId="0" fontId="39" fillId="12" borderId="0" applyNumberFormat="0" applyBorder="0" applyAlignment="0" applyProtection="0"/>
    <xf numFmtId="0" fontId="50" fillId="15" borderId="7" applyNumberFormat="0" applyAlignment="0" applyProtection="0"/>
    <xf numFmtId="0" fontId="51" fillId="44" borderId="12" applyNumberFormat="0" applyAlignment="0" applyProtection="0"/>
    <xf numFmtId="0" fontId="51" fillId="44" borderId="12" applyNumberFormat="0" applyAlignment="0" applyProtection="0"/>
    <xf numFmtId="0" fontId="52" fillId="0" borderId="13" applyNumberFormat="0" applyFill="0" applyAlignment="0" applyProtection="0"/>
    <xf numFmtId="182" fontId="53" fillId="0" borderId="0"/>
    <xf numFmtId="0" fontId="35" fillId="46" borderId="0" applyNumberFormat="0" applyBorder="0" applyAlignment="0" applyProtection="0"/>
    <xf numFmtId="0" fontId="35" fillId="47" borderId="0" applyNumberFormat="0" applyBorder="0" applyAlignment="0" applyProtection="0"/>
    <xf numFmtId="0" fontId="35" fillId="48" borderId="0" applyNumberFormat="0" applyBorder="0" applyAlignment="0" applyProtection="0"/>
    <xf numFmtId="0" fontId="35" fillId="21" borderId="0" applyNumberFormat="0" applyBorder="0" applyAlignment="0" applyProtection="0"/>
    <xf numFmtId="0" fontId="35" fillId="22" borderId="0" applyNumberFormat="0" applyBorder="0" applyAlignment="0" applyProtection="0"/>
    <xf numFmtId="0" fontId="35" fillId="49" borderId="0" applyNumberFormat="0" applyBorder="0" applyAlignment="0" applyProtection="0"/>
    <xf numFmtId="185" fontId="22" fillId="44" borderId="0"/>
    <xf numFmtId="185" fontId="44" fillId="0" borderId="0"/>
    <xf numFmtId="183" fontId="45" fillId="0" borderId="0"/>
    <xf numFmtId="15" fontId="25" fillId="0" borderId="0">
      <alignment horizontal="center"/>
    </xf>
    <xf numFmtId="185" fontId="22" fillId="11" borderId="0"/>
    <xf numFmtId="184" fontId="46" fillId="39" borderId="5"/>
    <xf numFmtId="185" fontId="47" fillId="0" borderId="0"/>
    <xf numFmtId="185" fontId="48" fillId="0" borderId="0"/>
    <xf numFmtId="15" fontId="38" fillId="45" borderId="9">
      <alignment horizontal="center"/>
      <protection locked="0"/>
    </xf>
    <xf numFmtId="186" fontId="38" fillId="45" borderId="9">
      <protection locked="0"/>
    </xf>
    <xf numFmtId="185" fontId="38" fillId="45" borderId="9">
      <protection locked="0"/>
    </xf>
    <xf numFmtId="185" fontId="25" fillId="0" borderId="0"/>
    <xf numFmtId="186" fontId="25" fillId="0" borderId="0"/>
    <xf numFmtId="187" fontId="25" fillId="0" borderId="0"/>
    <xf numFmtId="185" fontId="22" fillId="0" borderId="10"/>
    <xf numFmtId="185" fontId="22" fillId="0" borderId="11"/>
    <xf numFmtId="185" fontId="22" fillId="18" borderId="0"/>
    <xf numFmtId="0" fontId="22" fillId="0" borderId="0"/>
    <xf numFmtId="0" fontId="54" fillId="0" borderId="14" applyNumberFormat="0" applyFill="0" applyAlignment="0" applyProtection="0"/>
    <xf numFmtId="0" fontId="55" fillId="0" borderId="15" applyNumberFormat="0" applyFill="0" applyAlignment="0" applyProtection="0"/>
    <xf numFmtId="0" fontId="56" fillId="0" borderId="16" applyNumberFormat="0" applyFill="0" applyAlignment="0" applyProtection="0"/>
    <xf numFmtId="0" fontId="56" fillId="0" borderId="0" applyNumberFormat="0" applyFill="0" applyBorder="0" applyAlignment="0" applyProtection="0"/>
    <xf numFmtId="9" fontId="23" fillId="0" borderId="0" applyFont="0" applyFill="0" applyBorder="0" applyAlignment="0" applyProtection="0"/>
    <xf numFmtId="9" fontId="22" fillId="0" borderId="0" applyFont="0" applyFill="0" applyBorder="0" applyAlignment="0" applyProtection="0"/>
    <xf numFmtId="0" fontId="57" fillId="0" borderId="0" applyNumberFormat="0" applyFill="0" applyBorder="0" applyAlignment="0" applyProtection="0"/>
    <xf numFmtId="0" fontId="54" fillId="0" borderId="14" applyNumberFormat="0" applyFill="0" applyAlignment="0" applyProtection="0"/>
    <xf numFmtId="0" fontId="55" fillId="0" borderId="15" applyNumberFormat="0" applyFill="0" applyAlignment="0" applyProtection="0"/>
    <xf numFmtId="0" fontId="56" fillId="0" borderId="16" applyNumberFormat="0" applyFill="0" applyAlignment="0" applyProtection="0"/>
    <xf numFmtId="0" fontId="56" fillId="0" borderId="0" applyNumberFormat="0" applyFill="0" applyBorder="0" applyAlignment="0" applyProtection="0"/>
    <xf numFmtId="0" fontId="52" fillId="0" borderId="13" applyNumberFormat="0" applyFill="0" applyAlignment="0" applyProtection="0"/>
    <xf numFmtId="4" fontId="46" fillId="40" borderId="17" applyNumberFormat="0" applyProtection="0">
      <alignment vertical="center"/>
    </xf>
    <xf numFmtId="4" fontId="58" fillId="40" borderId="17" applyNumberFormat="0" applyProtection="0">
      <alignment vertical="center"/>
    </xf>
    <xf numFmtId="4" fontId="59" fillId="40" borderId="17" applyNumberFormat="0" applyProtection="0">
      <alignment horizontal="left" vertical="center" indent="1"/>
    </xf>
    <xf numFmtId="0" fontId="60" fillId="45" borderId="17" applyNumberFormat="0" applyProtection="0">
      <alignment horizontal="left" vertical="top" indent="1"/>
    </xf>
    <xf numFmtId="4" fontId="59" fillId="50" borderId="0" applyNumberFormat="0" applyProtection="0">
      <alignment horizontal="left" vertical="center" indent="1"/>
    </xf>
    <xf numFmtId="4" fontId="59" fillId="51" borderId="17" applyNumberFormat="0" applyProtection="0">
      <alignment horizontal="right" vertical="center"/>
    </xf>
    <xf numFmtId="4" fontId="59" fillId="52" borderId="17" applyNumberFormat="0" applyProtection="0">
      <alignment horizontal="right" vertical="center"/>
    </xf>
    <xf numFmtId="4" fontId="59" fillId="53" borderId="17" applyNumberFormat="0" applyProtection="0">
      <alignment horizontal="right" vertical="center"/>
    </xf>
    <xf numFmtId="4" fontId="59" fillId="54" borderId="17" applyNumberFormat="0" applyProtection="0">
      <alignment horizontal="right" vertical="center"/>
    </xf>
    <xf numFmtId="4" fontId="59" fillId="55" borderId="17" applyNumberFormat="0" applyProtection="0">
      <alignment horizontal="right" vertical="center"/>
    </xf>
    <xf numFmtId="4" fontId="59" fillId="56" borderId="17" applyNumberFormat="0" applyProtection="0">
      <alignment horizontal="right" vertical="center"/>
    </xf>
    <xf numFmtId="4" fontId="59" fillId="57" borderId="17" applyNumberFormat="0" applyProtection="0">
      <alignment horizontal="right" vertical="center"/>
    </xf>
    <xf numFmtId="4" fontId="59" fillId="58" borderId="17" applyNumberFormat="0" applyProtection="0">
      <alignment horizontal="right" vertical="center"/>
    </xf>
    <xf numFmtId="4" fontId="59" fillId="59" borderId="17" applyNumberFormat="0" applyProtection="0">
      <alignment horizontal="right" vertical="center"/>
    </xf>
    <xf numFmtId="4" fontId="46" fillId="60" borderId="18" applyNumberFormat="0" applyProtection="0">
      <alignment horizontal="left" vertical="center" indent="1"/>
    </xf>
    <xf numFmtId="4" fontId="46" fillId="61" borderId="0" applyNumberFormat="0" applyProtection="0">
      <alignment horizontal="left" vertical="center" indent="1"/>
    </xf>
    <xf numFmtId="4" fontId="46" fillId="50" borderId="0" applyNumberFormat="0" applyProtection="0">
      <alignment horizontal="left" vertical="center" indent="1"/>
    </xf>
    <xf numFmtId="4" fontId="59" fillId="61" borderId="17" applyNumberFormat="0" applyProtection="0">
      <alignment horizontal="right" vertical="center"/>
    </xf>
    <xf numFmtId="4" fontId="25" fillId="61" borderId="0" applyNumberFormat="0" applyProtection="0">
      <alignment horizontal="left" vertical="center" indent="1"/>
    </xf>
    <xf numFmtId="4" fontId="25" fillId="50" borderId="0" applyNumberFormat="0" applyProtection="0">
      <alignment horizontal="left" vertical="center" indent="1"/>
    </xf>
    <xf numFmtId="0" fontId="61" fillId="39" borderId="19" applyNumberFormat="0" applyProtection="0">
      <alignment horizontal="left" vertical="center" indent="1"/>
    </xf>
    <xf numFmtId="0" fontId="61" fillId="62" borderId="17" applyNumberFormat="0" applyProtection="0">
      <alignment horizontal="left" vertical="top" indent="1"/>
    </xf>
    <xf numFmtId="0" fontId="61" fillId="63" borderId="19" applyNumberFormat="0" applyProtection="0">
      <alignment horizontal="left" vertical="center" indent="1"/>
    </xf>
    <xf numFmtId="0" fontId="61" fillId="64" borderId="17" applyNumberFormat="0" applyProtection="0">
      <alignment horizontal="left" vertical="top" indent="1"/>
    </xf>
    <xf numFmtId="0" fontId="61" fillId="16" borderId="19" applyNumberFormat="0" applyProtection="0">
      <alignment horizontal="left" vertical="center" indent="1"/>
    </xf>
    <xf numFmtId="0" fontId="61" fillId="16" borderId="17" applyNumberFormat="0" applyProtection="0">
      <alignment horizontal="left" vertical="top" indent="1"/>
    </xf>
    <xf numFmtId="0" fontId="61" fillId="65" borderId="19" applyNumberFormat="0" applyProtection="0">
      <alignment horizontal="left" vertical="center" indent="1"/>
    </xf>
    <xf numFmtId="0" fontId="61" fillId="65" borderId="17" applyNumberFormat="0" applyProtection="0">
      <alignment horizontal="left" vertical="top" indent="1"/>
    </xf>
    <xf numFmtId="0" fontId="61" fillId="66" borderId="20" applyNumberFormat="0">
      <protection locked="0"/>
    </xf>
    <xf numFmtId="0" fontId="62" fillId="62" borderId="21" applyBorder="0"/>
    <xf numFmtId="4" fontId="59" fillId="67" borderId="17" applyNumberFormat="0" applyProtection="0">
      <alignment vertical="center"/>
    </xf>
    <xf numFmtId="4" fontId="63" fillId="67" borderId="17" applyNumberFormat="0" applyProtection="0">
      <alignment vertical="center"/>
    </xf>
    <xf numFmtId="4" fontId="46" fillId="61" borderId="22" applyNumberFormat="0" applyProtection="0">
      <alignment horizontal="left" vertical="center" indent="1"/>
    </xf>
    <xf numFmtId="0" fontId="64" fillId="9" borderId="17" applyNumberFormat="0" applyProtection="0">
      <alignment horizontal="left" vertical="top" indent="1"/>
    </xf>
    <xf numFmtId="4" fontId="59" fillId="67" borderId="17" applyNumberFormat="0" applyProtection="0">
      <alignment horizontal="right" vertical="center"/>
    </xf>
    <xf numFmtId="4" fontId="63" fillId="67" borderId="17" applyNumberFormat="0" applyProtection="0">
      <alignment horizontal="right" vertical="center"/>
    </xf>
    <xf numFmtId="4" fontId="46" fillId="61" borderId="17" applyNumberFormat="0" applyProtection="0">
      <alignment horizontal="left" vertical="center" indent="1"/>
    </xf>
    <xf numFmtId="0" fontId="64" fillId="64" borderId="17" applyNumberFormat="0" applyProtection="0">
      <alignment horizontal="left" vertical="top" indent="1"/>
    </xf>
    <xf numFmtId="4" fontId="65" fillId="68" borderId="22" applyNumberFormat="0" applyProtection="0">
      <alignment horizontal="left" vertical="center" indent="1"/>
    </xf>
    <xf numFmtId="0" fontId="61" fillId="69" borderId="8"/>
    <xf numFmtId="4" fontId="66" fillId="67" borderId="17" applyNumberFormat="0" applyProtection="0">
      <alignment horizontal="right" vertical="center"/>
    </xf>
    <xf numFmtId="0" fontId="67" fillId="0" borderId="0" applyNumberFormat="0" applyFill="0" applyBorder="0" applyAlignment="0" applyProtection="0"/>
    <xf numFmtId="0" fontId="22" fillId="0" borderId="0"/>
    <xf numFmtId="182" fontId="40" fillId="0" borderId="23" applyNumberFormat="0"/>
    <xf numFmtId="0" fontId="42" fillId="0" borderId="24" applyNumberFormat="0" applyFill="0" applyAlignment="0" applyProtection="0"/>
    <xf numFmtId="49" fontId="43" fillId="0" borderId="0" applyFont="0" applyFill="0" applyBorder="0" applyAlignment="0" applyProtection="0"/>
    <xf numFmtId="0" fontId="57" fillId="0" borderId="0" applyNumberFormat="0" applyFill="0" applyBorder="0" applyAlignment="0" applyProtection="0"/>
    <xf numFmtId="182" fontId="40" fillId="0" borderId="25" applyNumberFormat="0" applyFill="0"/>
    <xf numFmtId="0" fontId="41" fillId="11" borderId="0" applyNumberFormat="0" applyBorder="0" applyAlignment="0" applyProtection="0"/>
    <xf numFmtId="0" fontId="68" fillId="39" borderId="26" applyNumberFormat="0" applyAlignment="0" applyProtection="0"/>
    <xf numFmtId="0" fontId="36" fillId="0" borderId="0" applyNumberFormat="0" applyFill="0" applyBorder="0" applyAlignment="0" applyProtection="0"/>
    <xf numFmtId="9" fontId="33" fillId="0" borderId="0" applyFont="0" applyFill="0" applyBorder="0" applyAlignment="0" applyProtection="0"/>
    <xf numFmtId="0" fontId="69" fillId="0" borderId="0" applyNumberFormat="0" applyFill="0" applyBorder="0" applyAlignment="0" applyProtection="0">
      <alignment vertical="top"/>
      <protection locked="0"/>
    </xf>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6" borderId="0" applyNumberFormat="0" applyBorder="0" applyAlignment="0" applyProtection="0"/>
    <xf numFmtId="0" fontId="23" fillId="17" borderId="0" applyNumberFormat="0" applyBorder="0" applyAlignment="0" applyProtection="0"/>
    <xf numFmtId="0" fontId="23" fillId="18" borderId="0" applyNumberFormat="0" applyBorder="0" applyAlignment="0" applyProtection="0"/>
    <xf numFmtId="0" fontId="23" fillId="13" borderId="0" applyNumberFormat="0" applyBorder="0" applyAlignment="0" applyProtection="0"/>
    <xf numFmtId="0" fontId="23" fillId="16" borderId="0" applyNumberFormat="0" applyBorder="0" applyAlignment="0" applyProtection="0"/>
    <xf numFmtId="0" fontId="23" fillId="19" borderId="0" applyNumberFormat="0" applyBorder="0" applyAlignment="0" applyProtection="0"/>
    <xf numFmtId="0" fontId="22" fillId="0" borderId="0"/>
    <xf numFmtId="0" fontId="22" fillId="0" borderId="0"/>
    <xf numFmtId="0" fontId="22" fillId="0" borderId="0"/>
    <xf numFmtId="0" fontId="23" fillId="9" borderId="6" applyNumberFormat="0" applyFont="0" applyAlignment="0" applyProtection="0"/>
    <xf numFmtId="0" fontId="23" fillId="9" borderId="6" applyNumberFormat="0" applyFont="0" applyAlignment="0" applyProtection="0"/>
    <xf numFmtId="0" fontId="4" fillId="0" borderId="0"/>
    <xf numFmtId="0" fontId="4" fillId="0" borderId="0"/>
    <xf numFmtId="164" fontId="4" fillId="0" borderId="0" applyFont="0" applyFill="0" applyBorder="0" applyAlignment="0" applyProtection="0"/>
    <xf numFmtId="9" fontId="4" fillId="0" borderId="0" applyFont="0" applyFill="0" applyBorder="0" applyAlignment="0" applyProtection="0"/>
    <xf numFmtId="0" fontId="4" fillId="0" borderId="0"/>
    <xf numFmtId="0" fontId="34" fillId="0" borderId="0"/>
    <xf numFmtId="164" fontId="33" fillId="0" borderId="0" applyFont="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0" fontId="3" fillId="0" borderId="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85" fontId="22" fillId="0" borderId="0" applyFill="0" applyBorder="0" applyAlignment="0" applyProtection="0"/>
    <xf numFmtId="15" fontId="38" fillId="45" borderId="9">
      <alignment horizontal="center"/>
      <protection locked="0"/>
    </xf>
    <xf numFmtId="185" fontId="22" fillId="0" borderId="0" applyFill="0" applyBorder="0" applyAlignment="0" applyProtection="0"/>
    <xf numFmtId="0" fontId="70" fillId="0" borderId="0" applyNumberFormat="0" applyFill="0" applyBorder="0" applyAlignment="0" applyProtection="0"/>
    <xf numFmtId="0" fontId="74" fillId="0" borderId="0" applyNumberFormat="0" applyFill="0" applyBorder="0" applyAlignment="0" applyProtection="0"/>
    <xf numFmtId="0" fontId="2" fillId="0" borderId="0"/>
    <xf numFmtId="0" fontId="75" fillId="0" borderId="0" applyNumberFormat="0" applyFill="0" applyBorder="0" applyAlignment="0" applyProtection="0"/>
    <xf numFmtId="9" fontId="1"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9"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3"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27" fillId="0" borderId="0" applyFont="0" applyFill="0" applyBorder="0" applyAlignment="0" applyProtection="0"/>
    <xf numFmtId="164" fontId="32" fillId="0" borderId="0" applyFont="0" applyFill="0" applyBorder="0" applyAlignment="0" applyProtection="0"/>
    <xf numFmtId="9" fontId="1" fillId="0" borderId="0" applyFont="0" applyFill="0" applyBorder="0" applyAlignment="0" applyProtection="0"/>
    <xf numFmtId="0" fontId="1" fillId="0" borderId="0"/>
    <xf numFmtId="164" fontId="1" fillId="0" borderId="0" applyFont="0" applyFill="0" applyBorder="0" applyAlignment="0" applyProtection="0"/>
    <xf numFmtId="37" fontId="40" fillId="0" borderId="1">
      <alignment horizontal="center"/>
    </xf>
    <xf numFmtId="37" fontId="40" fillId="0" borderId="0">
      <alignment horizontal="center" vertical="center" wrapText="1"/>
    </xf>
    <xf numFmtId="164" fontId="22" fillId="0" borderId="0" applyFont="0" applyFill="0" applyBorder="0" applyAlignment="0" applyProtection="0"/>
    <xf numFmtId="37" fontId="53" fillId="0" borderId="0"/>
    <xf numFmtId="37" fontId="40" fillId="0" borderId="23" applyNumberFormat="0"/>
    <xf numFmtId="37" fontId="40" fillId="0" borderId="25" applyNumberFormat="0" applyFill="0"/>
    <xf numFmtId="0" fontId="2" fillId="0" borderId="0"/>
    <xf numFmtId="0" fontId="2" fillId="0" borderId="0"/>
    <xf numFmtId="164" fontId="2" fillId="0" borderId="0" applyFont="0" applyFill="0" applyBorder="0" applyAlignment="0" applyProtection="0"/>
    <xf numFmtId="9" fontId="2" fillId="0" borderId="0" applyFont="0" applyFill="0" applyBorder="0" applyAlignment="0" applyProtection="0"/>
    <xf numFmtId="0" fontId="2" fillId="0" borderId="0"/>
    <xf numFmtId="164" fontId="33" fillId="0" borderId="0" applyFont="0" applyFill="0" applyBorder="0" applyAlignment="0" applyProtection="0"/>
    <xf numFmtId="0" fontId="1" fillId="0" borderId="0"/>
  </cellStyleXfs>
  <cellXfs count="224">
    <xf numFmtId="0" fontId="0" fillId="0" borderId="0" xfId="0"/>
    <xf numFmtId="172" fontId="9" fillId="0" borderId="0" xfId="0" applyNumberFormat="1" applyFont="1" applyAlignment="1">
      <alignment vertical="center"/>
    </xf>
    <xf numFmtId="0" fontId="8" fillId="8" borderId="0" xfId="0" applyFont="1" applyFill="1" applyAlignment="1">
      <alignment vertical="center"/>
    </xf>
    <xf numFmtId="0" fontId="15" fillId="8" borderId="0" xfId="0" applyFont="1" applyFill="1" applyAlignment="1">
      <alignment vertical="center"/>
    </xf>
    <xf numFmtId="0" fontId="9" fillId="0" borderId="0" xfId="0" applyFont="1" applyAlignment="1">
      <alignment vertical="center"/>
    </xf>
    <xf numFmtId="168" fontId="8" fillId="0" borderId="0" xfId="0" applyNumberFormat="1" applyFont="1" applyAlignment="1">
      <alignment vertical="center"/>
    </xf>
    <xf numFmtId="168" fontId="8" fillId="0" borderId="0" xfId="0" applyNumberFormat="1" applyFont="1" applyAlignment="1">
      <alignment horizontal="left" vertical="center"/>
    </xf>
    <xf numFmtId="168" fontId="8" fillId="0" borderId="0" xfId="0" applyNumberFormat="1" applyFont="1" applyAlignment="1">
      <alignment horizontal="center" vertical="center"/>
    </xf>
    <xf numFmtId="168" fontId="12" fillId="5" borderId="0" xfId="0" applyNumberFormat="1" applyFont="1" applyFill="1" applyAlignment="1">
      <alignment vertical="center"/>
    </xf>
    <xf numFmtId="168" fontId="10" fillId="4" borderId="0" xfId="0" applyNumberFormat="1" applyFont="1" applyFill="1" applyAlignment="1">
      <alignment vertical="center"/>
    </xf>
    <xf numFmtId="168" fontId="8" fillId="4" borderId="0" xfId="0" applyNumberFormat="1" applyFont="1" applyFill="1" applyAlignment="1">
      <alignment vertical="center"/>
    </xf>
    <xf numFmtId="1" fontId="8" fillId="4" borderId="0" xfId="0" applyNumberFormat="1" applyFont="1" applyFill="1" applyAlignment="1">
      <alignment vertical="center"/>
    </xf>
    <xf numFmtId="170" fontId="8" fillId="0" borderId="0" xfId="0" applyNumberFormat="1" applyFont="1" applyAlignment="1">
      <alignment vertical="center"/>
    </xf>
    <xf numFmtId="168" fontId="10" fillId="4" borderId="0" xfId="0" applyNumberFormat="1" applyFont="1" applyFill="1" applyAlignment="1">
      <alignment horizontal="right" vertical="center"/>
    </xf>
    <xf numFmtId="0" fontId="16" fillId="0" borderId="0" xfId="0" applyFont="1" applyAlignment="1">
      <alignment vertical="center"/>
    </xf>
    <xf numFmtId="166" fontId="8" fillId="0" borderId="0" xfId="0" applyNumberFormat="1" applyFont="1" applyAlignment="1">
      <alignment vertical="center"/>
    </xf>
    <xf numFmtId="4" fontId="8" fillId="0" borderId="0" xfId="0" applyNumberFormat="1" applyFont="1" applyAlignment="1">
      <alignment vertical="center"/>
    </xf>
    <xf numFmtId="10" fontId="8" fillId="0" borderId="0" xfId="0" applyNumberFormat="1" applyFont="1" applyAlignment="1">
      <alignment vertical="center"/>
    </xf>
    <xf numFmtId="0" fontId="8" fillId="0" borderId="0" xfId="0" quotePrefix="1" applyFont="1" applyAlignment="1">
      <alignment vertical="center"/>
    </xf>
    <xf numFmtId="0" fontId="8" fillId="0" borderId="0" xfId="0" applyFont="1" applyAlignment="1">
      <alignment vertical="center"/>
    </xf>
    <xf numFmtId="0" fontId="17" fillId="4" borderId="0" xfId="0" applyFont="1" applyFill="1" applyAlignment="1">
      <alignment horizontal="left" vertical="center"/>
    </xf>
    <xf numFmtId="0" fontId="9" fillId="4" borderId="0" xfId="0" applyFont="1" applyFill="1" applyAlignment="1">
      <alignment horizontal="left" vertical="center"/>
    </xf>
    <xf numFmtId="0" fontId="9" fillId="4" borderId="0" xfId="0" applyFont="1" applyFill="1" applyAlignment="1">
      <alignment vertical="center"/>
    </xf>
    <xf numFmtId="0" fontId="18" fillId="4" borderId="0" xfId="0" applyFont="1" applyFill="1" applyAlignment="1">
      <alignment horizontal="left" vertical="center"/>
    </xf>
    <xf numFmtId="0" fontId="18" fillId="4" borderId="0" xfId="0" applyFont="1" applyFill="1" applyAlignment="1">
      <alignment vertical="center"/>
    </xf>
    <xf numFmtId="168" fontId="9" fillId="0" borderId="0" xfId="0" applyNumberFormat="1" applyFont="1" applyAlignment="1">
      <alignment vertical="center"/>
    </xf>
    <xf numFmtId="168" fontId="13" fillId="0" borderId="0" xfId="0" applyNumberFormat="1" applyFont="1" applyAlignment="1">
      <alignment vertical="center"/>
    </xf>
    <xf numFmtId="0" fontId="9" fillId="0" borderId="2" xfId="0" applyFont="1" applyBorder="1" applyAlignment="1">
      <alignment vertical="center"/>
    </xf>
    <xf numFmtId="172" fontId="9" fillId="0" borderId="0" xfId="0" applyNumberFormat="1" applyFont="1" applyAlignment="1">
      <alignment horizontal="left" vertical="center"/>
    </xf>
    <xf numFmtId="0" fontId="9" fillId="7" borderId="3" xfId="0" applyFont="1" applyFill="1" applyBorder="1" applyAlignment="1">
      <alignment vertical="center"/>
    </xf>
    <xf numFmtId="0" fontId="15" fillId="0" borderId="0" xfId="0" applyFont="1" applyAlignment="1">
      <alignment vertical="center"/>
    </xf>
    <xf numFmtId="168" fontId="8" fillId="6" borderId="0" xfId="0" applyNumberFormat="1" applyFont="1" applyFill="1" applyAlignment="1">
      <alignment vertical="center"/>
    </xf>
    <xf numFmtId="2" fontId="8" fillId="0" borderId="0" xfId="0" applyNumberFormat="1" applyFont="1" applyAlignment="1">
      <alignment vertical="center"/>
    </xf>
    <xf numFmtId="10" fontId="8" fillId="0" borderId="0" xfId="0" quotePrefix="1" applyNumberFormat="1" applyFont="1" applyAlignment="1">
      <alignment vertical="center"/>
    </xf>
    <xf numFmtId="168" fontId="8" fillId="5" borderId="0" xfId="0" applyNumberFormat="1" applyFont="1" applyFill="1" applyAlignment="1">
      <alignment vertical="center"/>
    </xf>
    <xf numFmtId="180" fontId="8" fillId="0" borderId="0" xfId="0" applyNumberFormat="1" applyFont="1" applyAlignment="1">
      <alignment vertical="center"/>
    </xf>
    <xf numFmtId="167" fontId="8" fillId="0" borderId="0" xfId="1" applyNumberFormat="1" applyFont="1" applyBorder="1" applyAlignment="1">
      <alignment vertical="center"/>
    </xf>
    <xf numFmtId="164" fontId="8" fillId="0" borderId="0" xfId="75" applyFont="1" applyBorder="1" applyAlignment="1">
      <alignment vertical="center"/>
    </xf>
    <xf numFmtId="168" fontId="8" fillId="2" borderId="0" xfId="0" applyNumberFormat="1" applyFont="1" applyFill="1" applyAlignment="1">
      <alignment vertical="center"/>
    </xf>
    <xf numFmtId="14" fontId="8" fillId="0" borderId="0" xfId="0" applyNumberFormat="1" applyFont="1" applyAlignment="1">
      <alignment vertical="center"/>
    </xf>
    <xf numFmtId="168" fontId="19" fillId="2" borderId="0" xfId="0" applyNumberFormat="1" applyFont="1" applyFill="1" applyAlignment="1">
      <alignment vertical="center"/>
    </xf>
    <xf numFmtId="0" fontId="9" fillId="0" borderId="0" xfId="0" applyFont="1" applyAlignment="1">
      <alignment vertical="center" wrapText="1"/>
    </xf>
    <xf numFmtId="191" fontId="8" fillId="0" borderId="0" xfId="75" applyNumberFormat="1" applyFont="1" applyBorder="1" applyAlignment="1">
      <alignment vertical="center"/>
    </xf>
    <xf numFmtId="188" fontId="8" fillId="0" borderId="0" xfId="75" applyNumberFormat="1" applyFont="1" applyBorder="1" applyAlignment="1">
      <alignment vertical="center"/>
    </xf>
    <xf numFmtId="168" fontId="8" fillId="0" borderId="0" xfId="0" applyNumberFormat="1" applyFont="1" applyAlignment="1">
      <alignment vertical="center" wrapText="1"/>
    </xf>
    <xf numFmtId="0" fontId="8" fillId="0" borderId="0" xfId="0" applyFont="1" applyAlignment="1">
      <alignment vertical="center" wrapText="1"/>
    </xf>
    <xf numFmtId="166" fontId="8" fillId="3" borderId="0" xfId="0" applyNumberFormat="1" applyFont="1" applyFill="1" applyAlignment="1">
      <alignment vertical="center"/>
    </xf>
    <xf numFmtId="14" fontId="8" fillId="3" borderId="0" xfId="0" applyNumberFormat="1" applyFont="1" applyFill="1" applyAlignment="1">
      <alignment vertical="center"/>
    </xf>
    <xf numFmtId="173" fontId="8" fillId="3" borderId="0" xfId="0" applyNumberFormat="1" applyFont="1" applyFill="1" applyAlignment="1">
      <alignment vertical="center"/>
    </xf>
    <xf numFmtId="169" fontId="8" fillId="4" borderId="0" xfId="0" applyNumberFormat="1" applyFont="1" applyFill="1" applyAlignment="1">
      <alignment vertical="center"/>
    </xf>
    <xf numFmtId="189" fontId="15" fillId="0" borderId="0" xfId="0" applyNumberFormat="1" applyFont="1" applyAlignment="1">
      <alignment vertical="center"/>
    </xf>
    <xf numFmtId="190" fontId="8" fillId="0" borderId="0" xfId="75" applyNumberFormat="1" applyFont="1" applyAlignment="1">
      <alignment vertical="center"/>
    </xf>
    <xf numFmtId="14" fontId="8" fillId="0" borderId="0" xfId="0" applyNumberFormat="1" applyFont="1" applyAlignment="1">
      <alignment horizontal="center" vertical="center"/>
    </xf>
    <xf numFmtId="164" fontId="8" fillId="0" borderId="0" xfId="75" applyFont="1" applyFill="1" applyAlignment="1">
      <alignment vertical="center"/>
    </xf>
    <xf numFmtId="164" fontId="8" fillId="0" borderId="0" xfId="75" applyFont="1" applyFill="1" applyAlignment="1">
      <alignment horizontal="right" vertical="center"/>
    </xf>
    <xf numFmtId="168" fontId="8" fillId="3" borderId="0" xfId="0" applyNumberFormat="1" applyFont="1" applyFill="1" applyAlignment="1">
      <alignment vertical="center"/>
    </xf>
    <xf numFmtId="168" fontId="8" fillId="3" borderId="2" xfId="0" applyNumberFormat="1" applyFont="1" applyFill="1" applyBorder="1" applyAlignment="1">
      <alignment vertical="center"/>
    </xf>
    <xf numFmtId="168" fontId="8" fillId="4" borderId="0" xfId="0" applyNumberFormat="1" applyFont="1" applyFill="1" applyAlignment="1">
      <alignment horizontal="center" vertical="center"/>
    </xf>
    <xf numFmtId="14" fontId="8" fillId="4" borderId="0" xfId="0" applyNumberFormat="1" applyFont="1" applyFill="1" applyAlignment="1">
      <alignment vertical="center"/>
    </xf>
    <xf numFmtId="0" fontId="19" fillId="0" borderId="0" xfId="0" applyFont="1" applyAlignment="1">
      <alignment vertical="center"/>
    </xf>
    <xf numFmtId="190" fontId="8" fillId="0" borderId="0" xfId="0" applyNumberFormat="1" applyFont="1" applyAlignment="1">
      <alignment vertical="center"/>
    </xf>
    <xf numFmtId="192" fontId="8" fillId="0" borderId="0" xfId="0" applyNumberFormat="1" applyFont="1" applyAlignment="1">
      <alignment vertical="center"/>
    </xf>
    <xf numFmtId="188" fontId="8" fillId="0" borderId="0" xfId="75" applyNumberFormat="1" applyFont="1" applyAlignment="1">
      <alignment vertical="center"/>
    </xf>
    <xf numFmtId="190" fontId="8" fillId="0" borderId="4" xfId="75" applyNumberFormat="1" applyFont="1" applyBorder="1" applyAlignment="1">
      <alignment vertical="center"/>
    </xf>
    <xf numFmtId="171" fontId="8" fillId="0" borderId="0" xfId="0" applyNumberFormat="1" applyFont="1" applyAlignment="1">
      <alignment vertical="center"/>
    </xf>
    <xf numFmtId="165" fontId="8" fillId="0" borderId="0" xfId="0" applyNumberFormat="1" applyFont="1" applyAlignment="1">
      <alignment vertical="center"/>
    </xf>
    <xf numFmtId="10" fontId="8" fillId="0" borderId="0" xfId="1" applyNumberFormat="1" applyFont="1" applyBorder="1" applyAlignment="1">
      <alignment vertical="center"/>
    </xf>
    <xf numFmtId="167" fontId="8" fillId="0" borderId="0" xfId="0" applyNumberFormat="1" applyFont="1" applyAlignment="1">
      <alignment vertical="center"/>
    </xf>
    <xf numFmtId="0" fontId="8" fillId="0" borderId="0" xfId="0" applyFont="1" applyAlignment="1">
      <alignment horizontal="right" vertical="center"/>
    </xf>
    <xf numFmtId="188" fontId="8" fillId="0" borderId="0" xfId="75" applyNumberFormat="1" applyFont="1" applyFill="1" applyAlignment="1">
      <alignment vertical="center"/>
    </xf>
    <xf numFmtId="168" fontId="19" fillId="0" borderId="0" xfId="0" applyNumberFormat="1" applyFont="1" applyAlignment="1">
      <alignment vertical="center"/>
    </xf>
    <xf numFmtId="193" fontId="8" fillId="0" borderId="0" xfId="75" applyNumberFormat="1" applyFont="1" applyFill="1" applyAlignment="1">
      <alignment vertical="center"/>
    </xf>
    <xf numFmtId="167" fontId="8" fillId="3" borderId="0" xfId="0" applyNumberFormat="1" applyFont="1" applyFill="1" applyAlignment="1">
      <alignment vertical="center"/>
    </xf>
    <xf numFmtId="194" fontId="8" fillId="0" borderId="0" xfId="75" applyNumberFormat="1" applyFont="1" applyAlignment="1">
      <alignment vertical="center"/>
    </xf>
    <xf numFmtId="168" fontId="71" fillId="5" borderId="0" xfId="0" applyNumberFormat="1" applyFont="1" applyFill="1" applyAlignment="1">
      <alignment vertical="center"/>
    </xf>
    <xf numFmtId="167" fontId="8" fillId="70" borderId="0" xfId="0" applyNumberFormat="1" applyFont="1" applyFill="1" applyAlignment="1">
      <alignment vertical="center"/>
    </xf>
    <xf numFmtId="167" fontId="8" fillId="71" borderId="0" xfId="0" applyNumberFormat="1" applyFont="1" applyFill="1" applyAlignment="1">
      <alignment vertical="center"/>
    </xf>
    <xf numFmtId="0" fontId="73" fillId="72" borderId="3" xfId="0" applyFont="1" applyFill="1" applyBorder="1" applyAlignment="1">
      <alignment vertical="center"/>
    </xf>
    <xf numFmtId="0" fontId="9" fillId="3" borderId="27" xfId="0" applyFont="1" applyFill="1" applyBorder="1" applyAlignment="1">
      <alignment vertical="center"/>
    </xf>
    <xf numFmtId="0" fontId="9" fillId="73" borderId="3" xfId="0" applyFont="1" applyFill="1" applyBorder="1" applyAlignment="1">
      <alignment vertical="center"/>
    </xf>
    <xf numFmtId="172" fontId="70" fillId="0" borderId="0" xfId="2113" applyNumberFormat="1" applyAlignment="1">
      <alignment vertical="center"/>
    </xf>
    <xf numFmtId="180" fontId="11" fillId="0" borderId="0" xfId="0" applyNumberFormat="1" applyFont="1" applyAlignment="1">
      <alignment vertical="center"/>
    </xf>
    <xf numFmtId="192" fontId="8" fillId="0" borderId="0" xfId="75" applyNumberFormat="1" applyFont="1" applyFill="1" applyAlignment="1">
      <alignment vertical="center"/>
    </xf>
    <xf numFmtId="0" fontId="10" fillId="0" borderId="0" xfId="0" applyFont="1" applyAlignment="1">
      <alignment vertical="center"/>
    </xf>
    <xf numFmtId="174" fontId="8" fillId="0" borderId="0" xfId="0" applyNumberFormat="1" applyFont="1" applyAlignment="1">
      <alignment vertical="center"/>
    </xf>
    <xf numFmtId="174" fontId="8" fillId="0" borderId="0" xfId="75" applyNumberFormat="1" applyFont="1" applyAlignment="1">
      <alignment vertical="center"/>
    </xf>
    <xf numFmtId="173" fontId="8" fillId="0" borderId="4" xfId="0" applyNumberFormat="1" applyFont="1" applyBorder="1" applyAlignment="1">
      <alignment vertical="center"/>
    </xf>
    <xf numFmtId="173" fontId="8" fillId="0" borderId="0" xfId="0" applyNumberFormat="1" applyFont="1" applyAlignment="1">
      <alignment vertical="center"/>
    </xf>
    <xf numFmtId="188" fontId="8" fillId="6" borderId="0" xfId="0" applyNumberFormat="1" applyFont="1" applyFill="1" applyAlignment="1">
      <alignment vertical="center"/>
    </xf>
    <xf numFmtId="180" fontId="8" fillId="6" borderId="0" xfId="0" applyNumberFormat="1" applyFont="1" applyFill="1" applyAlignment="1">
      <alignment vertical="center"/>
    </xf>
    <xf numFmtId="180" fontId="8" fillId="2" borderId="0" xfId="0" applyNumberFormat="1" applyFont="1" applyFill="1" applyAlignment="1">
      <alignment vertical="center"/>
    </xf>
    <xf numFmtId="180" fontId="9" fillId="0" borderId="0" xfId="0" applyNumberFormat="1" applyFont="1" applyAlignment="1">
      <alignment vertical="center"/>
    </xf>
    <xf numFmtId="170" fontId="11" fillId="0" borderId="0" xfId="0" applyNumberFormat="1" applyFont="1" applyAlignment="1">
      <alignment vertical="center"/>
    </xf>
    <xf numFmtId="197" fontId="8" fillId="0" borderId="0" xfId="75" applyNumberFormat="1" applyFont="1" applyBorder="1" applyAlignment="1">
      <alignment vertical="center"/>
    </xf>
    <xf numFmtId="173" fontId="72" fillId="0" borderId="0" xfId="0" applyNumberFormat="1" applyFont="1" applyAlignment="1">
      <alignment vertical="center"/>
    </xf>
    <xf numFmtId="0" fontId="73" fillId="72" borderId="0" xfId="0" applyFont="1" applyFill="1" applyAlignment="1">
      <alignment vertical="center"/>
    </xf>
    <xf numFmtId="0" fontId="9" fillId="0" borderId="8" xfId="2115" applyFont="1" applyBorder="1" applyAlignment="1">
      <alignment horizontal="center" vertical="center" wrapText="1"/>
    </xf>
    <xf numFmtId="0" fontId="8" fillId="0" borderId="8" xfId="2115" applyFont="1" applyBorder="1" applyAlignment="1">
      <alignment horizontal="center" vertical="center" wrapText="1"/>
    </xf>
    <xf numFmtId="14" fontId="9" fillId="0" borderId="8" xfId="2115" applyNumberFormat="1" applyFont="1" applyBorder="1" applyAlignment="1">
      <alignment horizontal="center" vertical="center" wrapText="1"/>
    </xf>
    <xf numFmtId="0" fontId="72" fillId="0" borderId="8" xfId="2115" applyFont="1" applyBorder="1" applyAlignment="1">
      <alignment horizontal="center" vertical="center" wrapText="1"/>
    </xf>
    <xf numFmtId="0" fontId="9" fillId="0" borderId="8" xfId="2115" applyFont="1" applyBorder="1" applyAlignment="1">
      <alignment horizontal="center" vertical="center"/>
    </xf>
    <xf numFmtId="0" fontId="32" fillId="0" borderId="8" xfId="0" applyFont="1" applyBorder="1" applyAlignment="1">
      <alignment horizontal="center" vertical="center"/>
    </xf>
    <xf numFmtId="0" fontId="9" fillId="4" borderId="0" xfId="0" applyFont="1" applyFill="1" applyAlignment="1">
      <alignment horizontal="center" vertical="center" wrapText="1"/>
    </xf>
    <xf numFmtId="0" fontId="32" fillId="0" borderId="0" xfId="0" applyFont="1" applyAlignment="1">
      <alignment horizontal="center" vertical="center" wrapText="1"/>
    </xf>
    <xf numFmtId="0" fontId="9" fillId="0" borderId="0" xfId="2115" applyFont="1" applyAlignment="1">
      <alignment horizontal="center" vertical="center" wrapText="1"/>
    </xf>
    <xf numFmtId="0" fontId="9" fillId="0" borderId="0" xfId="2115" applyFont="1" applyAlignment="1">
      <alignment horizontal="center" vertical="center"/>
    </xf>
    <xf numFmtId="0" fontId="32" fillId="0" borderId="0" xfId="0" applyFont="1" applyAlignment="1">
      <alignment horizontal="center" vertical="center"/>
    </xf>
    <xf numFmtId="0" fontId="76" fillId="0" borderId="0" xfId="2114" applyFont="1" applyFill="1" applyAlignment="1">
      <alignment horizontal="center" vertical="center" wrapText="1"/>
    </xf>
    <xf numFmtId="0" fontId="9" fillId="0" borderId="8" xfId="2115" applyFont="1" applyBorder="1" applyAlignment="1">
      <alignment horizontal="left" vertical="center" wrapText="1"/>
    </xf>
    <xf numFmtId="0" fontId="8" fillId="0" borderId="8" xfId="2115" applyFont="1" applyBorder="1" applyAlignment="1">
      <alignment horizontal="left" vertical="center" wrapText="1"/>
    </xf>
    <xf numFmtId="168" fontId="9" fillId="4" borderId="0" xfId="0" applyNumberFormat="1" applyFont="1" applyFill="1" applyAlignment="1">
      <alignment horizontal="left" vertical="center"/>
    </xf>
    <xf numFmtId="168" fontId="10" fillId="4" borderId="0" xfId="0" applyNumberFormat="1" applyFont="1" applyFill="1" applyAlignment="1">
      <alignment horizontal="left" vertical="center"/>
    </xf>
    <xf numFmtId="49" fontId="10" fillId="4" borderId="0" xfId="0" applyNumberFormat="1" applyFont="1" applyFill="1" applyAlignment="1">
      <alignment vertical="center"/>
    </xf>
    <xf numFmtId="49" fontId="8" fillId="4" borderId="0" xfId="0" applyNumberFormat="1" applyFont="1" applyFill="1" applyAlignment="1">
      <alignment horizontal="center" vertical="center"/>
    </xf>
    <xf numFmtId="49" fontId="8" fillId="0" borderId="0" xfId="0" applyNumberFormat="1" applyFont="1" applyAlignment="1">
      <alignment vertical="center"/>
    </xf>
    <xf numFmtId="49" fontId="0" fillId="0" borderId="0" xfId="0" applyNumberFormat="1"/>
    <xf numFmtId="49" fontId="0" fillId="3" borderId="0" xfId="0" applyNumberFormat="1" applyFill="1"/>
    <xf numFmtId="168" fontId="77" fillId="4" borderId="0" xfId="0" applyNumberFormat="1" applyFont="1" applyFill="1" applyAlignment="1">
      <alignment vertical="center"/>
    </xf>
    <xf numFmtId="0" fontId="32" fillId="0" borderId="0" xfId="0" applyFont="1" applyAlignment="1">
      <alignment horizontal="left" vertical="center"/>
    </xf>
    <xf numFmtId="0" fontId="9" fillId="0" borderId="0" xfId="2115" applyFont="1" applyAlignment="1">
      <alignment horizontal="left" vertical="center"/>
    </xf>
    <xf numFmtId="0" fontId="78" fillId="4" borderId="0" xfId="0" applyFont="1" applyFill="1" applyAlignment="1">
      <alignment horizontal="left" vertical="center"/>
    </xf>
    <xf numFmtId="168" fontId="79" fillId="0" borderId="0" xfId="0" applyNumberFormat="1" applyFont="1" applyAlignment="1">
      <alignment vertical="center"/>
    </xf>
    <xf numFmtId="180" fontId="72" fillId="3" borderId="0" xfId="0" applyNumberFormat="1" applyFont="1" applyFill="1" applyAlignment="1">
      <alignment vertical="center"/>
    </xf>
    <xf numFmtId="190" fontId="79" fillId="0" borderId="0" xfId="75" applyNumberFormat="1" applyFont="1" applyAlignment="1">
      <alignment vertical="center"/>
    </xf>
    <xf numFmtId="180" fontId="79" fillId="0" borderId="0" xfId="0" applyNumberFormat="1" applyFont="1" applyAlignment="1">
      <alignment vertical="center"/>
    </xf>
    <xf numFmtId="180" fontId="72" fillId="0" borderId="0" xfId="0" applyNumberFormat="1" applyFont="1" applyAlignment="1">
      <alignment vertical="center"/>
    </xf>
    <xf numFmtId="0" fontId="19" fillId="4" borderId="0" xfId="0" applyFont="1" applyFill="1" applyAlignment="1">
      <alignment horizontal="left" vertical="top" wrapText="1"/>
    </xf>
    <xf numFmtId="0" fontId="19" fillId="4" borderId="0" xfId="0" applyFont="1" applyFill="1" applyAlignment="1">
      <alignment horizontal="left" vertical="top"/>
    </xf>
    <xf numFmtId="168" fontId="12" fillId="0" borderId="0" xfId="0" applyNumberFormat="1" applyFont="1" applyAlignment="1">
      <alignment vertical="center"/>
    </xf>
    <xf numFmtId="168" fontId="15" fillId="0" borderId="0" xfId="0" applyNumberFormat="1" applyFont="1" applyAlignment="1">
      <alignment horizontal="left" vertical="center"/>
    </xf>
    <xf numFmtId="165" fontId="9" fillId="0" borderId="8" xfId="2115" applyNumberFormat="1" applyFont="1" applyBorder="1" applyAlignment="1">
      <alignment horizontal="center" vertical="center" wrapText="1"/>
    </xf>
    <xf numFmtId="165" fontId="32" fillId="0" borderId="8" xfId="0" applyNumberFormat="1" applyFont="1" applyBorder="1" applyAlignment="1">
      <alignment horizontal="center" vertical="center"/>
    </xf>
    <xf numFmtId="0" fontId="9" fillId="0" borderId="8" xfId="2115" applyFont="1" applyBorder="1" applyAlignment="1">
      <alignment horizontal="left" vertical="center"/>
    </xf>
    <xf numFmtId="0" fontId="14" fillId="4" borderId="0" xfId="0" applyFont="1" applyFill="1" applyAlignment="1">
      <alignment horizontal="center" vertical="center" wrapText="1"/>
    </xf>
    <xf numFmtId="0" fontId="8" fillId="3" borderId="0" xfId="0" applyFont="1" applyFill="1" applyAlignment="1">
      <alignment vertical="center" wrapText="1"/>
    </xf>
    <xf numFmtId="0" fontId="8" fillId="3" borderId="0" xfId="0" applyFont="1" applyFill="1" applyAlignment="1">
      <alignment vertical="center"/>
    </xf>
    <xf numFmtId="168" fontId="15" fillId="0" borderId="0" xfId="0" applyNumberFormat="1" applyFont="1" applyAlignment="1">
      <alignment vertical="center"/>
    </xf>
    <xf numFmtId="168" fontId="15" fillId="0" borderId="0" xfId="0" applyNumberFormat="1" applyFont="1" applyAlignment="1">
      <alignment horizontal="center" vertical="center"/>
    </xf>
    <xf numFmtId="0" fontId="0" fillId="0" borderId="8" xfId="0" applyBorder="1"/>
    <xf numFmtId="0" fontId="8" fillId="74" borderId="0" xfId="0" applyFont="1" applyFill="1" applyAlignment="1">
      <alignment vertical="center"/>
    </xf>
    <xf numFmtId="0" fontId="0" fillId="74" borderId="0" xfId="0" applyFill="1"/>
    <xf numFmtId="0" fontId="80" fillId="74" borderId="0" xfId="0" applyFont="1" applyFill="1" applyAlignment="1">
      <alignment vertical="center"/>
    </xf>
    <xf numFmtId="0" fontId="80" fillId="0" borderId="0" xfId="0" applyFont="1" applyAlignment="1">
      <alignment vertical="center"/>
    </xf>
    <xf numFmtId="168" fontId="80" fillId="0" borderId="0" xfId="0" applyNumberFormat="1" applyFont="1" applyAlignment="1">
      <alignment vertical="center"/>
    </xf>
    <xf numFmtId="2" fontId="80" fillId="0" borderId="0" xfId="0" applyNumberFormat="1" applyFont="1" applyAlignment="1">
      <alignment vertical="center"/>
    </xf>
    <xf numFmtId="0" fontId="81" fillId="0" borderId="0" xfId="0" applyFont="1" applyAlignment="1">
      <alignment vertical="center"/>
    </xf>
    <xf numFmtId="0" fontId="8" fillId="70" borderId="0" xfId="0" applyFont="1" applyFill="1" applyAlignment="1">
      <alignment vertical="center"/>
    </xf>
    <xf numFmtId="0" fontId="8" fillId="70" borderId="0" xfId="0" applyFont="1" applyFill="1" applyAlignment="1">
      <alignment vertical="center" wrapText="1"/>
    </xf>
    <xf numFmtId="173" fontId="8" fillId="70" borderId="0" xfId="0" applyNumberFormat="1" applyFont="1" applyFill="1" applyAlignment="1">
      <alignment vertical="center"/>
    </xf>
    <xf numFmtId="168" fontId="8" fillId="70" borderId="0" xfId="0" applyNumberFormat="1" applyFont="1" applyFill="1" applyAlignment="1">
      <alignment vertical="center"/>
    </xf>
    <xf numFmtId="168" fontId="8" fillId="75" borderId="0" xfId="0" applyNumberFormat="1" applyFont="1" applyFill="1" applyAlignment="1">
      <alignment vertical="center"/>
    </xf>
    <xf numFmtId="14" fontId="8" fillId="4" borderId="2" xfId="0" applyNumberFormat="1" applyFont="1" applyFill="1" applyBorder="1" applyAlignment="1">
      <alignment vertical="center"/>
    </xf>
    <xf numFmtId="198" fontId="8" fillId="0" borderId="0" xfId="75" applyNumberFormat="1" applyFont="1" applyAlignment="1">
      <alignment vertical="center"/>
    </xf>
    <xf numFmtId="9" fontId="8" fillId="0" borderId="0" xfId="1" applyFont="1" applyFill="1" applyAlignment="1">
      <alignment vertical="center"/>
    </xf>
    <xf numFmtId="1" fontId="8" fillId="0" borderId="0" xfId="0" applyNumberFormat="1" applyFont="1" applyAlignment="1">
      <alignment vertical="center"/>
    </xf>
    <xf numFmtId="190" fontId="79" fillId="0" borderId="0" xfId="75" applyNumberFormat="1" applyFont="1" applyFill="1" applyAlignment="1">
      <alignment vertical="center"/>
    </xf>
    <xf numFmtId="3" fontId="19" fillId="0" borderId="0" xfId="0" applyNumberFormat="1" applyFont="1" applyAlignment="1">
      <alignment vertical="center"/>
    </xf>
    <xf numFmtId="200" fontId="19" fillId="0" borderId="0" xfId="0" applyNumberFormat="1" applyFont="1" applyAlignment="1">
      <alignment horizontal="center" vertical="center"/>
    </xf>
    <xf numFmtId="0" fontId="85" fillId="0" borderId="8" xfId="2115" applyFont="1" applyBorder="1" applyAlignment="1">
      <alignment horizontal="center" vertical="center"/>
    </xf>
    <xf numFmtId="0" fontId="19" fillId="4" borderId="0" xfId="0" applyFont="1" applyFill="1" applyAlignment="1">
      <alignment horizontal="centerContinuous" vertical="top"/>
    </xf>
    <xf numFmtId="0" fontId="8" fillId="4" borderId="0" xfId="0" applyFont="1" applyFill="1" applyAlignment="1">
      <alignment horizontal="left" vertical="top"/>
    </xf>
    <xf numFmtId="0" fontId="19" fillId="4" borderId="0" xfId="0" applyFont="1" applyFill="1" applyAlignment="1">
      <alignment horizontal="left"/>
    </xf>
    <xf numFmtId="0" fontId="9" fillId="3" borderId="0" xfId="0" applyFont="1" applyFill="1" applyAlignment="1">
      <alignment vertical="center"/>
    </xf>
    <xf numFmtId="0" fontId="86" fillId="0" borderId="8" xfId="2115" applyFont="1" applyBorder="1" applyAlignment="1">
      <alignment horizontal="center" vertical="center" wrapText="1"/>
    </xf>
    <xf numFmtId="0" fontId="84" fillId="0" borderId="0" xfId="0" applyFont="1" applyAlignment="1">
      <alignment vertical="center"/>
    </xf>
    <xf numFmtId="168" fontId="87" fillId="0" borderId="0" xfId="0" applyNumberFormat="1" applyFont="1" applyAlignment="1">
      <alignment vertical="center"/>
    </xf>
    <xf numFmtId="168" fontId="9" fillId="5" borderId="0" xfId="0" applyNumberFormat="1" applyFont="1" applyFill="1" applyAlignment="1">
      <alignment vertical="center"/>
    </xf>
    <xf numFmtId="0" fontId="88" fillId="4" borderId="0" xfId="0" applyFont="1" applyFill="1" applyAlignment="1">
      <alignment horizontal="left" vertical="center"/>
    </xf>
    <xf numFmtId="168" fontId="86" fillId="0" borderId="0" xfId="0" applyNumberFormat="1" applyFont="1" applyAlignment="1">
      <alignment vertical="center"/>
    </xf>
    <xf numFmtId="0" fontId="89" fillId="0" borderId="0" xfId="0" applyFont="1" applyAlignment="1">
      <alignment vertical="center"/>
    </xf>
    <xf numFmtId="173" fontId="89" fillId="0" borderId="0" xfId="0" applyNumberFormat="1" applyFont="1" applyAlignment="1">
      <alignment vertical="center"/>
    </xf>
    <xf numFmtId="188" fontId="89" fillId="0" borderId="0" xfId="75" applyNumberFormat="1" applyFont="1" applyAlignment="1">
      <alignment vertical="center"/>
    </xf>
    <xf numFmtId="180" fontId="89" fillId="0" borderId="0" xfId="75" applyNumberFormat="1" applyFont="1" applyAlignment="1">
      <alignment vertical="center"/>
    </xf>
    <xf numFmtId="188" fontId="89" fillId="0" borderId="0" xfId="75" applyNumberFormat="1" applyFont="1" applyFill="1" applyAlignment="1">
      <alignment vertical="center"/>
    </xf>
    <xf numFmtId="168" fontId="89" fillId="3" borderId="0" xfId="0" applyNumberFormat="1" applyFont="1" applyFill="1" applyAlignment="1">
      <alignment horizontal="right" vertical="center"/>
    </xf>
    <xf numFmtId="14" fontId="89" fillId="3" borderId="0" xfId="0" applyNumberFormat="1" applyFont="1" applyFill="1" applyAlignment="1">
      <alignment vertical="center"/>
    </xf>
    <xf numFmtId="0" fontId="89" fillId="3" borderId="0" xfId="0" applyFont="1" applyFill="1" applyAlignment="1">
      <alignment vertical="center"/>
    </xf>
    <xf numFmtId="173" fontId="89" fillId="3" borderId="0" xfId="0" applyNumberFormat="1" applyFont="1" applyFill="1" applyAlignment="1">
      <alignment vertical="center"/>
    </xf>
    <xf numFmtId="10" fontId="89" fillId="3" borderId="0" xfId="0" applyNumberFormat="1" applyFont="1" applyFill="1" applyAlignment="1">
      <alignment vertical="center"/>
    </xf>
    <xf numFmtId="195" fontId="89" fillId="3" borderId="0" xfId="75" applyNumberFormat="1" applyFont="1" applyFill="1" applyAlignment="1">
      <alignment vertical="center"/>
    </xf>
    <xf numFmtId="14" fontId="89" fillId="3" borderId="0" xfId="0" applyNumberFormat="1" applyFont="1" applyFill="1" applyAlignment="1">
      <alignment horizontal="center" vertical="center"/>
    </xf>
    <xf numFmtId="189" fontId="90" fillId="0" borderId="0" xfId="0" applyNumberFormat="1" applyFont="1" applyAlignment="1">
      <alignment vertical="center"/>
    </xf>
    <xf numFmtId="168" fontId="90" fillId="0" borderId="0" xfId="0" applyNumberFormat="1" applyFont="1" applyAlignment="1">
      <alignment vertical="center"/>
    </xf>
    <xf numFmtId="0" fontId="91" fillId="0" borderId="0" xfId="0" applyFont="1"/>
    <xf numFmtId="180" fontId="92" fillId="0" borderId="0" xfId="0" applyNumberFormat="1" applyFont="1" applyAlignment="1">
      <alignment vertical="center"/>
    </xf>
    <xf numFmtId="180" fontId="92" fillId="70" borderId="0" xfId="0" applyNumberFormat="1" applyFont="1" applyFill="1" applyAlignment="1">
      <alignment vertical="center"/>
    </xf>
    <xf numFmtId="180" fontId="89" fillId="0" borderId="0" xfId="0" applyNumberFormat="1" applyFont="1" applyAlignment="1">
      <alignment vertical="center"/>
    </xf>
    <xf numFmtId="10" fontId="92" fillId="0" borderId="0" xfId="1" applyNumberFormat="1" applyFont="1" applyFill="1" applyBorder="1" applyAlignment="1">
      <alignment vertical="center"/>
    </xf>
    <xf numFmtId="190" fontId="89" fillId="0" borderId="0" xfId="75" applyNumberFormat="1" applyFont="1" applyAlignment="1">
      <alignment vertical="center"/>
    </xf>
    <xf numFmtId="199" fontId="92" fillId="0" borderId="0" xfId="0" applyNumberFormat="1" applyFont="1" applyAlignment="1">
      <alignment vertical="center"/>
    </xf>
    <xf numFmtId="196" fontId="92" fillId="0" borderId="0" xfId="0" applyNumberFormat="1" applyFont="1" applyAlignment="1">
      <alignment vertical="center"/>
    </xf>
    <xf numFmtId="170" fontId="92" fillId="0" borderId="0" xfId="0" applyNumberFormat="1" applyFont="1" applyAlignment="1">
      <alignment vertical="center"/>
    </xf>
    <xf numFmtId="188" fontId="92" fillId="0" borderId="0" xfId="75" applyNumberFormat="1" applyFont="1" applyBorder="1" applyAlignment="1">
      <alignment vertical="center"/>
    </xf>
    <xf numFmtId="198" fontId="92" fillId="0" borderId="0" xfId="75" applyNumberFormat="1" applyFont="1" applyBorder="1" applyAlignment="1">
      <alignment vertical="center"/>
    </xf>
    <xf numFmtId="170" fontId="93" fillId="0" borderId="0" xfId="0" applyNumberFormat="1" applyFont="1" applyAlignment="1">
      <alignment vertical="center"/>
    </xf>
    <xf numFmtId="0" fontId="9" fillId="0" borderId="8" xfId="2115" applyFont="1" applyBorder="1" applyAlignment="1">
      <alignment horizontal="left" vertical="top" wrapText="1"/>
    </xf>
    <xf numFmtId="10" fontId="89" fillId="0" borderId="0" xfId="1" applyNumberFormat="1" applyFont="1" applyFill="1" applyAlignment="1">
      <alignment vertical="center"/>
    </xf>
    <xf numFmtId="10" fontId="8" fillId="3" borderId="0" xfId="0" applyNumberFormat="1" applyFont="1" applyFill="1" applyAlignment="1">
      <alignment vertical="center"/>
    </xf>
    <xf numFmtId="166" fontId="87" fillId="0" borderId="0" xfId="0" applyNumberFormat="1" applyFont="1" applyAlignment="1">
      <alignment vertical="center"/>
    </xf>
    <xf numFmtId="173" fontId="87" fillId="0" borderId="0" xfId="0" applyNumberFormat="1" applyFont="1" applyAlignment="1">
      <alignment vertical="center"/>
    </xf>
    <xf numFmtId="180" fontId="87" fillId="0" borderId="0" xfId="0" applyNumberFormat="1" applyFont="1" applyAlignment="1">
      <alignment vertical="center"/>
    </xf>
    <xf numFmtId="168" fontId="87" fillId="3" borderId="0" xfId="0" applyNumberFormat="1" applyFont="1" applyFill="1" applyAlignment="1">
      <alignment vertical="center"/>
    </xf>
    <xf numFmtId="168" fontId="87" fillId="3" borderId="2" xfId="0" applyNumberFormat="1" applyFont="1" applyFill="1" applyBorder="1" applyAlignment="1">
      <alignment vertical="center"/>
    </xf>
    <xf numFmtId="10" fontId="87" fillId="0" borderId="0" xfId="1" applyNumberFormat="1" applyFont="1" applyBorder="1" applyAlignment="1">
      <alignment vertical="center"/>
    </xf>
    <xf numFmtId="197" fontId="87" fillId="0" borderId="0" xfId="75" applyNumberFormat="1" applyFont="1" applyBorder="1" applyAlignment="1">
      <alignment vertical="center"/>
    </xf>
    <xf numFmtId="191" fontId="87" fillId="0" borderId="0" xfId="75" applyNumberFormat="1" applyFont="1" applyBorder="1" applyAlignment="1">
      <alignment vertical="center"/>
    </xf>
    <xf numFmtId="174" fontId="89" fillId="3" borderId="0" xfId="0" applyNumberFormat="1" applyFont="1" applyFill="1" applyAlignment="1">
      <alignment vertical="center"/>
    </xf>
    <xf numFmtId="174" fontId="19" fillId="2" borderId="0" xfId="0" applyNumberFormat="1" applyFont="1" applyFill="1" applyAlignment="1">
      <alignment vertical="center"/>
    </xf>
    <xf numFmtId="3" fontId="8" fillId="3" borderId="0" xfId="0" applyNumberFormat="1" applyFont="1" applyFill="1" applyAlignment="1">
      <alignment vertical="center"/>
    </xf>
    <xf numFmtId="198" fontId="89" fillId="0" borderId="0" xfId="75" applyNumberFormat="1" applyFont="1" applyFill="1" applyAlignment="1">
      <alignment vertical="center"/>
    </xf>
    <xf numFmtId="197" fontId="89" fillId="0" borderId="0" xfId="75" applyNumberFormat="1" applyFont="1" applyFill="1" applyAlignment="1">
      <alignment vertical="center"/>
    </xf>
    <xf numFmtId="174" fontId="89" fillId="0" borderId="2" xfId="0" applyNumberFormat="1" applyFont="1" applyBorder="1" applyAlignment="1">
      <alignment vertical="center"/>
    </xf>
    <xf numFmtId="174" fontId="89" fillId="0" borderId="0" xfId="0" applyNumberFormat="1" applyFont="1" applyAlignment="1">
      <alignment vertical="center"/>
    </xf>
    <xf numFmtId="197" fontId="92" fillId="0" borderId="0" xfId="75" applyNumberFormat="1" applyFont="1" applyBorder="1" applyAlignment="1">
      <alignment vertical="center"/>
    </xf>
    <xf numFmtId="3" fontId="89" fillId="0" borderId="4" xfId="0" applyNumberFormat="1" applyFont="1" applyBorder="1" applyAlignment="1">
      <alignment vertical="center"/>
    </xf>
    <xf numFmtId="3" fontId="89" fillId="3" borderId="0" xfId="0" applyNumberFormat="1" applyFont="1" applyFill="1" applyAlignment="1">
      <alignment vertical="center"/>
    </xf>
    <xf numFmtId="3" fontId="87" fillId="0" borderId="0" xfId="0" applyNumberFormat="1" applyFont="1" applyAlignment="1">
      <alignment vertical="center"/>
    </xf>
    <xf numFmtId="180" fontId="0" fillId="0" borderId="0" xfId="0" applyNumberFormat="1"/>
    <xf numFmtId="180" fontId="8" fillId="0" borderId="0" xfId="1" applyNumberFormat="1" applyFont="1" applyBorder="1" applyAlignment="1">
      <alignment vertical="center"/>
    </xf>
    <xf numFmtId="2" fontId="9" fillId="0" borderId="8" xfId="2115" applyNumberFormat="1" applyFont="1" applyBorder="1" applyAlignment="1">
      <alignment horizontal="center" vertical="center"/>
    </xf>
    <xf numFmtId="14" fontId="9" fillId="0" borderId="8" xfId="2115" applyNumberFormat="1" applyFont="1" applyBorder="1" applyAlignment="1">
      <alignment horizontal="center" vertical="center"/>
    </xf>
    <xf numFmtId="0" fontId="85" fillId="0" borderId="8" xfId="2115" applyFont="1" applyBorder="1" applyAlignment="1">
      <alignment horizontal="center" vertical="center" wrapText="1"/>
    </xf>
    <xf numFmtId="188" fontId="89" fillId="3" borderId="0" xfId="0" applyNumberFormat="1" applyFont="1" applyFill="1" applyAlignment="1">
      <alignment vertical="center"/>
    </xf>
    <xf numFmtId="0" fontId="85" fillId="0" borderId="8" xfId="2115" applyFont="1" applyBorder="1" applyAlignment="1">
      <alignment horizontal="left" vertical="center" wrapText="1"/>
    </xf>
  </cellXfs>
  <cellStyles count="2150">
    <cellStyle name="%" xfId="5" xr:uid="{00000000-0005-0000-0000-000000000000}"/>
    <cellStyle name="% 2" xfId="6" xr:uid="{00000000-0005-0000-0000-000001000000}"/>
    <cellStyle name="% 3" xfId="87" xr:uid="{00000000-0005-0000-0000-000002000000}"/>
    <cellStyle name="%_NRA_model_for_NEMO" xfId="88" xr:uid="{00000000-0005-0000-0000-000003000000}"/>
    <cellStyle name="%_NRA_model_for_NEMO_NRA_model_for_NEMO2 (EMC Update) v0 30 1" xfId="89" xr:uid="{00000000-0005-0000-0000-000004000000}"/>
    <cellStyle name="%_NRA_model_for_NEMO_NRA_model_for_NEMO2 (EMC Update) v0.29.3" xfId="90" xr:uid="{00000000-0005-0000-0000-000005000000}"/>
    <cellStyle name="%_NRA_model_for_NEMO_NRA_model_for_NEMO2 (EMC Update) v0.29.3_NRA_model_for_NEMO2 (EMC Update) v0 30 1" xfId="91" xr:uid="{00000000-0005-0000-0000-000006000000}"/>
    <cellStyle name="%_NRA_model_for_NEMO_NRA_model_for_NEMO2 (EMC Update) v0.29.3_NRA_model_for_NEMO2 (EMC Update) v0.29.5" xfId="92" xr:uid="{00000000-0005-0000-0000-000007000000}"/>
    <cellStyle name="%_NRA_model_for_NEMO_NRA_model_for_NEMO2 (EMC Update) v0.29.3_NRA_model_for_NEMO2 (EMC Update) v0.29.5_NRA_model_for_NEMO2 (EMC Update) v0 30 1" xfId="93" xr:uid="{00000000-0005-0000-0000-000008000000}"/>
    <cellStyle name="%_NRA_model_for_NEMO_NRA_model_for_NEMO2 (EMC Update) v0.29.4" xfId="94" xr:uid="{00000000-0005-0000-0000-000009000000}"/>
    <cellStyle name="%_NRA_model_for_NEMO_NRA_model_for_NEMO2 (EMC Update) v0.29.4_NRA_model_for_NEMO2 (EMC Update) v0 30 1" xfId="95" xr:uid="{00000000-0005-0000-0000-00000A000000}"/>
    <cellStyle name="%_NRA_model_for_NEMO_NRA_model_for_NEMO2 (EMC Update) v0.29.4_NRA_model_for_NEMO2 (EMC Update) v0.29.5" xfId="96" xr:uid="{00000000-0005-0000-0000-00000B000000}"/>
    <cellStyle name="%_NRA_model_for_NEMO_NRA_model_for_NEMO2 (EMC Update) v0.29.4_NRA_model_for_NEMO2 (EMC Update) v0.29.5_NRA_model_for_NEMO2 (EMC Update) v0 30 1" xfId="97" xr:uid="{00000000-0005-0000-0000-00000C000000}"/>
    <cellStyle name="%_NRA_model_for_NEMO_NRA_model_for_NEMO2 (EMC Update) v0.29.5" xfId="98" xr:uid="{00000000-0005-0000-0000-00000D000000}"/>
    <cellStyle name="%_NRA_model_for_NEMO_NRA_model_for_NEMO2 (EMC Update) v0.29.5_NRA_model_for_NEMO2 (EMC Update) v0 30 1" xfId="99" xr:uid="{00000000-0005-0000-0000-00000E000000}"/>
    <cellStyle name="%_NRA_model_for_NEMO2 " xfId="100" xr:uid="{00000000-0005-0000-0000-00000F000000}"/>
    <cellStyle name="%_NRA_model_for_NEMO2 (E" xfId="101" xr:uid="{00000000-0005-0000-0000-000010000000}"/>
    <cellStyle name="%_NRA_model_for_NEMO2 (E_NRA_model_for_NEMO2 (EMC Update) v0 30 1" xfId="102" xr:uid="{00000000-0005-0000-0000-000011000000}"/>
    <cellStyle name="%_NRA_model_for_NEMO2 (EMC" xfId="103" xr:uid="{00000000-0005-0000-0000-000012000000}"/>
    <cellStyle name="%_NRA_model_for_NEMO2 (EMC Update) v0 30 1" xfId="104" xr:uid="{00000000-0005-0000-0000-000013000000}"/>
    <cellStyle name="%_NRA_model_for_NEMO2 (EMC Update) v0.19" xfId="105" xr:uid="{00000000-0005-0000-0000-000014000000}"/>
    <cellStyle name="%_NRA_model_for_NEMO2 (EMC Update) v0.19_NRA_model_for_NEMO2 (EMC Update) v0 30 1" xfId="106" xr:uid="{00000000-0005-0000-0000-000015000000}"/>
    <cellStyle name="%_NRA_model_for_NEMO2 (EMC Update) v0.19_NRA_model_for_NEMO2 (EMC Update) v0.21" xfId="107" xr:uid="{00000000-0005-0000-0000-000016000000}"/>
    <cellStyle name="%_NRA_model_for_NEMO2 (EMC Update) v0.19_NRA_model_for_NEMO2 (EMC Update) v0.21_NRA_model_for_NEMO2 (EMC Update) v0 30 1" xfId="108" xr:uid="{00000000-0005-0000-0000-000017000000}"/>
    <cellStyle name="%_NRA_model_for_NEMO2 (EMC Update) v0.19_NRA_model_for_NEMO2 (EMC Update) v0.21_NRA_model_for_NEMO2 (EMC Update) v0.22" xfId="109" xr:uid="{00000000-0005-0000-0000-000018000000}"/>
    <cellStyle name="%_NRA_model_for_NEMO2 (EMC Update) v0.19_NRA_model_for_NEMO2 (EMC Update) v0.21_NRA_model_for_NEMO2 (EMC Update) v0.22_NRA_model_for_NEMO2 (EMC Update) v0 30 1" xfId="110" xr:uid="{00000000-0005-0000-0000-000019000000}"/>
    <cellStyle name="%_NRA_model_for_NEMO2 (EMC Update) v0.19_NRA_model_for_NEMO2 (EMC Update) v0.21_NRA_model_for_NEMO2 (EMC Update) v0.22_NRA_model_for_NEMO2 (EMC Update) v0.25" xfId="111" xr:uid="{00000000-0005-0000-0000-00001A000000}"/>
    <cellStyle name="%_NRA_model_for_NEMO2 (EMC Update) v0.19_NRA_model_for_NEMO2 (EMC Update) v0.21_NRA_model_for_NEMO2 (EMC Update) v0.22_NRA_model_for_NEMO2 (EMC Update) v0.25_NRA_model_for_NEMO2 (EMC Update) v0 30 1" xfId="112" xr:uid="{00000000-0005-0000-0000-00001B000000}"/>
    <cellStyle name="%_NRA_model_for_NEMO2 (EMC Update) v0.19_NRA_model_for_NEMO2 (EMC Update) v0.21_NRA_model_for_NEMO2 (EMC Update) v0.22_NRA_model_for_NEMO2 (EMC Update) v0.25_NRA_model_for_NEMO2 (EMC Update) v0.26" xfId="113" xr:uid="{00000000-0005-0000-0000-00001C000000}"/>
    <cellStyle name="%_NRA_model_for_NEMO2 (EMC Update) v0.19_NRA_model_for_NEMO2 (EMC Update) v0.21_NRA_model_for_NEMO2 (EMC Update) v0.22_NRA_model_for_NEMO2 (EMC Update) v0.25_NRA_model_for_NEMO2 (EMC Update) v0.26_NRA_model_for_NEMO2 (EMC Update) v0 30 1" xfId="114" xr:uid="{00000000-0005-0000-0000-00001D000000}"/>
    <cellStyle name="%_NRA_model_for_NEMO2 (EMC Update) v0.19_NRA_model_for_NEMO2 (EMC Update) v0.21_NRA_model_for_NEMO2 (EMC Update) v0.22_NRA_model_for_NEMO2 (EMC Update) v0.25_NRA_model_for_NEMO2 (EMC Update) v0.26_NRA_model_for_NEMO2 (EMC Update) v0.29" xfId="115" xr:uid="{00000000-0005-0000-0000-00001E000000}"/>
    <cellStyle name="%_NRA_model_for_NEMO2 (EMC Update) v0.19_NRA_model_for_NEMO2 (EMC Update) v0.21_NRA_model_for_NEMO2 (EMC Update) v0.22_NRA_model_for_NEMO2 (EMC Update) v0.25_NRA_model_for_NEMO2 (EMC Update) v0.26_NRA_model_for_NEMO2 (EMC Update) v0.29.2" xfId="116" xr:uid="{00000000-0005-0000-0000-00001F000000}"/>
    <cellStyle name="%_NRA_model_for_NEMO2 (EMC Update) v0.19_NRA_model_for_NEMO2 (EMC Update) v0.21_NRA_model_for_NEMO2 (EMC Update) v0.22_NRA_model_for_NEMO2 (EMC Update) v0.25_NRA_model_for_NEMO2 (EMC Update) v0.26_NRA_model_for_NEMO2 (EMC Update) v0.29.3" xfId="117" xr:uid="{00000000-0005-0000-0000-000020000000}"/>
    <cellStyle name="%_NRA_model_for_NEMO2 (EMC Update) v0.19_NRA_model_for_NEMO2 (EMC Update) v0.21_NRA_model_for_NEMO2 (EMC Update) v0.22_NRA_model_for_NEMO2 (EMC Update) v0.25_NRA_model_for_NEMO2 (EMC Update) v0.26_NRA_model_for_NEMO2 (EMC Update) v0.29.4" xfId="118" xr:uid="{00000000-0005-0000-0000-000021000000}"/>
    <cellStyle name="%_NRA_model_for_NEMO2 (EMC Update) v0.19_NRA_model_for_NEMO2 (EMC Update) v0.21_NRA_model_for_NEMO2 (EMC Update) v0.22_NRA_model_for_NEMO2 (EMC Update) v0.25_NRA_model_for_NEMO2 (EMC Update) v0.26_NRA_model_for_NEMO2 (EMC Update) v0.29.5" xfId="119" xr:uid="{00000000-0005-0000-0000-000022000000}"/>
    <cellStyle name="%_NRA_model_for_NEMO2 (EMC Update) v0.19_NRA_model_for_NEMO2 (EMC Update) v0.21_NRA_model_for_NEMO2 (EMC Update) v0.22_NRA_model_for_NEMO2 (EMC Update) v0.25_NRA_model_for_NEMO2 (EMC Update) v0.29" xfId="120" xr:uid="{00000000-0005-0000-0000-000023000000}"/>
    <cellStyle name="%_NRA_model_for_NEMO2 (EMC Update) v0.19_NRA_model_for_NEMO2 (EMC Update) v0.21_NRA_model_for_NEMO2 (EMC Update) v0.22_NRA_model_for_NEMO2 (EMC Update) v0.25_NRA_model_for_NEMO2 (EMC Update) v0.29.2" xfId="121" xr:uid="{00000000-0005-0000-0000-000024000000}"/>
    <cellStyle name="%_NRA_model_for_NEMO2 (EMC Update) v0.19_NRA_model_for_NEMO2 (EMC Update) v0.21_NRA_model_for_NEMO2 (EMC Update) v0.22_NRA_model_for_NEMO2 (EMC Update) v0.25_NRA_model_for_NEMO2 (EMC Update) v0.29.2_NRA_model_for_NEMO2 (EMC Update) v0 30 1" xfId="122" xr:uid="{00000000-0005-0000-0000-000025000000}"/>
    <cellStyle name="%_NRA_model_for_NEMO2 (EMC Update) v0.19_NRA_model_for_NEMO2 (EMC Update) v0.21_NRA_model_for_NEMO2 (EMC Update) v0.22_NRA_model_for_NEMO2 (EMC Update) v0.25_NRA_model_for_NEMO2 (EMC Update) v0.29.2_NRA_model_for_NEMO2 (EMC Update) v0.29.3" xfId="123" xr:uid="{00000000-0005-0000-0000-000026000000}"/>
    <cellStyle name="%_NRA_model_for_NEMO2 (EMC Update) v0.19_NRA_model_for_NEMO2 (EMC Update) v0.21_NRA_model_for_NEMO2 (EMC Update) v0.22_NRA_model_for_NEMO2 (EMC Update) v0.25_NRA_model_for_NEMO2 (EMC Update) v0.29.2_NRA_model_for_NEMO2 (EMC Update) v0.29.4" xfId="124" xr:uid="{00000000-0005-0000-0000-000027000000}"/>
    <cellStyle name="%_NRA_model_for_NEMO2 (EMC Update) v0.19_NRA_model_for_NEMO2 (EMC Update) v0.21_NRA_model_for_NEMO2 (EMC Update) v0.22_NRA_model_for_NEMO2 (EMC Update) v0.25_NRA_model_for_NEMO2 (EMC Update) v0.29.2_NRA_model_for_NEMO2 (EMC Update) v0.29.5" xfId="125" xr:uid="{00000000-0005-0000-0000-000028000000}"/>
    <cellStyle name="%_NRA_model_for_NEMO2 (EMC Update) v0.19_NRA_model_for_NEMO2 (EMC Update) v0.21_NRA_model_for_NEMO2 (EMC Update) v0.22_NRA_model_for_NEMO2 (EMC Update) v0.25_NRA_model_for_NEMO2 (EMC Update) v0.29.3" xfId="126" xr:uid="{00000000-0005-0000-0000-000029000000}"/>
    <cellStyle name="%_NRA_model_for_NEMO2 (EMC Update) v0.19_NRA_model_for_NEMO2 (EMC Update) v0.21_NRA_model_for_NEMO2 (EMC Update) v0.22_NRA_model_for_NEMO2 (EMC Update) v0.25_NRA_model_for_NEMO2 (EMC Update) v0.29.3_NRA_model_for_NEMO2 (EMC Update) v0 30 1" xfId="127" xr:uid="{00000000-0005-0000-0000-00002A000000}"/>
    <cellStyle name="%_NRA_model_for_NEMO2 (EMC Update) v0.19_NRA_model_for_NEMO2 (EMC Update) v0.21_NRA_model_for_NEMO2 (EMC Update) v0.22_NRA_model_for_NEMO2 (EMC Update) v0.25_NRA_model_for_NEMO2 (EMC Update) v0.29.3_NRA_model_for_NEMO2 (EMC Update) v0.29.5" xfId="128" xr:uid="{00000000-0005-0000-0000-00002B000000}"/>
    <cellStyle name="%_NRA_model_for_NEMO2 (EMC Update) v0.19_NRA_model_for_NEMO2 (EMC Update) v0.21_NRA_model_for_NEMO2 (EMC Update) v0.22_NRA_model_for_NEMO2 (EMC Update) v0.25_NRA_model_for_NEMO2 (EMC Update) v0.29.4" xfId="129" xr:uid="{00000000-0005-0000-0000-00002C000000}"/>
    <cellStyle name="%_NRA_model_for_NEMO2 (EMC Update) v0.19_NRA_model_for_NEMO2 (EMC Update) v0.21_NRA_model_for_NEMO2 (EMC Update) v0.22_NRA_model_for_NEMO2 (EMC Update) v0.25_NRA_model_for_NEMO2 (EMC Update) v0.29.4_NRA_model_for_NEMO2 (EMC Update) v0 30 1" xfId="130" xr:uid="{00000000-0005-0000-0000-00002D000000}"/>
    <cellStyle name="%_NRA_model_for_NEMO2 (EMC Update) v0.19_NRA_model_for_NEMO2 (EMC Update) v0.21_NRA_model_for_NEMO2 (EMC Update) v0.22_NRA_model_for_NEMO2 (EMC Update) v0.25_NRA_model_for_NEMO2 (EMC Update) v0.29.4_NRA_model_for_NEMO2 (EMC Update) v0.29.5" xfId="131" xr:uid="{00000000-0005-0000-0000-00002E000000}"/>
    <cellStyle name="%_NRA_model_for_NEMO2 (EMC Update) v0.19_NRA_model_for_NEMO2 (EMC Update) v0.21_NRA_model_for_NEMO2 (EMC Update) v0.22_NRA_model_for_NEMO2 (EMC Update) v0.25_NRA_model_for_NEMO2 (EMC Update) v0.29.5" xfId="132" xr:uid="{00000000-0005-0000-0000-00002F000000}"/>
    <cellStyle name="%_NRA_model_for_NEMO2 (EMC Update) v0.19_NRA_model_for_NEMO2 (EMC Update) v0.21_NRA_model_for_NEMO2 (EMC Update) v0.22_NRA_model_for_NEMO2 (EMC Update) v0.25_NRA_model_for_NEMO2 (EMC Update) v0.29.5_NRA_model_for_NEMO2 (EMC Update) v0 30 1" xfId="133" xr:uid="{00000000-0005-0000-0000-000030000000}"/>
    <cellStyle name="%_NRA_model_for_NEMO2 (EMC Update) v0.19_NRA_model_for_NEMO2 (EMC Update) v0.21_NRA_model_for_NEMO2 (EMC Update) v0.22_NRA_model_for_NEMO2 (EMC Update) v0.25_NRA_model_for_NEMO2 (EMC Update) v0.29_NRA_model_for_NEMO2 (EMC Update) v0 30 1" xfId="134" xr:uid="{00000000-0005-0000-0000-000031000000}"/>
    <cellStyle name="%_NRA_model_for_NEMO2 (EMC Update) v0.19_NRA_model_for_NEMO2 (EMC Update) v0.21_NRA_model_for_NEMO2 (EMC Update) v0.22_NRA_model_for_NEMO2 (EMC Update) v0.25_NRA_model_for_NEMO2 (EMC Update) v0.29_NRA_model_for_NEMO2 (EMC Update) v0.29.2" xfId="135" xr:uid="{00000000-0005-0000-0000-000032000000}"/>
    <cellStyle name="%_NRA_model_for_NEMO2 (EMC Update) v0.19_NRA_model_for_NEMO2 (EMC Update) v0.21_NRA_model_for_NEMO2 (EMC Update) v0.22_NRA_model_for_NEMO2 (EMC Update) v0.25_NRA_model_for_NEMO2 (EMC Update) v0.29_NRA_model_for_NEMO2 (EMC Update) v0.29.3" xfId="136" xr:uid="{00000000-0005-0000-0000-000033000000}"/>
    <cellStyle name="%_NRA_model_for_NEMO2 (EMC Update) v0.19_NRA_model_for_NEMO2 (EMC Update) v0.21_NRA_model_for_NEMO2 (EMC Update) v0.22_NRA_model_for_NEMO2 (EMC Update) v0.25_NRA_model_for_NEMO2 (EMC Update) v0.29_NRA_model_for_NEMO2 (EMC Update) v0.29.4" xfId="137" xr:uid="{00000000-0005-0000-0000-000034000000}"/>
    <cellStyle name="%_NRA_model_for_NEMO2 (EMC Update) v0.19_NRA_model_for_NEMO2 (EMC Update) v0.21_NRA_model_for_NEMO2 (EMC Update) v0.22_NRA_model_for_NEMO2 (EMC Update) v0.25_NRA_model_for_NEMO2 (EMC Update) v0.29_NRA_model_for_NEMO2 (EMC Update) v0.29.5" xfId="138" xr:uid="{00000000-0005-0000-0000-000035000000}"/>
    <cellStyle name="%_NRA_model_for_NEMO2 (EMC Update) v0.19_NRA_model_for_NEMO2 (EMC Update) v0.21_NRA_model_for_NEMO2 (EMC Update) v0.22_NRA_model_for_NEMO2 (EMC Update) v0.26" xfId="139" xr:uid="{00000000-0005-0000-0000-000036000000}"/>
    <cellStyle name="%_NRA_model_for_NEMO2 (EMC Update) v0.19_NRA_model_for_NEMO2 (EMC Update) v0.21_NRA_model_for_NEMO2 (EMC Update) v0.22_NRA_model_for_NEMO2 (EMC Update) v0.26_NRA_model_for_NEMO2 (EMC Update) v0 30 1" xfId="140" xr:uid="{00000000-0005-0000-0000-000037000000}"/>
    <cellStyle name="%_NRA_model_for_NEMO2 (EMC Update) v0.19_NRA_model_for_NEMO2 (EMC Update) v0.21_NRA_model_for_NEMO2 (EMC Update) v0.22_NRA_model_for_NEMO2 (EMC Update) v0.26_NRA_model_for_NEMO2 (EMC Update) v0.29" xfId="141" xr:uid="{00000000-0005-0000-0000-000038000000}"/>
    <cellStyle name="%_NRA_model_for_NEMO2 (EMC Update) v0.19_NRA_model_for_NEMO2 (EMC Update) v0.21_NRA_model_for_NEMO2 (EMC Update) v0.22_NRA_model_for_NEMO2 (EMC Update) v0.26_NRA_model_for_NEMO2 (EMC Update) v0.29.2" xfId="142" xr:uid="{00000000-0005-0000-0000-000039000000}"/>
    <cellStyle name="%_NRA_model_for_NEMO2 (EMC Update) v0.19_NRA_model_for_NEMO2 (EMC Update) v0.21_NRA_model_for_NEMO2 (EMC Update) v0.22_NRA_model_for_NEMO2 (EMC Update) v0.26_NRA_model_for_NEMO2 (EMC Update) v0.29.2_NRA_model_for_NEMO2 (EMC Update) v0 30 1" xfId="143" xr:uid="{00000000-0005-0000-0000-00003A000000}"/>
    <cellStyle name="%_NRA_model_for_NEMO2 (EMC Update) v0.19_NRA_model_for_NEMO2 (EMC Update) v0.21_NRA_model_for_NEMO2 (EMC Update) v0.22_NRA_model_for_NEMO2 (EMC Update) v0.26_NRA_model_for_NEMO2 (EMC Update) v0.29.2_NRA_model_for_NEMO2 (EMC Update) v0.29.3" xfId="144" xr:uid="{00000000-0005-0000-0000-00003B000000}"/>
    <cellStyle name="%_NRA_model_for_NEMO2 (EMC Update) v0.19_NRA_model_for_NEMO2 (EMC Update) v0.21_NRA_model_for_NEMO2 (EMC Update) v0.22_NRA_model_for_NEMO2 (EMC Update) v0.26_NRA_model_for_NEMO2 (EMC Update) v0.29.2_NRA_model_for_NEMO2 (EMC Update) v0.29.4" xfId="145" xr:uid="{00000000-0005-0000-0000-00003C000000}"/>
    <cellStyle name="%_NRA_model_for_NEMO2 (EMC Update) v0.19_NRA_model_for_NEMO2 (EMC Update) v0.21_NRA_model_for_NEMO2 (EMC Update) v0.22_NRA_model_for_NEMO2 (EMC Update) v0.26_NRA_model_for_NEMO2 (EMC Update) v0.29.2_NRA_model_for_NEMO2 (EMC Update) v0.29.5" xfId="146" xr:uid="{00000000-0005-0000-0000-00003D000000}"/>
    <cellStyle name="%_NRA_model_for_NEMO2 (EMC Update) v0.19_NRA_model_for_NEMO2 (EMC Update) v0.21_NRA_model_for_NEMO2 (EMC Update) v0.22_NRA_model_for_NEMO2 (EMC Update) v0.26_NRA_model_for_NEMO2 (EMC Update) v0.29.3" xfId="147" xr:uid="{00000000-0005-0000-0000-00003E000000}"/>
    <cellStyle name="%_NRA_model_for_NEMO2 (EMC Update) v0.19_NRA_model_for_NEMO2 (EMC Update) v0.21_NRA_model_for_NEMO2 (EMC Update) v0.22_NRA_model_for_NEMO2 (EMC Update) v0.26_NRA_model_for_NEMO2 (EMC Update) v0.29.3_NRA_model_for_NEMO2 (EMC Update) v0 30 1" xfId="148" xr:uid="{00000000-0005-0000-0000-00003F000000}"/>
    <cellStyle name="%_NRA_model_for_NEMO2 (EMC Update) v0.19_NRA_model_for_NEMO2 (EMC Update) v0.21_NRA_model_for_NEMO2 (EMC Update) v0.22_NRA_model_for_NEMO2 (EMC Update) v0.26_NRA_model_for_NEMO2 (EMC Update) v0.29.3_NRA_model_for_NEMO2 (EMC Update) v0.29.5" xfId="149" xr:uid="{00000000-0005-0000-0000-000040000000}"/>
    <cellStyle name="%_NRA_model_for_NEMO2 (EMC Update) v0.19_NRA_model_for_NEMO2 (EMC Update) v0.21_NRA_model_for_NEMO2 (EMC Update) v0.22_NRA_model_for_NEMO2 (EMC Update) v0.26_NRA_model_for_NEMO2 (EMC Update) v0.29.4" xfId="150" xr:uid="{00000000-0005-0000-0000-000041000000}"/>
    <cellStyle name="%_NRA_model_for_NEMO2 (EMC Update) v0.19_NRA_model_for_NEMO2 (EMC Update) v0.21_NRA_model_for_NEMO2 (EMC Update) v0.22_NRA_model_for_NEMO2 (EMC Update) v0.26_NRA_model_for_NEMO2 (EMC Update) v0.29.4_NRA_model_for_NEMO2 (EMC Update) v0 30 1" xfId="151" xr:uid="{00000000-0005-0000-0000-000042000000}"/>
    <cellStyle name="%_NRA_model_for_NEMO2 (EMC Update) v0.19_NRA_model_for_NEMO2 (EMC Update) v0.21_NRA_model_for_NEMO2 (EMC Update) v0.22_NRA_model_for_NEMO2 (EMC Update) v0.26_NRA_model_for_NEMO2 (EMC Update) v0.29.4_NRA_model_for_NEMO2 (EMC Update) v0.29.5" xfId="152" xr:uid="{00000000-0005-0000-0000-000043000000}"/>
    <cellStyle name="%_NRA_model_for_NEMO2 (EMC Update) v0.19_NRA_model_for_NEMO2 (EMC Update) v0.21_NRA_model_for_NEMO2 (EMC Update) v0.22_NRA_model_for_NEMO2 (EMC Update) v0.26_NRA_model_for_NEMO2 (EMC Update) v0.29.5" xfId="153" xr:uid="{00000000-0005-0000-0000-000044000000}"/>
    <cellStyle name="%_NRA_model_for_NEMO2 (EMC Update) v0.19_NRA_model_for_NEMO2 (EMC Update) v0.21_NRA_model_for_NEMO2 (EMC Update) v0.22_NRA_model_for_NEMO2 (EMC Update) v0.26_NRA_model_for_NEMO2 (EMC Update) v0.29.5_NRA_model_for_NEMO2 (EMC Update) v0 30 1" xfId="154" xr:uid="{00000000-0005-0000-0000-000045000000}"/>
    <cellStyle name="%_NRA_model_for_NEMO2 (EMC Update) v0.19_NRA_model_for_NEMO2 (EMC Update) v0.21_NRA_model_for_NEMO2 (EMC Update) v0.22_NRA_model_for_NEMO2 (EMC Update) v0.26_NRA_model_for_NEMO2 (EMC Update) v0.29_NRA_model_for_NEMO2 (EMC Update) v0 30 1" xfId="155" xr:uid="{00000000-0005-0000-0000-000046000000}"/>
    <cellStyle name="%_NRA_model_for_NEMO2 (EMC Update) v0.19_NRA_model_for_NEMO2 (EMC Update) v0.21_NRA_model_for_NEMO2 (EMC Update) v0.22_NRA_model_for_NEMO2 (EMC Update) v0.26_NRA_model_for_NEMO2 (EMC Update) v0.29_NRA_model_for_NEMO2 (EMC Update) v0.29.2" xfId="156" xr:uid="{00000000-0005-0000-0000-000047000000}"/>
    <cellStyle name="%_NRA_model_for_NEMO2 (EMC Update) v0.19_NRA_model_for_NEMO2 (EMC Update) v0.21_NRA_model_for_NEMO2 (EMC Update) v0.22_NRA_model_for_NEMO2 (EMC Update) v0.26_NRA_model_for_NEMO2 (EMC Update) v0.29_NRA_model_for_NEMO2 (EMC Update) v0.29.3" xfId="157" xr:uid="{00000000-0005-0000-0000-000048000000}"/>
    <cellStyle name="%_NRA_model_for_NEMO2 (EMC Update) v0.19_NRA_model_for_NEMO2 (EMC Update) v0.21_NRA_model_for_NEMO2 (EMC Update) v0.22_NRA_model_for_NEMO2 (EMC Update) v0.26_NRA_model_for_NEMO2 (EMC Update) v0.29_NRA_model_for_NEMO2 (EMC Update) v0.29.4" xfId="158" xr:uid="{00000000-0005-0000-0000-000049000000}"/>
    <cellStyle name="%_NRA_model_for_NEMO2 (EMC Update) v0.19_NRA_model_for_NEMO2 (EMC Update) v0.21_NRA_model_for_NEMO2 (EMC Update) v0.22_NRA_model_for_NEMO2 (EMC Update) v0.26_NRA_model_for_NEMO2 (EMC Update) v0.29_NRA_model_for_NEMO2 (EMC Update) v0.29.5" xfId="159" xr:uid="{00000000-0005-0000-0000-00004A000000}"/>
    <cellStyle name="%_NRA_model_for_NEMO2 (EMC Update) v0.19_NRA_model_for_NEMO2 (EMC Update) v0.21_NRA_model_for_NEMO2 (EMC Update) v0.22_NRA_model_for_NEMO2 (EMC Update) v0.29" xfId="160" xr:uid="{00000000-0005-0000-0000-00004B000000}"/>
    <cellStyle name="%_NRA_model_for_NEMO2 (EMC Update) v0.19_NRA_model_for_NEMO2 (EMC Update) v0.21_NRA_model_for_NEMO2 (EMC Update) v0.22_NRA_model_for_NEMO2 (EMC Update) v0.29.2" xfId="161" xr:uid="{00000000-0005-0000-0000-00004C000000}"/>
    <cellStyle name="%_NRA_model_for_NEMO2 (EMC Update) v0.19_NRA_model_for_NEMO2 (EMC Update) v0.21_NRA_model_for_NEMO2 (EMC Update) v0.22_NRA_model_for_NEMO2 (EMC Update) v0.29.2_NRA_model_for_NEMO2 (EMC Update) v0 30 1" xfId="162" xr:uid="{00000000-0005-0000-0000-00004D000000}"/>
    <cellStyle name="%_NRA_model_for_NEMO2 (EMC Update) v0.19_NRA_model_for_NEMO2 (EMC Update) v0.21_NRA_model_for_NEMO2 (EMC Update) v0.22_NRA_model_for_NEMO2 (EMC Update) v0.29.2_NRA_model_for_NEMO2 (EMC Update) v0.29.3" xfId="163" xr:uid="{00000000-0005-0000-0000-00004E000000}"/>
    <cellStyle name="%_NRA_model_for_NEMO2 (EMC Update) v0.19_NRA_model_for_NEMO2 (EMC Update) v0.21_NRA_model_for_NEMO2 (EMC Update) v0.22_NRA_model_for_NEMO2 (EMC Update) v0.29.2_NRA_model_for_NEMO2 (EMC Update) v0.29.3_NRA_model_for_NEMO2 (EMC Update) v0 30 1" xfId="164" xr:uid="{00000000-0005-0000-0000-00004F000000}"/>
    <cellStyle name="%_NRA_model_for_NEMO2 (EMC Update) v0.19_NRA_model_for_NEMO2 (EMC Update) v0.21_NRA_model_for_NEMO2 (EMC Update) v0.22_NRA_model_for_NEMO2 (EMC Update) v0.29.2_NRA_model_for_NEMO2 (EMC Update) v0.29.3_NRA_model_for_NEMO2 (EMC Update) v0.29.5" xfId="165" xr:uid="{00000000-0005-0000-0000-000050000000}"/>
    <cellStyle name="%_NRA_model_for_NEMO2 (EMC Update) v0.19_NRA_model_for_NEMO2 (EMC Update) v0.21_NRA_model_for_NEMO2 (EMC Update) v0.22_NRA_model_for_NEMO2 (EMC Update) v0.29.2_NRA_model_for_NEMO2 (EMC Update) v0.29.4" xfId="166" xr:uid="{00000000-0005-0000-0000-000051000000}"/>
    <cellStyle name="%_NRA_model_for_NEMO2 (EMC Update) v0.19_NRA_model_for_NEMO2 (EMC Update) v0.21_NRA_model_for_NEMO2 (EMC Update) v0.22_NRA_model_for_NEMO2 (EMC Update) v0.29.2_NRA_model_for_NEMO2 (EMC Update) v0.29.4_NRA_model_for_NEMO2 (EMC Update) v0 30 1" xfId="167" xr:uid="{00000000-0005-0000-0000-000052000000}"/>
    <cellStyle name="%_NRA_model_for_NEMO2 (EMC Update) v0.19_NRA_model_for_NEMO2 (EMC Update) v0.21_NRA_model_for_NEMO2 (EMC Update) v0.22_NRA_model_for_NEMO2 (EMC Update) v0.29.2_NRA_model_for_NEMO2 (EMC Update) v0.29.4_NRA_model_for_NEMO2 (EMC Update) v0.29.5" xfId="168" xr:uid="{00000000-0005-0000-0000-000053000000}"/>
    <cellStyle name="%_NRA_model_for_NEMO2 (EMC Update) v0.19_NRA_model_for_NEMO2 (EMC Update) v0.21_NRA_model_for_NEMO2 (EMC Update) v0.22_NRA_model_for_NEMO2 (EMC Update) v0.29.2_NRA_model_for_NEMO2 (EMC Update) v0.29.5" xfId="169" xr:uid="{00000000-0005-0000-0000-000054000000}"/>
    <cellStyle name="%_NRA_model_for_NEMO2 (EMC Update) v0.19_NRA_model_for_NEMO2 (EMC Update) v0.21_NRA_model_for_NEMO2 (EMC Update) v0.22_NRA_model_for_NEMO2 (EMC Update) v0.29.2_NRA_model_for_NEMO2 (EMC Update) v0.29.5_NRA_model_for_NEMO2 (EMC Update) v0 30 1" xfId="170" xr:uid="{00000000-0005-0000-0000-000055000000}"/>
    <cellStyle name="%_NRA_model_for_NEMO2 (EMC Update) v0.19_NRA_model_for_NEMO2 (EMC Update) v0.21_NRA_model_for_NEMO2 (EMC Update) v0.22_NRA_model_for_NEMO2 (EMC Update) v0.29.3" xfId="171" xr:uid="{00000000-0005-0000-0000-000056000000}"/>
    <cellStyle name="%_NRA_model_for_NEMO2 (EMC Update) v0.19_NRA_model_for_NEMO2 (EMC Update) v0.21_NRA_model_for_NEMO2 (EMC Update) v0.22_NRA_model_for_NEMO2 (EMC Update) v0.29.3_NRA_model_for_NEMO2 (EMC Update) v0 30 1" xfId="172" xr:uid="{00000000-0005-0000-0000-000057000000}"/>
    <cellStyle name="%_NRA_model_for_NEMO2 (EMC Update) v0.19_NRA_model_for_NEMO2 (EMC Update) v0.21_NRA_model_for_NEMO2 (EMC Update) v0.22_NRA_model_for_NEMO2 (EMC Update) v0.29.3_NRA_model_for_NEMO2 (EMC Update) v0.29.5" xfId="173" xr:uid="{00000000-0005-0000-0000-000058000000}"/>
    <cellStyle name="%_NRA_model_for_NEMO2 (EMC Update) v0.19_NRA_model_for_NEMO2 (EMC Update) v0.21_NRA_model_for_NEMO2 (EMC Update) v0.22_NRA_model_for_NEMO2 (EMC Update) v0.29.3_NRA_model_for_NEMO2 (EMC Update) v0.29.5_NRA_model_for_NEMO2 (EMC Update) v0 30 1" xfId="174" xr:uid="{00000000-0005-0000-0000-000059000000}"/>
    <cellStyle name="%_NRA_model_for_NEMO2 (EMC Update) v0.19_NRA_model_for_NEMO2 (EMC Update) v0.21_NRA_model_for_NEMO2 (EMC Update) v0.22_NRA_model_for_NEMO2 (EMC Update) v0.29.4" xfId="175" xr:uid="{00000000-0005-0000-0000-00005A000000}"/>
    <cellStyle name="%_NRA_model_for_NEMO2 (EMC Update) v0.19_NRA_model_for_NEMO2 (EMC Update) v0.21_NRA_model_for_NEMO2 (EMC Update) v0.22_NRA_model_for_NEMO2 (EMC Update) v0.29.4_NRA_model_for_NEMO2 (EMC Update) v0 30 1" xfId="176" xr:uid="{00000000-0005-0000-0000-00005B000000}"/>
    <cellStyle name="%_NRA_model_for_NEMO2 (EMC Update) v0.19_NRA_model_for_NEMO2 (EMC Update) v0.21_NRA_model_for_NEMO2 (EMC Update) v0.22_NRA_model_for_NEMO2 (EMC Update) v0.29.4_NRA_model_for_NEMO2 (EMC Update) v0.29.5" xfId="177" xr:uid="{00000000-0005-0000-0000-00005C000000}"/>
    <cellStyle name="%_NRA_model_for_NEMO2 (EMC Update) v0.19_NRA_model_for_NEMO2 (EMC Update) v0.21_NRA_model_for_NEMO2 (EMC Update) v0.22_NRA_model_for_NEMO2 (EMC Update) v0.29.4_NRA_model_for_NEMO2 (EMC Update) v0.29.5_NRA_model_for_NEMO2 (EMC Update) v0 30 1" xfId="178" xr:uid="{00000000-0005-0000-0000-00005D000000}"/>
    <cellStyle name="%_NRA_model_for_NEMO2 (EMC Update) v0.19_NRA_model_for_NEMO2 (EMC Update) v0.21_NRA_model_for_NEMO2 (EMC Update) v0.22_NRA_model_for_NEMO2 (EMC Update) v0.29.5" xfId="179" xr:uid="{00000000-0005-0000-0000-00005E000000}"/>
    <cellStyle name="%_NRA_model_for_NEMO2 (EMC Update) v0.19_NRA_model_for_NEMO2 (EMC Update) v0.21_NRA_model_for_NEMO2 (EMC Update) v0.22_NRA_model_for_NEMO2 (EMC Update) v0.29.5_NRA_model_for_NEMO2 (EMC Update) v0 30 1" xfId="180" xr:uid="{00000000-0005-0000-0000-00005F000000}"/>
    <cellStyle name="%_NRA_model_for_NEMO2 (EMC Update) v0.19_NRA_model_for_NEMO2 (EMC Update) v0.21_NRA_model_for_NEMO2 (EMC Update) v0.22_NRA_model_for_NEMO2 (EMC Update) v0.29_NRA_model_for_NEMO2 (EMC Update) v0 30 1" xfId="181" xr:uid="{00000000-0005-0000-0000-000060000000}"/>
    <cellStyle name="%_NRA_model_for_NEMO2 (EMC Update) v0.19_NRA_model_for_NEMO2 (EMC Update) v0.21_NRA_model_for_NEMO2 (EMC Update) v0.22_NRA_model_for_NEMO2 (EMC Update) v0.29_NRA_model_for_NEMO2 (EMC Update) v0.29.2" xfId="182" xr:uid="{00000000-0005-0000-0000-000061000000}"/>
    <cellStyle name="%_NRA_model_for_NEMO2 (EMC Update) v0.19_NRA_model_for_NEMO2 (EMC Update) v0.21_NRA_model_for_NEMO2 (EMC Update) v0.22_NRA_model_for_NEMO2 (EMC Update) v0.29_NRA_model_for_NEMO2 (EMC Update) v0.29.2_NRA_model_for_NEMO2 (EMC Update) v0 30 1" xfId="183" xr:uid="{00000000-0005-0000-0000-000062000000}"/>
    <cellStyle name="%_NRA_model_for_NEMO2 (EMC Update) v0.19_NRA_model_for_NEMO2 (EMC Update) v0.21_NRA_model_for_NEMO2 (EMC Update) v0.22_NRA_model_for_NEMO2 (EMC Update) v0.29_NRA_model_for_NEMO2 (EMC Update) v0.29.2_NRA_model_for_NEMO2 (EMC Update) v0.29.3" xfId="184" xr:uid="{00000000-0005-0000-0000-000063000000}"/>
    <cellStyle name="%_NRA_model_for_NEMO2 (EMC Update) v0.19_NRA_model_for_NEMO2 (EMC Update) v0.21_NRA_model_for_NEMO2 (EMC Update) v0.22_NRA_model_for_NEMO2 (EMC Update) v0.29_NRA_model_for_NEMO2 (EMC Update) v0.29.2_NRA_model_for_NEMO2 (EMC Update) v0.29.4" xfId="185" xr:uid="{00000000-0005-0000-0000-000064000000}"/>
    <cellStyle name="%_NRA_model_for_NEMO2 (EMC Update) v0.19_NRA_model_for_NEMO2 (EMC Update) v0.21_NRA_model_for_NEMO2 (EMC Update) v0.22_NRA_model_for_NEMO2 (EMC Update) v0.29_NRA_model_for_NEMO2 (EMC Update) v0.29.2_NRA_model_for_NEMO2 (EMC Update) v0.29.5" xfId="186" xr:uid="{00000000-0005-0000-0000-000065000000}"/>
    <cellStyle name="%_NRA_model_for_NEMO2 (EMC Update) v0.19_NRA_model_for_NEMO2 (EMC Update) v0.21_NRA_model_for_NEMO2 (EMC Update) v0.22_NRA_model_for_NEMO2 (EMC Update) v0.29_NRA_model_for_NEMO2 (EMC Update) v0.29.3" xfId="187" xr:uid="{00000000-0005-0000-0000-000066000000}"/>
    <cellStyle name="%_NRA_model_for_NEMO2 (EMC Update) v0.19_NRA_model_for_NEMO2 (EMC Update) v0.21_NRA_model_for_NEMO2 (EMC Update) v0.22_NRA_model_for_NEMO2 (EMC Update) v0.29_NRA_model_for_NEMO2 (EMC Update) v0.29.3_NRA_model_for_NEMO2 (EMC Update) v0 30 1" xfId="188" xr:uid="{00000000-0005-0000-0000-000067000000}"/>
    <cellStyle name="%_NRA_model_for_NEMO2 (EMC Update) v0.19_NRA_model_for_NEMO2 (EMC Update) v0.21_NRA_model_for_NEMO2 (EMC Update) v0.22_NRA_model_for_NEMO2 (EMC Update) v0.29_NRA_model_for_NEMO2 (EMC Update) v0.29.3_NRA_model_for_NEMO2 (EMC Update) v0.29.5" xfId="189" xr:uid="{00000000-0005-0000-0000-000068000000}"/>
    <cellStyle name="%_NRA_model_for_NEMO2 (EMC Update) v0.19_NRA_model_for_NEMO2 (EMC Update) v0.21_NRA_model_for_NEMO2 (EMC Update) v0.22_NRA_model_for_NEMO2 (EMC Update) v0.29_NRA_model_for_NEMO2 (EMC Update) v0.29.4" xfId="190" xr:uid="{00000000-0005-0000-0000-000069000000}"/>
    <cellStyle name="%_NRA_model_for_NEMO2 (EMC Update) v0.19_NRA_model_for_NEMO2 (EMC Update) v0.21_NRA_model_for_NEMO2 (EMC Update) v0.22_NRA_model_for_NEMO2 (EMC Update) v0.29_NRA_model_for_NEMO2 (EMC Update) v0.29.4_NRA_model_for_NEMO2 (EMC Update) v0 30 1" xfId="191" xr:uid="{00000000-0005-0000-0000-00006A000000}"/>
    <cellStyle name="%_NRA_model_for_NEMO2 (EMC Update) v0.19_NRA_model_for_NEMO2 (EMC Update) v0.21_NRA_model_for_NEMO2 (EMC Update) v0.22_NRA_model_for_NEMO2 (EMC Update) v0.29_NRA_model_for_NEMO2 (EMC Update) v0.29.4_NRA_model_for_NEMO2 (EMC Update) v0.29.5" xfId="192" xr:uid="{00000000-0005-0000-0000-00006B000000}"/>
    <cellStyle name="%_NRA_model_for_NEMO2 (EMC Update) v0.19_NRA_model_for_NEMO2 (EMC Update) v0.21_NRA_model_for_NEMO2 (EMC Update) v0.22_NRA_model_for_NEMO2 (EMC Update) v0.29_NRA_model_for_NEMO2 (EMC Update) v0.29.5" xfId="193" xr:uid="{00000000-0005-0000-0000-00006C000000}"/>
    <cellStyle name="%_NRA_model_for_NEMO2 (EMC Update) v0.19_NRA_model_for_NEMO2 (EMC Update) v0.21_NRA_model_for_NEMO2 (EMC Update) v0.22_NRA_model_for_NEMO2 (EMC Update) v0.29_NRA_model_for_NEMO2 (EMC Update) v0.29.5_NRA_model_for_NEMO2 (EMC Update) v0 30 1" xfId="194" xr:uid="{00000000-0005-0000-0000-00006D000000}"/>
    <cellStyle name="%_NRA_model_for_NEMO2 (EMC Update) v0.19_NRA_model_for_NEMO2 (EMC Update) v0.21_NRA_model_for_NEMO2 (EMC Update) v0.25" xfId="195" xr:uid="{00000000-0005-0000-0000-00006E000000}"/>
    <cellStyle name="%_NRA_model_for_NEMO2 (EMC Update) v0.19_NRA_model_for_NEMO2 (EMC Update) v0.21_NRA_model_for_NEMO2 (EMC Update) v0.25_NRA_model_for_NEMO2 (EMC Update) v0 30 1" xfId="196" xr:uid="{00000000-0005-0000-0000-00006F000000}"/>
    <cellStyle name="%_NRA_model_for_NEMO2 (EMC Update) v0.19_NRA_model_for_NEMO2 (EMC Update) v0.21_NRA_model_for_NEMO2 (EMC Update) v0.25_NRA_model_for_NEMO2 (EMC Update) v0.26" xfId="197" xr:uid="{00000000-0005-0000-0000-000070000000}"/>
    <cellStyle name="%_NRA_model_for_NEMO2 (EMC Update) v0.19_NRA_model_for_NEMO2 (EMC Update) v0.21_NRA_model_for_NEMO2 (EMC Update) v0.25_NRA_model_for_NEMO2 (EMC Update) v0.26_NRA_model_for_NEMO2 (EMC Update) v0 30 1" xfId="198" xr:uid="{00000000-0005-0000-0000-000071000000}"/>
    <cellStyle name="%_NRA_model_for_NEMO2 (EMC Update) v0.19_NRA_model_for_NEMO2 (EMC Update) v0.21_NRA_model_for_NEMO2 (EMC Update) v0.25_NRA_model_for_NEMO2 (EMC Update) v0.26_NRA_model_for_NEMO2 (EMC Update) v0.29" xfId="199" xr:uid="{00000000-0005-0000-0000-000072000000}"/>
    <cellStyle name="%_NRA_model_for_NEMO2 (EMC Update) v0.19_NRA_model_for_NEMO2 (EMC Update) v0.21_NRA_model_for_NEMO2 (EMC Update) v0.25_NRA_model_for_NEMO2 (EMC Update) v0.26_NRA_model_for_NEMO2 (EMC Update) v0.29.2" xfId="200" xr:uid="{00000000-0005-0000-0000-000073000000}"/>
    <cellStyle name="%_NRA_model_for_NEMO2 (EMC Update) v0.19_NRA_model_for_NEMO2 (EMC Update) v0.21_NRA_model_for_NEMO2 (EMC Update) v0.25_NRA_model_for_NEMO2 (EMC Update) v0.26_NRA_model_for_NEMO2 (EMC Update) v0.29.2_NRA_model_for_NEMO2 (EMC Update) v0 30 1" xfId="201" xr:uid="{00000000-0005-0000-0000-000074000000}"/>
    <cellStyle name="%_NRA_model_for_NEMO2 (EMC Update) v0.19_NRA_model_for_NEMO2 (EMC Update) v0.21_NRA_model_for_NEMO2 (EMC Update) v0.25_NRA_model_for_NEMO2 (EMC Update) v0.26_NRA_model_for_NEMO2 (EMC Update) v0.29.2_NRA_model_for_NEMO2 (EMC Update) v0.29.3" xfId="202" xr:uid="{00000000-0005-0000-0000-000075000000}"/>
    <cellStyle name="%_NRA_model_for_NEMO2 (EMC Update) v0.19_NRA_model_for_NEMO2 (EMC Update) v0.21_NRA_model_for_NEMO2 (EMC Update) v0.25_NRA_model_for_NEMO2 (EMC Update) v0.26_NRA_model_for_NEMO2 (EMC Update) v0.29.2_NRA_model_for_NEMO2 (EMC Update) v0.29.4" xfId="203" xr:uid="{00000000-0005-0000-0000-000076000000}"/>
    <cellStyle name="%_NRA_model_for_NEMO2 (EMC Update) v0.19_NRA_model_for_NEMO2 (EMC Update) v0.21_NRA_model_for_NEMO2 (EMC Update) v0.25_NRA_model_for_NEMO2 (EMC Update) v0.26_NRA_model_for_NEMO2 (EMC Update) v0.29.2_NRA_model_for_NEMO2 (EMC Update) v0.29.5" xfId="204" xr:uid="{00000000-0005-0000-0000-000077000000}"/>
    <cellStyle name="%_NRA_model_for_NEMO2 (EMC Update) v0.19_NRA_model_for_NEMO2 (EMC Update) v0.21_NRA_model_for_NEMO2 (EMC Update) v0.25_NRA_model_for_NEMO2 (EMC Update) v0.26_NRA_model_for_NEMO2 (EMC Update) v0.29.3" xfId="205" xr:uid="{00000000-0005-0000-0000-000078000000}"/>
    <cellStyle name="%_NRA_model_for_NEMO2 (EMC Update) v0.19_NRA_model_for_NEMO2 (EMC Update) v0.21_NRA_model_for_NEMO2 (EMC Update) v0.25_NRA_model_for_NEMO2 (EMC Update) v0.26_NRA_model_for_NEMO2 (EMC Update) v0.29.3_NRA_model_for_NEMO2 (EMC Update) v0 30 1" xfId="206" xr:uid="{00000000-0005-0000-0000-000079000000}"/>
    <cellStyle name="%_NRA_model_for_NEMO2 (EMC Update) v0.19_NRA_model_for_NEMO2 (EMC Update) v0.21_NRA_model_for_NEMO2 (EMC Update) v0.25_NRA_model_for_NEMO2 (EMC Update) v0.26_NRA_model_for_NEMO2 (EMC Update) v0.29.3_NRA_model_for_NEMO2 (EMC Update) v0.29.5" xfId="207" xr:uid="{00000000-0005-0000-0000-00007A000000}"/>
    <cellStyle name="%_NRA_model_for_NEMO2 (EMC Update) v0.19_NRA_model_for_NEMO2 (EMC Update) v0.21_NRA_model_for_NEMO2 (EMC Update) v0.25_NRA_model_for_NEMO2 (EMC Update) v0.26_NRA_model_for_NEMO2 (EMC Update) v0.29.4" xfId="208" xr:uid="{00000000-0005-0000-0000-00007B000000}"/>
    <cellStyle name="%_NRA_model_for_NEMO2 (EMC Update) v0.19_NRA_model_for_NEMO2 (EMC Update) v0.21_NRA_model_for_NEMO2 (EMC Update) v0.25_NRA_model_for_NEMO2 (EMC Update) v0.26_NRA_model_for_NEMO2 (EMC Update) v0.29.4_NRA_model_for_NEMO2 (EMC Update) v0 30 1" xfId="209" xr:uid="{00000000-0005-0000-0000-00007C000000}"/>
    <cellStyle name="%_NRA_model_for_NEMO2 (EMC Update) v0.19_NRA_model_for_NEMO2 (EMC Update) v0.21_NRA_model_for_NEMO2 (EMC Update) v0.25_NRA_model_for_NEMO2 (EMC Update) v0.26_NRA_model_for_NEMO2 (EMC Update) v0.29.4_NRA_model_for_NEMO2 (EMC Update) v0.29.5" xfId="210" xr:uid="{00000000-0005-0000-0000-00007D000000}"/>
    <cellStyle name="%_NRA_model_for_NEMO2 (EMC Update) v0.19_NRA_model_for_NEMO2 (EMC Update) v0.21_NRA_model_for_NEMO2 (EMC Update) v0.25_NRA_model_for_NEMO2 (EMC Update) v0.26_NRA_model_for_NEMO2 (EMC Update) v0.29.5" xfId="211" xr:uid="{00000000-0005-0000-0000-00007E000000}"/>
    <cellStyle name="%_NRA_model_for_NEMO2 (EMC Update) v0.19_NRA_model_for_NEMO2 (EMC Update) v0.21_NRA_model_for_NEMO2 (EMC Update) v0.25_NRA_model_for_NEMO2 (EMC Update) v0.26_NRA_model_for_NEMO2 (EMC Update) v0.29.5_NRA_model_for_NEMO2 (EMC Update) v0 30 1" xfId="212" xr:uid="{00000000-0005-0000-0000-00007F000000}"/>
    <cellStyle name="%_NRA_model_for_NEMO2 (EMC Update) v0.19_NRA_model_for_NEMO2 (EMC Update) v0.21_NRA_model_for_NEMO2 (EMC Update) v0.25_NRA_model_for_NEMO2 (EMC Update) v0.26_NRA_model_for_NEMO2 (EMC Update) v0.29_NRA_model_for_NEMO2 (EMC Update) v0 30 1" xfId="213" xr:uid="{00000000-0005-0000-0000-000080000000}"/>
    <cellStyle name="%_NRA_model_for_NEMO2 (EMC Update) v0.19_NRA_model_for_NEMO2 (EMC Update) v0.21_NRA_model_for_NEMO2 (EMC Update) v0.25_NRA_model_for_NEMO2 (EMC Update) v0.26_NRA_model_for_NEMO2 (EMC Update) v0.29_NRA_model_for_NEMO2 (EMC Update) v0.29.2" xfId="214" xr:uid="{00000000-0005-0000-0000-000081000000}"/>
    <cellStyle name="%_NRA_model_for_NEMO2 (EMC Update) v0.19_NRA_model_for_NEMO2 (EMC Update) v0.21_NRA_model_for_NEMO2 (EMC Update) v0.25_NRA_model_for_NEMO2 (EMC Update) v0.26_NRA_model_for_NEMO2 (EMC Update) v0.29_NRA_model_for_NEMO2 (EMC Update) v0.29.3" xfId="215" xr:uid="{00000000-0005-0000-0000-000082000000}"/>
    <cellStyle name="%_NRA_model_for_NEMO2 (EMC Update) v0.19_NRA_model_for_NEMO2 (EMC Update) v0.21_NRA_model_for_NEMO2 (EMC Update) v0.25_NRA_model_for_NEMO2 (EMC Update) v0.26_NRA_model_for_NEMO2 (EMC Update) v0.29_NRA_model_for_NEMO2 (EMC Update) v0.29.4" xfId="216" xr:uid="{00000000-0005-0000-0000-000083000000}"/>
    <cellStyle name="%_NRA_model_for_NEMO2 (EMC Update) v0.19_NRA_model_for_NEMO2 (EMC Update) v0.21_NRA_model_for_NEMO2 (EMC Update) v0.25_NRA_model_for_NEMO2 (EMC Update) v0.26_NRA_model_for_NEMO2 (EMC Update) v0.29_NRA_model_for_NEMO2 (EMC Update) v0.29.5" xfId="217" xr:uid="{00000000-0005-0000-0000-000084000000}"/>
    <cellStyle name="%_NRA_model_for_NEMO2 (EMC Update) v0.19_NRA_model_for_NEMO2 (EMC Update) v0.21_NRA_model_for_NEMO2 (EMC Update) v0.25_NRA_model_for_NEMO2 (EMC Update) v0.29" xfId="218" xr:uid="{00000000-0005-0000-0000-000085000000}"/>
    <cellStyle name="%_NRA_model_for_NEMO2 (EMC Update) v0.19_NRA_model_for_NEMO2 (EMC Update) v0.21_NRA_model_for_NEMO2 (EMC Update) v0.25_NRA_model_for_NEMO2 (EMC Update) v0.29.2" xfId="219" xr:uid="{00000000-0005-0000-0000-000086000000}"/>
    <cellStyle name="%_NRA_model_for_NEMO2 (EMC Update) v0.19_NRA_model_for_NEMO2 (EMC Update) v0.21_NRA_model_for_NEMO2 (EMC Update) v0.25_NRA_model_for_NEMO2 (EMC Update) v0.29.2_NRA_model_for_NEMO2 (EMC Update) v0 30 1" xfId="220" xr:uid="{00000000-0005-0000-0000-000087000000}"/>
    <cellStyle name="%_NRA_model_for_NEMO2 (EMC Update) v0.19_NRA_model_for_NEMO2 (EMC Update) v0.21_NRA_model_for_NEMO2 (EMC Update) v0.25_NRA_model_for_NEMO2 (EMC Update) v0.29.2_NRA_model_for_NEMO2 (EMC Update) v0.29.3" xfId="221" xr:uid="{00000000-0005-0000-0000-000088000000}"/>
    <cellStyle name="%_NRA_model_for_NEMO2 (EMC Update) v0.19_NRA_model_for_NEMO2 (EMC Update) v0.21_NRA_model_for_NEMO2 (EMC Update) v0.25_NRA_model_for_NEMO2 (EMC Update) v0.29.2_NRA_model_for_NEMO2 (EMC Update) v0.29.3_NRA_model_for_NEMO2 (EMC Update) v0 30 1" xfId="222" xr:uid="{00000000-0005-0000-0000-000089000000}"/>
    <cellStyle name="%_NRA_model_for_NEMO2 (EMC Update) v0.19_NRA_model_for_NEMO2 (EMC Update) v0.21_NRA_model_for_NEMO2 (EMC Update) v0.25_NRA_model_for_NEMO2 (EMC Update) v0.29.2_NRA_model_for_NEMO2 (EMC Update) v0.29.3_NRA_model_for_NEMO2 (EMC Update) v0.29.5" xfId="223" xr:uid="{00000000-0005-0000-0000-00008A000000}"/>
    <cellStyle name="%_NRA_model_for_NEMO2 (EMC Update) v0.19_NRA_model_for_NEMO2 (EMC Update) v0.21_NRA_model_for_NEMO2 (EMC Update) v0.25_NRA_model_for_NEMO2 (EMC Update) v0.29.2_NRA_model_for_NEMO2 (EMC Update) v0.29.4" xfId="224" xr:uid="{00000000-0005-0000-0000-00008B000000}"/>
    <cellStyle name="%_NRA_model_for_NEMO2 (EMC Update) v0.19_NRA_model_for_NEMO2 (EMC Update) v0.21_NRA_model_for_NEMO2 (EMC Update) v0.25_NRA_model_for_NEMO2 (EMC Update) v0.29.2_NRA_model_for_NEMO2 (EMC Update) v0.29.4_NRA_model_for_NEMO2 (EMC Update) v0 30 1" xfId="225" xr:uid="{00000000-0005-0000-0000-00008C000000}"/>
    <cellStyle name="%_NRA_model_for_NEMO2 (EMC Update) v0.19_NRA_model_for_NEMO2 (EMC Update) v0.21_NRA_model_for_NEMO2 (EMC Update) v0.25_NRA_model_for_NEMO2 (EMC Update) v0.29.2_NRA_model_for_NEMO2 (EMC Update) v0.29.4_NRA_model_for_NEMO2 (EMC Update) v0.29.5" xfId="226" xr:uid="{00000000-0005-0000-0000-00008D000000}"/>
    <cellStyle name="%_NRA_model_for_NEMO2 (EMC Update) v0.19_NRA_model_for_NEMO2 (EMC Update) v0.21_NRA_model_for_NEMO2 (EMC Update) v0.25_NRA_model_for_NEMO2 (EMC Update) v0.29.2_NRA_model_for_NEMO2 (EMC Update) v0.29.5" xfId="227" xr:uid="{00000000-0005-0000-0000-00008E000000}"/>
    <cellStyle name="%_NRA_model_for_NEMO2 (EMC Update) v0.19_NRA_model_for_NEMO2 (EMC Update) v0.21_NRA_model_for_NEMO2 (EMC Update) v0.25_NRA_model_for_NEMO2 (EMC Update) v0.29.2_NRA_model_for_NEMO2 (EMC Update) v0.29.5_NRA_model_for_NEMO2 (EMC Update) v0 30 1" xfId="228" xr:uid="{00000000-0005-0000-0000-00008F000000}"/>
    <cellStyle name="%_NRA_model_for_NEMO2 (EMC Update) v0.19_NRA_model_for_NEMO2 (EMC Update) v0.21_NRA_model_for_NEMO2 (EMC Update) v0.25_NRA_model_for_NEMO2 (EMC Update) v0.29.3" xfId="229" xr:uid="{00000000-0005-0000-0000-000090000000}"/>
    <cellStyle name="%_NRA_model_for_NEMO2 (EMC Update) v0.19_NRA_model_for_NEMO2 (EMC Update) v0.21_NRA_model_for_NEMO2 (EMC Update) v0.25_NRA_model_for_NEMO2 (EMC Update) v0.29.3_NRA_model_for_NEMO2 (EMC Update) v0 30 1" xfId="230" xr:uid="{00000000-0005-0000-0000-000091000000}"/>
    <cellStyle name="%_NRA_model_for_NEMO2 (EMC Update) v0.19_NRA_model_for_NEMO2 (EMC Update) v0.21_NRA_model_for_NEMO2 (EMC Update) v0.25_NRA_model_for_NEMO2 (EMC Update) v0.29.3_NRA_model_for_NEMO2 (EMC Update) v0.29.5" xfId="231" xr:uid="{00000000-0005-0000-0000-000092000000}"/>
    <cellStyle name="%_NRA_model_for_NEMO2 (EMC Update) v0.19_NRA_model_for_NEMO2 (EMC Update) v0.21_NRA_model_for_NEMO2 (EMC Update) v0.25_NRA_model_for_NEMO2 (EMC Update) v0.29.3_NRA_model_for_NEMO2 (EMC Update) v0.29.5_NRA_model_for_NEMO2 (EMC Update) v0 30 1" xfId="232" xr:uid="{00000000-0005-0000-0000-000093000000}"/>
    <cellStyle name="%_NRA_model_for_NEMO2 (EMC Update) v0.19_NRA_model_for_NEMO2 (EMC Update) v0.21_NRA_model_for_NEMO2 (EMC Update) v0.25_NRA_model_for_NEMO2 (EMC Update) v0.29.4" xfId="233" xr:uid="{00000000-0005-0000-0000-000094000000}"/>
    <cellStyle name="%_NRA_model_for_NEMO2 (EMC Update) v0.19_NRA_model_for_NEMO2 (EMC Update) v0.21_NRA_model_for_NEMO2 (EMC Update) v0.25_NRA_model_for_NEMO2 (EMC Update) v0.29.4_NRA_model_for_NEMO2 (EMC Update) v0 30 1" xfId="234" xr:uid="{00000000-0005-0000-0000-000095000000}"/>
    <cellStyle name="%_NRA_model_for_NEMO2 (EMC Update) v0.19_NRA_model_for_NEMO2 (EMC Update) v0.21_NRA_model_for_NEMO2 (EMC Update) v0.25_NRA_model_for_NEMO2 (EMC Update) v0.29.4_NRA_model_for_NEMO2 (EMC Update) v0.29.5" xfId="235" xr:uid="{00000000-0005-0000-0000-000096000000}"/>
    <cellStyle name="%_NRA_model_for_NEMO2 (EMC Update) v0.19_NRA_model_for_NEMO2 (EMC Update) v0.21_NRA_model_for_NEMO2 (EMC Update) v0.25_NRA_model_for_NEMO2 (EMC Update) v0.29.4_NRA_model_for_NEMO2 (EMC Update) v0.29.5_NRA_model_for_NEMO2 (EMC Update) v0 30 1" xfId="236" xr:uid="{00000000-0005-0000-0000-000097000000}"/>
    <cellStyle name="%_NRA_model_for_NEMO2 (EMC Update) v0.19_NRA_model_for_NEMO2 (EMC Update) v0.21_NRA_model_for_NEMO2 (EMC Update) v0.25_NRA_model_for_NEMO2 (EMC Update) v0.29.5" xfId="237" xr:uid="{00000000-0005-0000-0000-000098000000}"/>
    <cellStyle name="%_NRA_model_for_NEMO2 (EMC Update) v0.19_NRA_model_for_NEMO2 (EMC Update) v0.21_NRA_model_for_NEMO2 (EMC Update) v0.25_NRA_model_for_NEMO2 (EMC Update) v0.29.5_NRA_model_for_NEMO2 (EMC Update) v0 30 1" xfId="238" xr:uid="{00000000-0005-0000-0000-000099000000}"/>
    <cellStyle name="%_NRA_model_for_NEMO2 (EMC Update) v0.19_NRA_model_for_NEMO2 (EMC Update) v0.21_NRA_model_for_NEMO2 (EMC Update) v0.25_NRA_model_for_NEMO2 (EMC Update) v0.29_NRA_model_for_NEMO2 (EMC Update) v0 30 1" xfId="239" xr:uid="{00000000-0005-0000-0000-00009A000000}"/>
    <cellStyle name="%_NRA_model_for_NEMO2 (EMC Update) v0.19_NRA_model_for_NEMO2 (EMC Update) v0.21_NRA_model_for_NEMO2 (EMC Update) v0.25_NRA_model_for_NEMO2 (EMC Update) v0.29_NRA_model_for_NEMO2 (EMC Update) v0.29.2" xfId="240" xr:uid="{00000000-0005-0000-0000-00009B000000}"/>
    <cellStyle name="%_NRA_model_for_NEMO2 (EMC Update) v0.19_NRA_model_for_NEMO2 (EMC Update) v0.21_NRA_model_for_NEMO2 (EMC Update) v0.25_NRA_model_for_NEMO2 (EMC Update) v0.29_NRA_model_for_NEMO2 (EMC Update) v0.29.2_NRA_model_for_NEMO2 (EMC Update) v0 30 1" xfId="241" xr:uid="{00000000-0005-0000-0000-00009C000000}"/>
    <cellStyle name="%_NRA_model_for_NEMO2 (EMC Update) v0.19_NRA_model_for_NEMO2 (EMC Update) v0.21_NRA_model_for_NEMO2 (EMC Update) v0.25_NRA_model_for_NEMO2 (EMC Update) v0.29_NRA_model_for_NEMO2 (EMC Update) v0.29.2_NRA_model_for_NEMO2 (EMC Update) v0.29.3" xfId="242" xr:uid="{00000000-0005-0000-0000-00009D000000}"/>
    <cellStyle name="%_NRA_model_for_NEMO2 (EMC Update) v0.19_NRA_model_for_NEMO2 (EMC Update) v0.21_NRA_model_for_NEMO2 (EMC Update) v0.25_NRA_model_for_NEMO2 (EMC Update) v0.29_NRA_model_for_NEMO2 (EMC Update) v0.29.2_NRA_model_for_NEMO2 (EMC Update) v0.29.4" xfId="243" xr:uid="{00000000-0005-0000-0000-00009E000000}"/>
    <cellStyle name="%_NRA_model_for_NEMO2 (EMC Update) v0.19_NRA_model_for_NEMO2 (EMC Update) v0.21_NRA_model_for_NEMO2 (EMC Update) v0.25_NRA_model_for_NEMO2 (EMC Update) v0.29_NRA_model_for_NEMO2 (EMC Update) v0.29.2_NRA_model_for_NEMO2 (EMC Update) v0.29.5" xfId="244" xr:uid="{00000000-0005-0000-0000-00009F000000}"/>
    <cellStyle name="%_NRA_model_for_NEMO2 (EMC Update) v0.19_NRA_model_for_NEMO2 (EMC Update) v0.21_NRA_model_for_NEMO2 (EMC Update) v0.25_NRA_model_for_NEMO2 (EMC Update) v0.29_NRA_model_for_NEMO2 (EMC Update) v0.29.3" xfId="245" xr:uid="{00000000-0005-0000-0000-0000A0000000}"/>
    <cellStyle name="%_NRA_model_for_NEMO2 (EMC Update) v0.19_NRA_model_for_NEMO2 (EMC Update) v0.21_NRA_model_for_NEMO2 (EMC Update) v0.25_NRA_model_for_NEMO2 (EMC Update) v0.29_NRA_model_for_NEMO2 (EMC Update) v0.29.3_NRA_model_for_NEMO2 (EMC Update) v0 30 1" xfId="246" xr:uid="{00000000-0005-0000-0000-0000A1000000}"/>
    <cellStyle name="%_NRA_model_for_NEMO2 (EMC Update) v0.19_NRA_model_for_NEMO2 (EMC Update) v0.21_NRA_model_for_NEMO2 (EMC Update) v0.25_NRA_model_for_NEMO2 (EMC Update) v0.29_NRA_model_for_NEMO2 (EMC Update) v0.29.3_NRA_model_for_NEMO2 (EMC Update) v0.29.5" xfId="247" xr:uid="{00000000-0005-0000-0000-0000A2000000}"/>
    <cellStyle name="%_NRA_model_for_NEMO2 (EMC Update) v0.19_NRA_model_for_NEMO2 (EMC Update) v0.21_NRA_model_for_NEMO2 (EMC Update) v0.25_NRA_model_for_NEMO2 (EMC Update) v0.29_NRA_model_for_NEMO2 (EMC Update) v0.29.4" xfId="248" xr:uid="{00000000-0005-0000-0000-0000A3000000}"/>
    <cellStyle name="%_NRA_model_for_NEMO2 (EMC Update) v0.19_NRA_model_for_NEMO2 (EMC Update) v0.21_NRA_model_for_NEMO2 (EMC Update) v0.25_NRA_model_for_NEMO2 (EMC Update) v0.29_NRA_model_for_NEMO2 (EMC Update) v0.29.4_NRA_model_for_NEMO2 (EMC Update) v0 30 1" xfId="249" xr:uid="{00000000-0005-0000-0000-0000A4000000}"/>
    <cellStyle name="%_NRA_model_for_NEMO2 (EMC Update) v0.19_NRA_model_for_NEMO2 (EMC Update) v0.21_NRA_model_for_NEMO2 (EMC Update) v0.25_NRA_model_for_NEMO2 (EMC Update) v0.29_NRA_model_for_NEMO2 (EMC Update) v0.29.4_NRA_model_for_NEMO2 (EMC Update) v0.29.5" xfId="250" xr:uid="{00000000-0005-0000-0000-0000A5000000}"/>
    <cellStyle name="%_NRA_model_for_NEMO2 (EMC Update) v0.19_NRA_model_for_NEMO2 (EMC Update) v0.21_NRA_model_for_NEMO2 (EMC Update) v0.25_NRA_model_for_NEMO2 (EMC Update) v0.29_NRA_model_for_NEMO2 (EMC Update) v0.29.5" xfId="251" xr:uid="{00000000-0005-0000-0000-0000A6000000}"/>
    <cellStyle name="%_NRA_model_for_NEMO2 (EMC Update) v0.19_NRA_model_for_NEMO2 (EMC Update) v0.21_NRA_model_for_NEMO2 (EMC Update) v0.25_NRA_model_for_NEMO2 (EMC Update) v0.29_NRA_model_for_NEMO2 (EMC Update) v0.29.5_NRA_model_for_NEMO2 (EMC Update) v0 30 1" xfId="252" xr:uid="{00000000-0005-0000-0000-0000A7000000}"/>
    <cellStyle name="%_NRA_model_for_NEMO2 (EMC Update) v0.19_NRA_model_for_NEMO2 (EMC Update) v0.21_NRA_model_for_NEMO2 (EMC Update) v0.26" xfId="253" xr:uid="{00000000-0005-0000-0000-0000A8000000}"/>
    <cellStyle name="%_NRA_model_for_NEMO2 (EMC Update) v0.19_NRA_model_for_NEMO2 (EMC Update) v0.21_NRA_model_for_NEMO2 (EMC Update) v0.26_NRA_model_for_NEMO2 (EMC Update) v0 30 1" xfId="254" xr:uid="{00000000-0005-0000-0000-0000A9000000}"/>
    <cellStyle name="%_NRA_model_for_NEMO2 (EMC Update) v0.19_NRA_model_for_NEMO2 (EMC Update) v0.21_NRA_model_for_NEMO2 (EMC Update) v0.26_NRA_model_for_NEMO2 (EMC Update) v0.29" xfId="255" xr:uid="{00000000-0005-0000-0000-0000AA000000}"/>
    <cellStyle name="%_NRA_model_for_NEMO2 (EMC Update) v0.19_NRA_model_for_NEMO2 (EMC Update) v0.21_NRA_model_for_NEMO2 (EMC Update) v0.26_NRA_model_for_NEMO2 (EMC Update) v0.29.2" xfId="256" xr:uid="{00000000-0005-0000-0000-0000AB000000}"/>
    <cellStyle name="%_NRA_model_for_NEMO2 (EMC Update) v0.19_NRA_model_for_NEMO2 (EMC Update) v0.21_NRA_model_for_NEMO2 (EMC Update) v0.26_NRA_model_for_NEMO2 (EMC Update) v0.29.2_NRA_model_for_NEMO2 (EMC Update) v0 30 1" xfId="257" xr:uid="{00000000-0005-0000-0000-0000AC000000}"/>
    <cellStyle name="%_NRA_model_for_NEMO2 (EMC Update) v0.19_NRA_model_for_NEMO2 (EMC Update) v0.21_NRA_model_for_NEMO2 (EMC Update) v0.26_NRA_model_for_NEMO2 (EMC Update) v0.29.2_NRA_model_for_NEMO2 (EMC Update) v0.29.3" xfId="258" xr:uid="{00000000-0005-0000-0000-0000AD000000}"/>
    <cellStyle name="%_NRA_model_for_NEMO2 (EMC Update) v0.19_NRA_model_for_NEMO2 (EMC Update) v0.21_NRA_model_for_NEMO2 (EMC Update) v0.26_NRA_model_for_NEMO2 (EMC Update) v0.29.2_NRA_model_for_NEMO2 (EMC Update) v0.29.3_NRA_model_for_NEMO2 (EMC Update) v0 30 1" xfId="259" xr:uid="{00000000-0005-0000-0000-0000AE000000}"/>
    <cellStyle name="%_NRA_model_for_NEMO2 (EMC Update) v0.19_NRA_model_for_NEMO2 (EMC Update) v0.21_NRA_model_for_NEMO2 (EMC Update) v0.26_NRA_model_for_NEMO2 (EMC Update) v0.29.2_NRA_model_for_NEMO2 (EMC Update) v0.29.3_NRA_model_for_NEMO2 (EMC Update) v0.29.5" xfId="260" xr:uid="{00000000-0005-0000-0000-0000AF000000}"/>
    <cellStyle name="%_NRA_model_for_NEMO2 (EMC Update) v0.19_NRA_model_for_NEMO2 (EMC Update) v0.21_NRA_model_for_NEMO2 (EMC Update) v0.26_NRA_model_for_NEMO2 (EMC Update) v0.29.2_NRA_model_for_NEMO2 (EMC Update) v0.29.4" xfId="261" xr:uid="{00000000-0005-0000-0000-0000B0000000}"/>
    <cellStyle name="%_NRA_model_for_NEMO2 (EMC Update) v0.19_NRA_model_for_NEMO2 (EMC Update) v0.21_NRA_model_for_NEMO2 (EMC Update) v0.26_NRA_model_for_NEMO2 (EMC Update) v0.29.2_NRA_model_for_NEMO2 (EMC Update) v0.29.4_NRA_model_for_NEMO2 (EMC Update) v0 30 1" xfId="262" xr:uid="{00000000-0005-0000-0000-0000B1000000}"/>
    <cellStyle name="%_NRA_model_for_NEMO2 (EMC Update) v0.19_NRA_model_for_NEMO2 (EMC Update) v0.21_NRA_model_for_NEMO2 (EMC Update) v0.26_NRA_model_for_NEMO2 (EMC Update) v0.29.2_NRA_model_for_NEMO2 (EMC Update) v0.29.4_NRA_model_for_NEMO2 (EMC Update) v0.29.5" xfId="263" xr:uid="{00000000-0005-0000-0000-0000B2000000}"/>
    <cellStyle name="%_NRA_model_for_NEMO2 (EMC Update) v0.19_NRA_model_for_NEMO2 (EMC Update) v0.21_NRA_model_for_NEMO2 (EMC Update) v0.26_NRA_model_for_NEMO2 (EMC Update) v0.29.2_NRA_model_for_NEMO2 (EMC Update) v0.29.5" xfId="264" xr:uid="{00000000-0005-0000-0000-0000B3000000}"/>
    <cellStyle name="%_NRA_model_for_NEMO2 (EMC Update) v0.19_NRA_model_for_NEMO2 (EMC Update) v0.21_NRA_model_for_NEMO2 (EMC Update) v0.26_NRA_model_for_NEMO2 (EMC Update) v0.29.2_NRA_model_for_NEMO2 (EMC Update) v0.29.5_NRA_model_for_NEMO2 (EMC Update) v0 30 1" xfId="265" xr:uid="{00000000-0005-0000-0000-0000B4000000}"/>
    <cellStyle name="%_NRA_model_for_NEMO2 (EMC Update) v0.19_NRA_model_for_NEMO2 (EMC Update) v0.21_NRA_model_for_NEMO2 (EMC Update) v0.26_NRA_model_for_NEMO2 (EMC Update) v0.29.3" xfId="266" xr:uid="{00000000-0005-0000-0000-0000B5000000}"/>
    <cellStyle name="%_NRA_model_for_NEMO2 (EMC Update) v0.19_NRA_model_for_NEMO2 (EMC Update) v0.21_NRA_model_for_NEMO2 (EMC Update) v0.26_NRA_model_for_NEMO2 (EMC Update) v0.29.3_NRA_model_for_NEMO2 (EMC Update) v0 30 1" xfId="267" xr:uid="{00000000-0005-0000-0000-0000B6000000}"/>
    <cellStyle name="%_NRA_model_for_NEMO2 (EMC Update) v0.19_NRA_model_for_NEMO2 (EMC Update) v0.21_NRA_model_for_NEMO2 (EMC Update) v0.26_NRA_model_for_NEMO2 (EMC Update) v0.29.3_NRA_model_for_NEMO2 (EMC Update) v0.29.5" xfId="268" xr:uid="{00000000-0005-0000-0000-0000B7000000}"/>
    <cellStyle name="%_NRA_model_for_NEMO2 (EMC Update) v0.19_NRA_model_for_NEMO2 (EMC Update) v0.21_NRA_model_for_NEMO2 (EMC Update) v0.26_NRA_model_for_NEMO2 (EMC Update) v0.29.3_NRA_model_for_NEMO2 (EMC Update) v0.29.5_NRA_model_for_NEMO2 (EMC Update) v0 30 1" xfId="269" xr:uid="{00000000-0005-0000-0000-0000B8000000}"/>
    <cellStyle name="%_NRA_model_for_NEMO2 (EMC Update) v0.19_NRA_model_for_NEMO2 (EMC Update) v0.21_NRA_model_for_NEMO2 (EMC Update) v0.26_NRA_model_for_NEMO2 (EMC Update) v0.29.4" xfId="270" xr:uid="{00000000-0005-0000-0000-0000B9000000}"/>
    <cellStyle name="%_NRA_model_for_NEMO2 (EMC Update) v0.19_NRA_model_for_NEMO2 (EMC Update) v0.21_NRA_model_for_NEMO2 (EMC Update) v0.26_NRA_model_for_NEMO2 (EMC Update) v0.29.4_NRA_model_for_NEMO2 (EMC Update) v0 30 1" xfId="271" xr:uid="{00000000-0005-0000-0000-0000BA000000}"/>
    <cellStyle name="%_NRA_model_for_NEMO2 (EMC Update) v0.19_NRA_model_for_NEMO2 (EMC Update) v0.21_NRA_model_for_NEMO2 (EMC Update) v0.26_NRA_model_for_NEMO2 (EMC Update) v0.29.4_NRA_model_for_NEMO2 (EMC Update) v0.29.5" xfId="272" xr:uid="{00000000-0005-0000-0000-0000BB000000}"/>
    <cellStyle name="%_NRA_model_for_NEMO2 (EMC Update) v0.19_NRA_model_for_NEMO2 (EMC Update) v0.21_NRA_model_for_NEMO2 (EMC Update) v0.26_NRA_model_for_NEMO2 (EMC Update) v0.29.4_NRA_model_for_NEMO2 (EMC Update) v0.29.5_NRA_model_for_NEMO2 (EMC Update) v0 30 1" xfId="273" xr:uid="{00000000-0005-0000-0000-0000BC000000}"/>
    <cellStyle name="%_NRA_model_for_NEMO2 (EMC Update) v0.19_NRA_model_for_NEMO2 (EMC Update) v0.21_NRA_model_for_NEMO2 (EMC Update) v0.26_NRA_model_for_NEMO2 (EMC Update) v0.29.5" xfId="274" xr:uid="{00000000-0005-0000-0000-0000BD000000}"/>
    <cellStyle name="%_NRA_model_for_NEMO2 (EMC Update) v0.19_NRA_model_for_NEMO2 (EMC Update) v0.21_NRA_model_for_NEMO2 (EMC Update) v0.26_NRA_model_for_NEMO2 (EMC Update) v0.29.5_NRA_model_for_NEMO2 (EMC Update) v0 30 1" xfId="275" xr:uid="{00000000-0005-0000-0000-0000BE000000}"/>
    <cellStyle name="%_NRA_model_for_NEMO2 (EMC Update) v0.19_NRA_model_for_NEMO2 (EMC Update) v0.21_NRA_model_for_NEMO2 (EMC Update) v0.26_NRA_model_for_NEMO2 (EMC Update) v0.29_NRA_model_for_NEMO2 (EMC Update) v0 30 1" xfId="276" xr:uid="{00000000-0005-0000-0000-0000BF000000}"/>
    <cellStyle name="%_NRA_model_for_NEMO2 (EMC Update) v0.19_NRA_model_for_NEMO2 (EMC Update) v0.21_NRA_model_for_NEMO2 (EMC Update) v0.26_NRA_model_for_NEMO2 (EMC Update) v0.29_NRA_model_for_NEMO2 (EMC Update) v0.29.2" xfId="277" xr:uid="{00000000-0005-0000-0000-0000C0000000}"/>
    <cellStyle name="%_NRA_model_for_NEMO2 (EMC Update) v0.19_NRA_model_for_NEMO2 (EMC Update) v0.21_NRA_model_for_NEMO2 (EMC Update) v0.26_NRA_model_for_NEMO2 (EMC Update) v0.29_NRA_model_for_NEMO2 (EMC Update) v0.29.2_NRA_model_for_NEMO2 (EMC Update) v0 30 1" xfId="278" xr:uid="{00000000-0005-0000-0000-0000C1000000}"/>
    <cellStyle name="%_NRA_model_for_NEMO2 (EMC Update) v0.19_NRA_model_for_NEMO2 (EMC Update) v0.21_NRA_model_for_NEMO2 (EMC Update) v0.26_NRA_model_for_NEMO2 (EMC Update) v0.29_NRA_model_for_NEMO2 (EMC Update) v0.29.2_NRA_model_for_NEMO2 (EMC Update) v0.29.3" xfId="279" xr:uid="{00000000-0005-0000-0000-0000C2000000}"/>
    <cellStyle name="%_NRA_model_for_NEMO2 (EMC Update) v0.19_NRA_model_for_NEMO2 (EMC Update) v0.21_NRA_model_for_NEMO2 (EMC Update) v0.26_NRA_model_for_NEMO2 (EMC Update) v0.29_NRA_model_for_NEMO2 (EMC Update) v0.29.2_NRA_model_for_NEMO2 (EMC Update) v0.29.4" xfId="280" xr:uid="{00000000-0005-0000-0000-0000C3000000}"/>
    <cellStyle name="%_NRA_model_for_NEMO2 (EMC Update) v0.19_NRA_model_for_NEMO2 (EMC Update) v0.21_NRA_model_for_NEMO2 (EMC Update) v0.26_NRA_model_for_NEMO2 (EMC Update) v0.29_NRA_model_for_NEMO2 (EMC Update) v0.29.2_NRA_model_for_NEMO2 (EMC Update) v0.29.5" xfId="281" xr:uid="{00000000-0005-0000-0000-0000C4000000}"/>
    <cellStyle name="%_NRA_model_for_NEMO2 (EMC Update) v0.19_NRA_model_for_NEMO2 (EMC Update) v0.21_NRA_model_for_NEMO2 (EMC Update) v0.26_NRA_model_for_NEMO2 (EMC Update) v0.29_NRA_model_for_NEMO2 (EMC Update) v0.29.3" xfId="282" xr:uid="{00000000-0005-0000-0000-0000C5000000}"/>
    <cellStyle name="%_NRA_model_for_NEMO2 (EMC Update) v0.19_NRA_model_for_NEMO2 (EMC Update) v0.21_NRA_model_for_NEMO2 (EMC Update) v0.26_NRA_model_for_NEMO2 (EMC Update) v0.29_NRA_model_for_NEMO2 (EMC Update) v0.29.3_NRA_model_for_NEMO2 (EMC Update) v0 30 1" xfId="283" xr:uid="{00000000-0005-0000-0000-0000C6000000}"/>
    <cellStyle name="%_NRA_model_for_NEMO2 (EMC Update) v0.19_NRA_model_for_NEMO2 (EMC Update) v0.21_NRA_model_for_NEMO2 (EMC Update) v0.26_NRA_model_for_NEMO2 (EMC Update) v0.29_NRA_model_for_NEMO2 (EMC Update) v0.29.3_NRA_model_for_NEMO2 (EMC Update) v0.29.5" xfId="284" xr:uid="{00000000-0005-0000-0000-0000C7000000}"/>
    <cellStyle name="%_NRA_model_for_NEMO2 (EMC Update) v0.19_NRA_model_for_NEMO2 (EMC Update) v0.21_NRA_model_for_NEMO2 (EMC Update) v0.26_NRA_model_for_NEMO2 (EMC Update) v0.29_NRA_model_for_NEMO2 (EMC Update) v0.29.4" xfId="285" xr:uid="{00000000-0005-0000-0000-0000C8000000}"/>
    <cellStyle name="%_NRA_model_for_NEMO2 (EMC Update) v0.19_NRA_model_for_NEMO2 (EMC Update) v0.21_NRA_model_for_NEMO2 (EMC Update) v0.26_NRA_model_for_NEMO2 (EMC Update) v0.29_NRA_model_for_NEMO2 (EMC Update) v0.29.4_NRA_model_for_NEMO2 (EMC Update) v0 30 1" xfId="286" xr:uid="{00000000-0005-0000-0000-0000C9000000}"/>
    <cellStyle name="%_NRA_model_for_NEMO2 (EMC Update) v0.19_NRA_model_for_NEMO2 (EMC Update) v0.21_NRA_model_for_NEMO2 (EMC Update) v0.26_NRA_model_for_NEMO2 (EMC Update) v0.29_NRA_model_for_NEMO2 (EMC Update) v0.29.4_NRA_model_for_NEMO2 (EMC Update) v0.29.5" xfId="287" xr:uid="{00000000-0005-0000-0000-0000CA000000}"/>
    <cellStyle name="%_NRA_model_for_NEMO2 (EMC Update) v0.19_NRA_model_for_NEMO2 (EMC Update) v0.21_NRA_model_for_NEMO2 (EMC Update) v0.26_NRA_model_for_NEMO2 (EMC Update) v0.29_NRA_model_for_NEMO2 (EMC Update) v0.29.5" xfId="288" xr:uid="{00000000-0005-0000-0000-0000CB000000}"/>
    <cellStyle name="%_NRA_model_for_NEMO2 (EMC Update) v0.19_NRA_model_for_NEMO2 (EMC Update) v0.21_NRA_model_for_NEMO2 (EMC Update) v0.26_NRA_model_for_NEMO2 (EMC Update) v0.29_NRA_model_for_NEMO2 (EMC Update) v0.29.5_NRA_model_for_NEMO2 (EMC Update) v0 30 1" xfId="289" xr:uid="{00000000-0005-0000-0000-0000CC000000}"/>
    <cellStyle name="%_NRA_model_for_NEMO2 (EMC Update) v0.19_NRA_model_for_NEMO2 (EMC Update) v0.21_NRA_model_for_NEMO2 (EMC Update) v0.29" xfId="290" xr:uid="{00000000-0005-0000-0000-0000CD000000}"/>
    <cellStyle name="%_NRA_model_for_NEMO2 (EMC Update) v0.19_NRA_model_for_NEMO2 (EMC Update) v0.21_NRA_model_for_NEMO2 (EMC Update) v0.29.2" xfId="291" xr:uid="{00000000-0005-0000-0000-0000CE000000}"/>
    <cellStyle name="%_NRA_model_for_NEMO2 (EMC Update) v0.19_NRA_model_for_NEMO2 (EMC Update) v0.21_NRA_model_for_NEMO2 (EMC Update) v0.29.2_NRA_model_for_NEMO2 (EMC Update) v0 30 1" xfId="292" xr:uid="{00000000-0005-0000-0000-0000CF000000}"/>
    <cellStyle name="%_NRA_model_for_NEMO2 (EMC Update) v0.19_NRA_model_for_NEMO2 (EMC Update) v0.21_NRA_model_for_NEMO2 (EMC Update) v0.29.2_NRA_model_for_NEMO2 (EMC Update) v0.29.3" xfId="293" xr:uid="{00000000-0005-0000-0000-0000D0000000}"/>
    <cellStyle name="%_NRA_model_for_NEMO2 (EMC Update) v0.19_NRA_model_for_NEMO2 (EMC Update) v0.21_NRA_model_for_NEMO2 (EMC Update) v0.29.2_NRA_model_for_NEMO2 (EMC Update) v0.29.3_NRA_model_for_NEMO2 (EMC Update) v0 30 1" xfId="294" xr:uid="{00000000-0005-0000-0000-0000D1000000}"/>
    <cellStyle name="%_NRA_model_for_NEMO2 (EMC Update) v0.19_NRA_model_for_NEMO2 (EMC Update) v0.21_NRA_model_for_NEMO2 (EMC Update) v0.29.2_NRA_model_for_NEMO2 (EMC Update) v0.29.3_NRA_model_for_NEMO2 (EMC Update) v0.29.5" xfId="295" xr:uid="{00000000-0005-0000-0000-0000D2000000}"/>
    <cellStyle name="%_NRA_model_for_NEMO2 (EMC Update) v0.19_NRA_model_for_NEMO2 (EMC Update) v0.21_NRA_model_for_NEMO2 (EMC Update) v0.29.2_NRA_model_for_NEMO2 (EMC Update) v0.29.3_NRA_model_for_NEMO2 (EMC Update) v0.29.5_NRA_model_for_NEMO2 (EMC Update) v0 30 1" xfId="296" xr:uid="{00000000-0005-0000-0000-0000D3000000}"/>
    <cellStyle name="%_NRA_model_for_NEMO2 (EMC Update) v0.19_NRA_model_for_NEMO2 (EMC Update) v0.21_NRA_model_for_NEMO2 (EMC Update) v0.29.2_NRA_model_for_NEMO2 (EMC Update) v0.29.4" xfId="297" xr:uid="{00000000-0005-0000-0000-0000D4000000}"/>
    <cellStyle name="%_NRA_model_for_NEMO2 (EMC Update) v0.19_NRA_model_for_NEMO2 (EMC Update) v0.21_NRA_model_for_NEMO2 (EMC Update) v0.29.2_NRA_model_for_NEMO2 (EMC Update) v0.29.4_NRA_model_for_NEMO2 (EMC Update) v0 30 1" xfId="298" xr:uid="{00000000-0005-0000-0000-0000D5000000}"/>
    <cellStyle name="%_NRA_model_for_NEMO2 (EMC Update) v0.19_NRA_model_for_NEMO2 (EMC Update) v0.21_NRA_model_for_NEMO2 (EMC Update) v0.29.2_NRA_model_for_NEMO2 (EMC Update) v0.29.4_NRA_model_for_NEMO2 (EMC Update) v0.29.5" xfId="299" xr:uid="{00000000-0005-0000-0000-0000D6000000}"/>
    <cellStyle name="%_NRA_model_for_NEMO2 (EMC Update) v0.19_NRA_model_for_NEMO2 (EMC Update) v0.21_NRA_model_for_NEMO2 (EMC Update) v0.29.2_NRA_model_for_NEMO2 (EMC Update) v0.29.4_NRA_model_for_NEMO2 (EMC Update) v0.29.5_NRA_model_for_NEMO2 (EMC Update) v0 30 1" xfId="300" xr:uid="{00000000-0005-0000-0000-0000D7000000}"/>
    <cellStyle name="%_NRA_model_for_NEMO2 (EMC Update) v0.19_NRA_model_for_NEMO2 (EMC Update) v0.21_NRA_model_for_NEMO2 (EMC Update) v0.29.2_NRA_model_for_NEMO2 (EMC Update) v0.29.5" xfId="301" xr:uid="{00000000-0005-0000-0000-0000D8000000}"/>
    <cellStyle name="%_NRA_model_for_NEMO2 (EMC Update) v0.19_NRA_model_for_NEMO2 (EMC Update) v0.21_NRA_model_for_NEMO2 (EMC Update) v0.29.2_NRA_model_for_NEMO2 (EMC Update) v0.29.5_NRA_model_for_NEMO2 (EMC Update) v0 30 1" xfId="302" xr:uid="{00000000-0005-0000-0000-0000D9000000}"/>
    <cellStyle name="%_NRA_model_for_NEMO2 (EMC Update) v0.19_NRA_model_for_NEMO2 (EMC Update) v0.21_NRA_model_for_NEMO2 (EMC Update) v0.29.3" xfId="303" xr:uid="{00000000-0005-0000-0000-0000DA000000}"/>
    <cellStyle name="%_NRA_model_for_NEMO2 (EMC Update) v0.19_NRA_model_for_NEMO2 (EMC Update) v0.21_NRA_model_for_NEMO2 (EMC Update) v0.29.3_NRA_model_for_NEMO2 (EMC Update) v0 30 1" xfId="304" xr:uid="{00000000-0005-0000-0000-0000DB000000}"/>
    <cellStyle name="%_NRA_model_for_NEMO2 (EMC Update) v0.19_NRA_model_for_NEMO2 (EMC Update) v0.21_NRA_model_for_NEMO2 (EMC Update) v0.29.3_NRA_model_for_NEMO2 (EMC Update) v0.29.5" xfId="305" xr:uid="{00000000-0005-0000-0000-0000DC000000}"/>
    <cellStyle name="%_NRA_model_for_NEMO2 (EMC Update) v0.19_NRA_model_for_NEMO2 (EMC Update) v0.21_NRA_model_for_NEMO2 (EMC Update) v0.29.3_NRA_model_for_NEMO2 (EMC Update) v0.29.5_NRA_model_for_NEMO2 (EMC Update) v0 30 1" xfId="306" xr:uid="{00000000-0005-0000-0000-0000DD000000}"/>
    <cellStyle name="%_NRA_model_for_NEMO2 (EMC Update) v0.19_NRA_model_for_NEMO2 (EMC Update) v0.21_NRA_model_for_NEMO2 (EMC Update) v0.29.4" xfId="307" xr:uid="{00000000-0005-0000-0000-0000DE000000}"/>
    <cellStyle name="%_NRA_model_for_NEMO2 (EMC Update) v0.19_NRA_model_for_NEMO2 (EMC Update) v0.21_NRA_model_for_NEMO2 (EMC Update) v0.29.4_NRA_model_for_NEMO2 (EMC Update) v0 30 1" xfId="308" xr:uid="{00000000-0005-0000-0000-0000DF000000}"/>
    <cellStyle name="%_NRA_model_for_NEMO2 (EMC Update) v0.19_NRA_model_for_NEMO2 (EMC Update) v0.21_NRA_model_for_NEMO2 (EMC Update) v0.29.4_NRA_model_for_NEMO2 (EMC Update) v0.29.5" xfId="309" xr:uid="{00000000-0005-0000-0000-0000E0000000}"/>
    <cellStyle name="%_NRA_model_for_NEMO2 (EMC Update) v0.19_NRA_model_for_NEMO2 (EMC Update) v0.21_NRA_model_for_NEMO2 (EMC Update) v0.29.4_NRA_model_for_NEMO2 (EMC Update) v0.29.5_NRA_model_for_NEMO2 (EMC Update) v0 30 1" xfId="310" xr:uid="{00000000-0005-0000-0000-0000E1000000}"/>
    <cellStyle name="%_NRA_model_for_NEMO2 (EMC Update) v0.19_NRA_model_for_NEMO2 (EMC Update) v0.21_NRA_model_for_NEMO2 (EMC Update) v0.29.5" xfId="311" xr:uid="{00000000-0005-0000-0000-0000E2000000}"/>
    <cellStyle name="%_NRA_model_for_NEMO2 (EMC Update) v0.19_NRA_model_for_NEMO2 (EMC Update) v0.21_NRA_model_for_NEMO2 (EMC Update) v0.29.5_NRA_model_for_NEMO2 (EMC Update) v0 30 1" xfId="312" xr:uid="{00000000-0005-0000-0000-0000E3000000}"/>
    <cellStyle name="%_NRA_model_for_NEMO2 (EMC Update) v0.19_NRA_model_for_NEMO2 (EMC Update) v0.21_NRA_model_for_NEMO2 (EMC Update) v0.29_NRA_model_for_NEMO2 (EMC Update) v0 30 1" xfId="313" xr:uid="{00000000-0005-0000-0000-0000E4000000}"/>
    <cellStyle name="%_NRA_model_for_NEMO2 (EMC Update) v0.19_NRA_model_for_NEMO2 (EMC Update) v0.21_NRA_model_for_NEMO2 (EMC Update) v0.29_NRA_model_for_NEMO2 (EMC Update) v0.29.2" xfId="314" xr:uid="{00000000-0005-0000-0000-0000E5000000}"/>
    <cellStyle name="%_NRA_model_for_NEMO2 (EMC Update) v0.19_NRA_model_for_NEMO2 (EMC Update) v0.21_NRA_model_for_NEMO2 (EMC Update) v0.29_NRA_model_for_NEMO2 (EMC Update) v0.29.2_NRA_model_for_NEMO2 (EMC Update) v0 30 1" xfId="315" xr:uid="{00000000-0005-0000-0000-0000E6000000}"/>
    <cellStyle name="%_NRA_model_for_NEMO2 (EMC Update) v0.19_NRA_model_for_NEMO2 (EMC Update) v0.21_NRA_model_for_NEMO2 (EMC Update) v0.29_NRA_model_for_NEMO2 (EMC Update) v0.29.2_NRA_model_for_NEMO2 (EMC Update) v0.29.3" xfId="316" xr:uid="{00000000-0005-0000-0000-0000E7000000}"/>
    <cellStyle name="%_NRA_model_for_NEMO2 (EMC Update) v0.19_NRA_model_for_NEMO2 (EMC Update) v0.21_NRA_model_for_NEMO2 (EMC Update) v0.29_NRA_model_for_NEMO2 (EMC Update) v0.29.2_NRA_model_for_NEMO2 (EMC Update) v0.29.3_NRA_model_for_NEMO2 (EMC Update) v0 30 1" xfId="317" xr:uid="{00000000-0005-0000-0000-0000E8000000}"/>
    <cellStyle name="%_NRA_model_for_NEMO2 (EMC Update) v0.19_NRA_model_for_NEMO2 (EMC Update) v0.21_NRA_model_for_NEMO2 (EMC Update) v0.29_NRA_model_for_NEMO2 (EMC Update) v0.29.2_NRA_model_for_NEMO2 (EMC Update) v0.29.3_NRA_model_for_NEMO2 (EMC Update) v0.29.5" xfId="318" xr:uid="{00000000-0005-0000-0000-0000E9000000}"/>
    <cellStyle name="%_NRA_model_for_NEMO2 (EMC Update) v0.19_NRA_model_for_NEMO2 (EMC Update) v0.21_NRA_model_for_NEMO2 (EMC Update) v0.29_NRA_model_for_NEMO2 (EMC Update) v0.29.2_NRA_model_for_NEMO2 (EMC Update) v0.29.4" xfId="319" xr:uid="{00000000-0005-0000-0000-0000EA000000}"/>
    <cellStyle name="%_NRA_model_for_NEMO2 (EMC Update) v0.19_NRA_model_for_NEMO2 (EMC Update) v0.21_NRA_model_for_NEMO2 (EMC Update) v0.29_NRA_model_for_NEMO2 (EMC Update) v0.29.2_NRA_model_for_NEMO2 (EMC Update) v0.29.4_NRA_model_for_NEMO2 (EMC Update) v0 30 1" xfId="320" xr:uid="{00000000-0005-0000-0000-0000EB000000}"/>
    <cellStyle name="%_NRA_model_for_NEMO2 (EMC Update) v0.19_NRA_model_for_NEMO2 (EMC Update) v0.21_NRA_model_for_NEMO2 (EMC Update) v0.29_NRA_model_for_NEMO2 (EMC Update) v0.29.2_NRA_model_for_NEMO2 (EMC Update) v0.29.4_NRA_model_for_NEMO2 (EMC Update) v0.29.5" xfId="321" xr:uid="{00000000-0005-0000-0000-0000EC000000}"/>
    <cellStyle name="%_NRA_model_for_NEMO2 (EMC Update) v0.19_NRA_model_for_NEMO2 (EMC Update) v0.21_NRA_model_for_NEMO2 (EMC Update) v0.29_NRA_model_for_NEMO2 (EMC Update) v0.29.2_NRA_model_for_NEMO2 (EMC Update) v0.29.5" xfId="322" xr:uid="{00000000-0005-0000-0000-0000ED000000}"/>
    <cellStyle name="%_NRA_model_for_NEMO2 (EMC Update) v0.19_NRA_model_for_NEMO2 (EMC Update) v0.21_NRA_model_for_NEMO2 (EMC Update) v0.29_NRA_model_for_NEMO2 (EMC Update) v0.29.2_NRA_model_for_NEMO2 (EMC Update) v0.29.5_NRA_model_for_NEMO2 (EMC Update) v0 30 1" xfId="323" xr:uid="{00000000-0005-0000-0000-0000EE000000}"/>
    <cellStyle name="%_NRA_model_for_NEMO2 (EMC Update) v0.19_NRA_model_for_NEMO2 (EMC Update) v0.21_NRA_model_for_NEMO2 (EMC Update) v0.29_NRA_model_for_NEMO2 (EMC Update) v0.29.3" xfId="324" xr:uid="{00000000-0005-0000-0000-0000EF000000}"/>
    <cellStyle name="%_NRA_model_for_NEMO2 (EMC Update) v0.19_NRA_model_for_NEMO2 (EMC Update) v0.21_NRA_model_for_NEMO2 (EMC Update) v0.29_NRA_model_for_NEMO2 (EMC Update) v0.29.3_NRA_model_for_NEMO2 (EMC Update) v0 30 1" xfId="325" xr:uid="{00000000-0005-0000-0000-0000F0000000}"/>
    <cellStyle name="%_NRA_model_for_NEMO2 (EMC Update) v0.19_NRA_model_for_NEMO2 (EMC Update) v0.21_NRA_model_for_NEMO2 (EMC Update) v0.29_NRA_model_for_NEMO2 (EMC Update) v0.29.3_NRA_model_for_NEMO2 (EMC Update) v0.29.5" xfId="326" xr:uid="{00000000-0005-0000-0000-0000F1000000}"/>
    <cellStyle name="%_NRA_model_for_NEMO2 (EMC Update) v0.19_NRA_model_for_NEMO2 (EMC Update) v0.21_NRA_model_for_NEMO2 (EMC Update) v0.29_NRA_model_for_NEMO2 (EMC Update) v0.29.3_NRA_model_for_NEMO2 (EMC Update) v0.29.5_NRA_model_for_NEMO2 (EMC Update) v0 30 1" xfId="327" xr:uid="{00000000-0005-0000-0000-0000F2000000}"/>
    <cellStyle name="%_NRA_model_for_NEMO2 (EMC Update) v0.19_NRA_model_for_NEMO2 (EMC Update) v0.21_NRA_model_for_NEMO2 (EMC Update) v0.29_NRA_model_for_NEMO2 (EMC Update) v0.29.4" xfId="328" xr:uid="{00000000-0005-0000-0000-0000F3000000}"/>
    <cellStyle name="%_NRA_model_for_NEMO2 (EMC Update) v0.19_NRA_model_for_NEMO2 (EMC Update) v0.21_NRA_model_for_NEMO2 (EMC Update) v0.29_NRA_model_for_NEMO2 (EMC Update) v0.29.4_NRA_model_for_NEMO2 (EMC Update) v0 30 1" xfId="329" xr:uid="{00000000-0005-0000-0000-0000F4000000}"/>
    <cellStyle name="%_NRA_model_for_NEMO2 (EMC Update) v0.19_NRA_model_for_NEMO2 (EMC Update) v0.21_NRA_model_for_NEMO2 (EMC Update) v0.29_NRA_model_for_NEMO2 (EMC Update) v0.29.4_NRA_model_for_NEMO2 (EMC Update) v0.29.5" xfId="330" xr:uid="{00000000-0005-0000-0000-0000F5000000}"/>
    <cellStyle name="%_NRA_model_for_NEMO2 (EMC Update) v0.19_NRA_model_for_NEMO2 (EMC Update) v0.21_NRA_model_for_NEMO2 (EMC Update) v0.29_NRA_model_for_NEMO2 (EMC Update) v0.29.4_NRA_model_for_NEMO2 (EMC Update) v0.29.5_NRA_model_for_NEMO2 (EMC Update) v0 30 1" xfId="331" xr:uid="{00000000-0005-0000-0000-0000F6000000}"/>
    <cellStyle name="%_NRA_model_for_NEMO2 (EMC Update) v0.19_NRA_model_for_NEMO2 (EMC Update) v0.21_NRA_model_for_NEMO2 (EMC Update) v0.29_NRA_model_for_NEMO2 (EMC Update) v0.29.5" xfId="332" xr:uid="{00000000-0005-0000-0000-0000F7000000}"/>
    <cellStyle name="%_NRA_model_for_NEMO2 (EMC Update) v0.19_NRA_model_for_NEMO2 (EMC Update) v0.21_NRA_model_for_NEMO2 (EMC Update) v0.29_NRA_model_for_NEMO2 (EMC Update) v0.29.5_NRA_model_for_NEMO2 (EMC Update) v0 30 1" xfId="333" xr:uid="{00000000-0005-0000-0000-0000F8000000}"/>
    <cellStyle name="%_NRA_model_for_NEMO2 (EMC Update) v0.19_NRA_model_for_NEMO2 (EMC Update) v0.22" xfId="334" xr:uid="{00000000-0005-0000-0000-0000F9000000}"/>
    <cellStyle name="%_NRA_model_for_NEMO2 (EMC Update) v0.19_NRA_model_for_NEMO2 (EMC Update) v0.22_NRA_model_for_NEMO2 (EMC Update) v0 30 1" xfId="335" xr:uid="{00000000-0005-0000-0000-0000FA000000}"/>
    <cellStyle name="%_NRA_model_for_NEMO2 (EMC Update) v0.19_NRA_model_for_NEMO2 (EMC Update) v0.22_NRA_model_for_NEMO2 (EMC Update) v0.25" xfId="336" xr:uid="{00000000-0005-0000-0000-0000FB000000}"/>
    <cellStyle name="%_NRA_model_for_NEMO2 (EMC Update) v0.19_NRA_model_for_NEMO2 (EMC Update) v0.22_NRA_model_for_NEMO2 (EMC Update) v0.25_NRA_model_for_NEMO2 (EMC Update) v0 30 1" xfId="337" xr:uid="{00000000-0005-0000-0000-0000FC000000}"/>
    <cellStyle name="%_NRA_model_for_NEMO2 (EMC Update) v0.19_NRA_model_for_NEMO2 (EMC Update) v0.22_NRA_model_for_NEMO2 (EMC Update) v0.25_NRA_model_for_NEMO2 (EMC Update) v0.26" xfId="338" xr:uid="{00000000-0005-0000-0000-0000FD000000}"/>
    <cellStyle name="%_NRA_model_for_NEMO2 (EMC Update) v0.19_NRA_model_for_NEMO2 (EMC Update) v0.22_NRA_model_for_NEMO2 (EMC Update) v0.25_NRA_model_for_NEMO2 (EMC Update) v0.26_NRA_model_for_NEMO2 (EMC Update) v0 30 1" xfId="339" xr:uid="{00000000-0005-0000-0000-0000FE000000}"/>
    <cellStyle name="%_NRA_model_for_NEMO2 (EMC Update) v0.19_NRA_model_for_NEMO2 (EMC Update) v0.22_NRA_model_for_NEMO2 (EMC Update) v0.25_NRA_model_for_NEMO2 (EMC Update) v0.26_NRA_model_for_NEMO2 (EMC Update) v0.29" xfId="340" xr:uid="{00000000-0005-0000-0000-0000FF000000}"/>
    <cellStyle name="%_NRA_model_for_NEMO2 (EMC Update) v0.19_NRA_model_for_NEMO2 (EMC Update) v0.22_NRA_model_for_NEMO2 (EMC Update) v0.25_NRA_model_for_NEMO2 (EMC Update) v0.26_NRA_model_for_NEMO2 (EMC Update) v0.29.2" xfId="341" xr:uid="{00000000-0005-0000-0000-000000010000}"/>
    <cellStyle name="%_NRA_model_for_NEMO2 (EMC Update) v0.19_NRA_model_for_NEMO2 (EMC Update) v0.22_NRA_model_for_NEMO2 (EMC Update) v0.25_NRA_model_for_NEMO2 (EMC Update) v0.26_NRA_model_for_NEMO2 (EMC Update) v0.29.2_NRA_model_for_NEMO2 (EMC Update) v0 30 1" xfId="342" xr:uid="{00000000-0005-0000-0000-000001010000}"/>
    <cellStyle name="%_NRA_model_for_NEMO2 (EMC Update) v0.19_NRA_model_for_NEMO2 (EMC Update) v0.22_NRA_model_for_NEMO2 (EMC Update) v0.25_NRA_model_for_NEMO2 (EMC Update) v0.26_NRA_model_for_NEMO2 (EMC Update) v0.29.2_NRA_model_for_NEMO2 (EMC Update) v0.29.3" xfId="343" xr:uid="{00000000-0005-0000-0000-000002010000}"/>
    <cellStyle name="%_NRA_model_for_NEMO2 (EMC Update) v0.19_NRA_model_for_NEMO2 (EMC Update) v0.22_NRA_model_for_NEMO2 (EMC Update) v0.25_NRA_model_for_NEMO2 (EMC Update) v0.26_NRA_model_for_NEMO2 (EMC Update) v0.29.2_NRA_model_for_NEMO2 (EMC Update) v0.29.4" xfId="344" xr:uid="{00000000-0005-0000-0000-000003010000}"/>
    <cellStyle name="%_NRA_model_for_NEMO2 (EMC Update) v0.19_NRA_model_for_NEMO2 (EMC Update) v0.22_NRA_model_for_NEMO2 (EMC Update) v0.25_NRA_model_for_NEMO2 (EMC Update) v0.26_NRA_model_for_NEMO2 (EMC Update) v0.29.2_NRA_model_for_NEMO2 (EMC Update) v0.29.5" xfId="345" xr:uid="{00000000-0005-0000-0000-000004010000}"/>
    <cellStyle name="%_NRA_model_for_NEMO2 (EMC Update) v0.19_NRA_model_for_NEMO2 (EMC Update) v0.22_NRA_model_for_NEMO2 (EMC Update) v0.25_NRA_model_for_NEMO2 (EMC Update) v0.26_NRA_model_for_NEMO2 (EMC Update) v0.29.3" xfId="346" xr:uid="{00000000-0005-0000-0000-000005010000}"/>
    <cellStyle name="%_NRA_model_for_NEMO2 (EMC Update) v0.19_NRA_model_for_NEMO2 (EMC Update) v0.22_NRA_model_for_NEMO2 (EMC Update) v0.25_NRA_model_for_NEMO2 (EMC Update) v0.26_NRA_model_for_NEMO2 (EMC Update) v0.29.3_NRA_model_for_NEMO2 (EMC Update) v0 30 1" xfId="347" xr:uid="{00000000-0005-0000-0000-000006010000}"/>
    <cellStyle name="%_NRA_model_for_NEMO2 (EMC Update) v0.19_NRA_model_for_NEMO2 (EMC Update) v0.22_NRA_model_for_NEMO2 (EMC Update) v0.25_NRA_model_for_NEMO2 (EMC Update) v0.26_NRA_model_for_NEMO2 (EMC Update) v0.29.3_NRA_model_for_NEMO2 (EMC Update) v0.29.5" xfId="348" xr:uid="{00000000-0005-0000-0000-000007010000}"/>
    <cellStyle name="%_NRA_model_for_NEMO2 (EMC Update) v0.19_NRA_model_for_NEMO2 (EMC Update) v0.22_NRA_model_for_NEMO2 (EMC Update) v0.25_NRA_model_for_NEMO2 (EMC Update) v0.26_NRA_model_for_NEMO2 (EMC Update) v0.29.4" xfId="349" xr:uid="{00000000-0005-0000-0000-000008010000}"/>
    <cellStyle name="%_NRA_model_for_NEMO2 (EMC Update) v0.19_NRA_model_for_NEMO2 (EMC Update) v0.22_NRA_model_for_NEMO2 (EMC Update) v0.25_NRA_model_for_NEMO2 (EMC Update) v0.26_NRA_model_for_NEMO2 (EMC Update) v0.29.4_NRA_model_for_NEMO2 (EMC Update) v0 30 1" xfId="350" xr:uid="{00000000-0005-0000-0000-000009010000}"/>
    <cellStyle name="%_NRA_model_for_NEMO2 (EMC Update) v0.19_NRA_model_for_NEMO2 (EMC Update) v0.22_NRA_model_for_NEMO2 (EMC Update) v0.25_NRA_model_for_NEMO2 (EMC Update) v0.26_NRA_model_for_NEMO2 (EMC Update) v0.29.4_NRA_model_for_NEMO2 (EMC Update) v0.29.5" xfId="351" xr:uid="{00000000-0005-0000-0000-00000A010000}"/>
    <cellStyle name="%_NRA_model_for_NEMO2 (EMC Update) v0.19_NRA_model_for_NEMO2 (EMC Update) v0.22_NRA_model_for_NEMO2 (EMC Update) v0.25_NRA_model_for_NEMO2 (EMC Update) v0.26_NRA_model_for_NEMO2 (EMC Update) v0.29.5" xfId="352" xr:uid="{00000000-0005-0000-0000-00000B010000}"/>
    <cellStyle name="%_NRA_model_for_NEMO2 (EMC Update) v0.19_NRA_model_for_NEMO2 (EMC Update) v0.22_NRA_model_for_NEMO2 (EMC Update) v0.25_NRA_model_for_NEMO2 (EMC Update) v0.26_NRA_model_for_NEMO2 (EMC Update) v0.29.5_NRA_model_for_NEMO2 (EMC Update) v0 30 1" xfId="353" xr:uid="{00000000-0005-0000-0000-00000C010000}"/>
    <cellStyle name="%_NRA_model_for_NEMO2 (EMC Update) v0.19_NRA_model_for_NEMO2 (EMC Update) v0.22_NRA_model_for_NEMO2 (EMC Update) v0.25_NRA_model_for_NEMO2 (EMC Update) v0.26_NRA_model_for_NEMO2 (EMC Update) v0.29_NRA_model_for_NEMO2 (EMC Update) v0 30 1" xfId="354" xr:uid="{00000000-0005-0000-0000-00000D010000}"/>
    <cellStyle name="%_NRA_model_for_NEMO2 (EMC Update) v0.19_NRA_model_for_NEMO2 (EMC Update) v0.22_NRA_model_for_NEMO2 (EMC Update) v0.25_NRA_model_for_NEMO2 (EMC Update) v0.26_NRA_model_for_NEMO2 (EMC Update) v0.29_NRA_model_for_NEMO2 (EMC Update) v0.29.2" xfId="355" xr:uid="{00000000-0005-0000-0000-00000E010000}"/>
    <cellStyle name="%_NRA_model_for_NEMO2 (EMC Update) v0.19_NRA_model_for_NEMO2 (EMC Update) v0.22_NRA_model_for_NEMO2 (EMC Update) v0.25_NRA_model_for_NEMO2 (EMC Update) v0.26_NRA_model_for_NEMO2 (EMC Update) v0.29_NRA_model_for_NEMO2 (EMC Update) v0.29.3" xfId="356" xr:uid="{00000000-0005-0000-0000-00000F010000}"/>
    <cellStyle name="%_NRA_model_for_NEMO2 (EMC Update) v0.19_NRA_model_for_NEMO2 (EMC Update) v0.22_NRA_model_for_NEMO2 (EMC Update) v0.25_NRA_model_for_NEMO2 (EMC Update) v0.26_NRA_model_for_NEMO2 (EMC Update) v0.29_NRA_model_for_NEMO2 (EMC Update) v0.29.4" xfId="357" xr:uid="{00000000-0005-0000-0000-000010010000}"/>
    <cellStyle name="%_NRA_model_for_NEMO2 (EMC Update) v0.19_NRA_model_for_NEMO2 (EMC Update) v0.22_NRA_model_for_NEMO2 (EMC Update) v0.25_NRA_model_for_NEMO2 (EMC Update) v0.26_NRA_model_for_NEMO2 (EMC Update) v0.29_NRA_model_for_NEMO2 (EMC Update) v0.29.5" xfId="358" xr:uid="{00000000-0005-0000-0000-000011010000}"/>
    <cellStyle name="%_NRA_model_for_NEMO2 (EMC Update) v0.19_NRA_model_for_NEMO2 (EMC Update) v0.22_NRA_model_for_NEMO2 (EMC Update) v0.25_NRA_model_for_NEMO2 (EMC Update) v0.29" xfId="359" xr:uid="{00000000-0005-0000-0000-000012010000}"/>
    <cellStyle name="%_NRA_model_for_NEMO2 (EMC Update) v0.19_NRA_model_for_NEMO2 (EMC Update) v0.22_NRA_model_for_NEMO2 (EMC Update) v0.25_NRA_model_for_NEMO2 (EMC Update) v0.29.2" xfId="360" xr:uid="{00000000-0005-0000-0000-000013010000}"/>
    <cellStyle name="%_NRA_model_for_NEMO2 (EMC Update) v0.19_NRA_model_for_NEMO2 (EMC Update) v0.22_NRA_model_for_NEMO2 (EMC Update) v0.25_NRA_model_for_NEMO2 (EMC Update) v0.29.2_NRA_model_for_NEMO2 (EMC Update) v0 30 1" xfId="361" xr:uid="{00000000-0005-0000-0000-000014010000}"/>
    <cellStyle name="%_NRA_model_for_NEMO2 (EMC Update) v0.19_NRA_model_for_NEMO2 (EMC Update) v0.22_NRA_model_for_NEMO2 (EMC Update) v0.25_NRA_model_for_NEMO2 (EMC Update) v0.29.2_NRA_model_for_NEMO2 (EMC Update) v0.29.3" xfId="362" xr:uid="{00000000-0005-0000-0000-000015010000}"/>
    <cellStyle name="%_NRA_model_for_NEMO2 (EMC Update) v0.19_NRA_model_for_NEMO2 (EMC Update) v0.22_NRA_model_for_NEMO2 (EMC Update) v0.25_NRA_model_for_NEMO2 (EMC Update) v0.29.2_NRA_model_for_NEMO2 (EMC Update) v0.29.3_NRA_model_for_NEMO2 (EMC Update) v0 30 1" xfId="363" xr:uid="{00000000-0005-0000-0000-000016010000}"/>
    <cellStyle name="%_NRA_model_for_NEMO2 (EMC Update) v0.19_NRA_model_for_NEMO2 (EMC Update) v0.22_NRA_model_for_NEMO2 (EMC Update) v0.25_NRA_model_for_NEMO2 (EMC Update) v0.29.2_NRA_model_for_NEMO2 (EMC Update) v0.29.3_NRA_model_for_NEMO2 (EMC Update) v0.29.5" xfId="364" xr:uid="{00000000-0005-0000-0000-000017010000}"/>
    <cellStyle name="%_NRA_model_for_NEMO2 (EMC Update) v0.19_NRA_model_for_NEMO2 (EMC Update) v0.22_NRA_model_for_NEMO2 (EMC Update) v0.25_NRA_model_for_NEMO2 (EMC Update) v0.29.2_NRA_model_for_NEMO2 (EMC Update) v0.29.4" xfId="365" xr:uid="{00000000-0005-0000-0000-000018010000}"/>
    <cellStyle name="%_NRA_model_for_NEMO2 (EMC Update) v0.19_NRA_model_for_NEMO2 (EMC Update) v0.22_NRA_model_for_NEMO2 (EMC Update) v0.25_NRA_model_for_NEMO2 (EMC Update) v0.29.2_NRA_model_for_NEMO2 (EMC Update) v0.29.4_NRA_model_for_NEMO2 (EMC Update) v0 30 1" xfId="366" xr:uid="{00000000-0005-0000-0000-000019010000}"/>
    <cellStyle name="%_NRA_model_for_NEMO2 (EMC Update) v0.19_NRA_model_for_NEMO2 (EMC Update) v0.22_NRA_model_for_NEMO2 (EMC Update) v0.25_NRA_model_for_NEMO2 (EMC Update) v0.29.2_NRA_model_for_NEMO2 (EMC Update) v0.29.4_NRA_model_for_NEMO2 (EMC Update) v0.29.5" xfId="367" xr:uid="{00000000-0005-0000-0000-00001A010000}"/>
    <cellStyle name="%_NRA_model_for_NEMO2 (EMC Update) v0.19_NRA_model_for_NEMO2 (EMC Update) v0.22_NRA_model_for_NEMO2 (EMC Update) v0.25_NRA_model_for_NEMO2 (EMC Update) v0.29.2_NRA_model_for_NEMO2 (EMC Update) v0.29.5" xfId="368" xr:uid="{00000000-0005-0000-0000-00001B010000}"/>
    <cellStyle name="%_NRA_model_for_NEMO2 (EMC Update) v0.19_NRA_model_for_NEMO2 (EMC Update) v0.22_NRA_model_for_NEMO2 (EMC Update) v0.25_NRA_model_for_NEMO2 (EMC Update) v0.29.2_NRA_model_for_NEMO2 (EMC Update) v0.29.5_NRA_model_for_NEMO2 (EMC Update) v0 30 1" xfId="369" xr:uid="{00000000-0005-0000-0000-00001C010000}"/>
    <cellStyle name="%_NRA_model_for_NEMO2 (EMC Update) v0.19_NRA_model_for_NEMO2 (EMC Update) v0.22_NRA_model_for_NEMO2 (EMC Update) v0.25_NRA_model_for_NEMO2 (EMC Update) v0.29.3" xfId="370" xr:uid="{00000000-0005-0000-0000-00001D010000}"/>
    <cellStyle name="%_NRA_model_for_NEMO2 (EMC Update) v0.19_NRA_model_for_NEMO2 (EMC Update) v0.22_NRA_model_for_NEMO2 (EMC Update) v0.25_NRA_model_for_NEMO2 (EMC Update) v0.29.3_NRA_model_for_NEMO2 (EMC Update) v0 30 1" xfId="371" xr:uid="{00000000-0005-0000-0000-00001E010000}"/>
    <cellStyle name="%_NRA_model_for_NEMO2 (EMC Update) v0.19_NRA_model_for_NEMO2 (EMC Update) v0.22_NRA_model_for_NEMO2 (EMC Update) v0.25_NRA_model_for_NEMO2 (EMC Update) v0.29.3_NRA_model_for_NEMO2 (EMC Update) v0.29.5" xfId="372" xr:uid="{00000000-0005-0000-0000-00001F010000}"/>
    <cellStyle name="%_NRA_model_for_NEMO2 (EMC Update) v0.19_NRA_model_for_NEMO2 (EMC Update) v0.22_NRA_model_for_NEMO2 (EMC Update) v0.25_NRA_model_for_NEMO2 (EMC Update) v0.29.3_NRA_model_for_NEMO2 (EMC Update) v0.29.5_NRA_model_for_NEMO2 (EMC Update) v0 30 1" xfId="373" xr:uid="{00000000-0005-0000-0000-000020010000}"/>
    <cellStyle name="%_NRA_model_for_NEMO2 (EMC Update) v0.19_NRA_model_for_NEMO2 (EMC Update) v0.22_NRA_model_for_NEMO2 (EMC Update) v0.25_NRA_model_for_NEMO2 (EMC Update) v0.29.4" xfId="374" xr:uid="{00000000-0005-0000-0000-000021010000}"/>
    <cellStyle name="%_NRA_model_for_NEMO2 (EMC Update) v0.19_NRA_model_for_NEMO2 (EMC Update) v0.22_NRA_model_for_NEMO2 (EMC Update) v0.25_NRA_model_for_NEMO2 (EMC Update) v0.29.4_NRA_model_for_NEMO2 (EMC Update) v0 30 1" xfId="375" xr:uid="{00000000-0005-0000-0000-000022010000}"/>
    <cellStyle name="%_NRA_model_for_NEMO2 (EMC Update) v0.19_NRA_model_for_NEMO2 (EMC Update) v0.22_NRA_model_for_NEMO2 (EMC Update) v0.25_NRA_model_for_NEMO2 (EMC Update) v0.29.4_NRA_model_for_NEMO2 (EMC Update) v0.29.5" xfId="376" xr:uid="{00000000-0005-0000-0000-000023010000}"/>
    <cellStyle name="%_NRA_model_for_NEMO2 (EMC Update) v0.19_NRA_model_for_NEMO2 (EMC Update) v0.22_NRA_model_for_NEMO2 (EMC Update) v0.25_NRA_model_for_NEMO2 (EMC Update) v0.29.4_NRA_model_for_NEMO2 (EMC Update) v0.29.5_NRA_model_for_NEMO2 (EMC Update) v0 30 1" xfId="377" xr:uid="{00000000-0005-0000-0000-000024010000}"/>
    <cellStyle name="%_NRA_model_for_NEMO2 (EMC Update) v0.19_NRA_model_for_NEMO2 (EMC Update) v0.22_NRA_model_for_NEMO2 (EMC Update) v0.25_NRA_model_for_NEMO2 (EMC Update) v0.29.5" xfId="378" xr:uid="{00000000-0005-0000-0000-000025010000}"/>
    <cellStyle name="%_NRA_model_for_NEMO2 (EMC Update) v0.19_NRA_model_for_NEMO2 (EMC Update) v0.22_NRA_model_for_NEMO2 (EMC Update) v0.25_NRA_model_for_NEMO2 (EMC Update) v0.29.5_NRA_model_for_NEMO2 (EMC Update) v0 30 1" xfId="379" xr:uid="{00000000-0005-0000-0000-000026010000}"/>
    <cellStyle name="%_NRA_model_for_NEMO2 (EMC Update) v0.19_NRA_model_for_NEMO2 (EMC Update) v0.22_NRA_model_for_NEMO2 (EMC Update) v0.25_NRA_model_for_NEMO2 (EMC Update) v0.29_NRA_model_for_NEMO2 (EMC Update) v0 30 1" xfId="380" xr:uid="{00000000-0005-0000-0000-000027010000}"/>
    <cellStyle name="%_NRA_model_for_NEMO2 (EMC Update) v0.19_NRA_model_for_NEMO2 (EMC Update) v0.22_NRA_model_for_NEMO2 (EMC Update) v0.25_NRA_model_for_NEMO2 (EMC Update) v0.29_NRA_model_for_NEMO2 (EMC Update) v0.29.2" xfId="381" xr:uid="{00000000-0005-0000-0000-000028010000}"/>
    <cellStyle name="%_NRA_model_for_NEMO2 (EMC Update) v0.19_NRA_model_for_NEMO2 (EMC Update) v0.22_NRA_model_for_NEMO2 (EMC Update) v0.25_NRA_model_for_NEMO2 (EMC Update) v0.29_NRA_model_for_NEMO2 (EMC Update) v0.29.2_NRA_model_for_NEMO2 (EMC Update) v0 30 1" xfId="382" xr:uid="{00000000-0005-0000-0000-000029010000}"/>
    <cellStyle name="%_NRA_model_for_NEMO2 (EMC Update) v0.19_NRA_model_for_NEMO2 (EMC Update) v0.22_NRA_model_for_NEMO2 (EMC Update) v0.25_NRA_model_for_NEMO2 (EMC Update) v0.29_NRA_model_for_NEMO2 (EMC Update) v0.29.2_NRA_model_for_NEMO2 (EMC Update) v0.29.3" xfId="383" xr:uid="{00000000-0005-0000-0000-00002A010000}"/>
    <cellStyle name="%_NRA_model_for_NEMO2 (EMC Update) v0.19_NRA_model_for_NEMO2 (EMC Update) v0.22_NRA_model_for_NEMO2 (EMC Update) v0.25_NRA_model_for_NEMO2 (EMC Update) v0.29_NRA_model_for_NEMO2 (EMC Update) v0.29.2_NRA_model_for_NEMO2 (EMC Update) v0.29.4" xfId="384" xr:uid="{00000000-0005-0000-0000-00002B010000}"/>
    <cellStyle name="%_NRA_model_for_NEMO2 (EMC Update) v0.19_NRA_model_for_NEMO2 (EMC Update) v0.22_NRA_model_for_NEMO2 (EMC Update) v0.25_NRA_model_for_NEMO2 (EMC Update) v0.29_NRA_model_for_NEMO2 (EMC Update) v0.29.2_NRA_model_for_NEMO2 (EMC Update) v0.29.5" xfId="385" xr:uid="{00000000-0005-0000-0000-00002C010000}"/>
    <cellStyle name="%_NRA_model_for_NEMO2 (EMC Update) v0.19_NRA_model_for_NEMO2 (EMC Update) v0.22_NRA_model_for_NEMO2 (EMC Update) v0.25_NRA_model_for_NEMO2 (EMC Update) v0.29_NRA_model_for_NEMO2 (EMC Update) v0.29.3" xfId="386" xr:uid="{00000000-0005-0000-0000-00002D010000}"/>
    <cellStyle name="%_NRA_model_for_NEMO2 (EMC Update) v0.19_NRA_model_for_NEMO2 (EMC Update) v0.22_NRA_model_for_NEMO2 (EMC Update) v0.25_NRA_model_for_NEMO2 (EMC Update) v0.29_NRA_model_for_NEMO2 (EMC Update) v0.29.3_NRA_model_for_NEMO2 (EMC Update) v0 30 1" xfId="387" xr:uid="{00000000-0005-0000-0000-00002E010000}"/>
    <cellStyle name="%_NRA_model_for_NEMO2 (EMC Update) v0.19_NRA_model_for_NEMO2 (EMC Update) v0.22_NRA_model_for_NEMO2 (EMC Update) v0.25_NRA_model_for_NEMO2 (EMC Update) v0.29_NRA_model_for_NEMO2 (EMC Update) v0.29.3_NRA_model_for_NEMO2 (EMC Update) v0.29.5" xfId="388" xr:uid="{00000000-0005-0000-0000-00002F010000}"/>
    <cellStyle name="%_NRA_model_for_NEMO2 (EMC Update) v0.19_NRA_model_for_NEMO2 (EMC Update) v0.22_NRA_model_for_NEMO2 (EMC Update) v0.25_NRA_model_for_NEMO2 (EMC Update) v0.29_NRA_model_for_NEMO2 (EMC Update) v0.29.4" xfId="389" xr:uid="{00000000-0005-0000-0000-000030010000}"/>
    <cellStyle name="%_NRA_model_for_NEMO2 (EMC Update) v0.19_NRA_model_for_NEMO2 (EMC Update) v0.22_NRA_model_for_NEMO2 (EMC Update) v0.25_NRA_model_for_NEMO2 (EMC Update) v0.29_NRA_model_for_NEMO2 (EMC Update) v0.29.4_NRA_model_for_NEMO2 (EMC Update) v0 30 1" xfId="390" xr:uid="{00000000-0005-0000-0000-000031010000}"/>
    <cellStyle name="%_NRA_model_for_NEMO2 (EMC Update) v0.19_NRA_model_for_NEMO2 (EMC Update) v0.22_NRA_model_for_NEMO2 (EMC Update) v0.25_NRA_model_for_NEMO2 (EMC Update) v0.29_NRA_model_for_NEMO2 (EMC Update) v0.29.4_NRA_model_for_NEMO2 (EMC Update) v0.29.5" xfId="391" xr:uid="{00000000-0005-0000-0000-000032010000}"/>
    <cellStyle name="%_NRA_model_for_NEMO2 (EMC Update) v0.19_NRA_model_for_NEMO2 (EMC Update) v0.22_NRA_model_for_NEMO2 (EMC Update) v0.25_NRA_model_for_NEMO2 (EMC Update) v0.29_NRA_model_for_NEMO2 (EMC Update) v0.29.5" xfId="392" xr:uid="{00000000-0005-0000-0000-000033010000}"/>
    <cellStyle name="%_NRA_model_for_NEMO2 (EMC Update) v0.19_NRA_model_for_NEMO2 (EMC Update) v0.22_NRA_model_for_NEMO2 (EMC Update) v0.25_NRA_model_for_NEMO2 (EMC Update) v0.29_NRA_model_for_NEMO2 (EMC Update) v0.29.5_NRA_model_for_NEMO2 (EMC Update) v0 30 1" xfId="393" xr:uid="{00000000-0005-0000-0000-000034010000}"/>
    <cellStyle name="%_NRA_model_for_NEMO2 (EMC Update) v0.19_NRA_model_for_NEMO2 (EMC Update) v0.22_NRA_model_for_NEMO2 (EMC Update) v0.26" xfId="394" xr:uid="{00000000-0005-0000-0000-000035010000}"/>
    <cellStyle name="%_NRA_model_for_NEMO2 (EMC Update) v0.19_NRA_model_for_NEMO2 (EMC Update) v0.22_NRA_model_for_NEMO2 (EMC Update) v0.26_NRA_model_for_NEMO2 (EMC Update) v0 30 1" xfId="395" xr:uid="{00000000-0005-0000-0000-000036010000}"/>
    <cellStyle name="%_NRA_model_for_NEMO2 (EMC Update) v0.19_NRA_model_for_NEMO2 (EMC Update) v0.22_NRA_model_for_NEMO2 (EMC Update) v0.26_NRA_model_for_NEMO2 (EMC Update) v0.29" xfId="396" xr:uid="{00000000-0005-0000-0000-000037010000}"/>
    <cellStyle name="%_NRA_model_for_NEMO2 (EMC Update) v0.19_NRA_model_for_NEMO2 (EMC Update) v0.22_NRA_model_for_NEMO2 (EMC Update) v0.26_NRA_model_for_NEMO2 (EMC Update) v0.29.2" xfId="397" xr:uid="{00000000-0005-0000-0000-000038010000}"/>
    <cellStyle name="%_NRA_model_for_NEMO2 (EMC Update) v0.19_NRA_model_for_NEMO2 (EMC Update) v0.22_NRA_model_for_NEMO2 (EMC Update) v0.26_NRA_model_for_NEMO2 (EMC Update) v0.29.2_NRA_model_for_NEMO2 (EMC Update) v0 30 1" xfId="398" xr:uid="{00000000-0005-0000-0000-000039010000}"/>
    <cellStyle name="%_NRA_model_for_NEMO2 (EMC Update) v0.19_NRA_model_for_NEMO2 (EMC Update) v0.22_NRA_model_for_NEMO2 (EMC Update) v0.26_NRA_model_for_NEMO2 (EMC Update) v0.29.2_NRA_model_for_NEMO2 (EMC Update) v0.29.3" xfId="399" xr:uid="{00000000-0005-0000-0000-00003A010000}"/>
    <cellStyle name="%_NRA_model_for_NEMO2 (EMC Update) v0.19_NRA_model_for_NEMO2 (EMC Update) v0.22_NRA_model_for_NEMO2 (EMC Update) v0.26_NRA_model_for_NEMO2 (EMC Update) v0.29.2_NRA_model_for_NEMO2 (EMC Update) v0.29.3_NRA_model_for_NEMO2 (EMC Update) v0 30 1" xfId="400" xr:uid="{00000000-0005-0000-0000-00003B010000}"/>
    <cellStyle name="%_NRA_model_for_NEMO2 (EMC Update) v0.19_NRA_model_for_NEMO2 (EMC Update) v0.22_NRA_model_for_NEMO2 (EMC Update) v0.26_NRA_model_for_NEMO2 (EMC Update) v0.29.2_NRA_model_for_NEMO2 (EMC Update) v0.29.3_NRA_model_for_NEMO2 (EMC Update) v0.29.5" xfId="401" xr:uid="{00000000-0005-0000-0000-00003C010000}"/>
    <cellStyle name="%_NRA_model_for_NEMO2 (EMC Update) v0.19_NRA_model_for_NEMO2 (EMC Update) v0.22_NRA_model_for_NEMO2 (EMC Update) v0.26_NRA_model_for_NEMO2 (EMC Update) v0.29.2_NRA_model_for_NEMO2 (EMC Update) v0.29.4" xfId="402" xr:uid="{00000000-0005-0000-0000-00003D010000}"/>
    <cellStyle name="%_NRA_model_for_NEMO2 (EMC Update) v0.19_NRA_model_for_NEMO2 (EMC Update) v0.22_NRA_model_for_NEMO2 (EMC Update) v0.26_NRA_model_for_NEMO2 (EMC Update) v0.29.2_NRA_model_for_NEMO2 (EMC Update) v0.29.4_NRA_model_for_NEMO2 (EMC Update) v0 30 1" xfId="403" xr:uid="{00000000-0005-0000-0000-00003E010000}"/>
    <cellStyle name="%_NRA_model_for_NEMO2 (EMC Update) v0.19_NRA_model_for_NEMO2 (EMC Update) v0.22_NRA_model_for_NEMO2 (EMC Update) v0.26_NRA_model_for_NEMO2 (EMC Update) v0.29.2_NRA_model_for_NEMO2 (EMC Update) v0.29.4_NRA_model_for_NEMO2 (EMC Update) v0.29.5" xfId="404" xr:uid="{00000000-0005-0000-0000-00003F010000}"/>
    <cellStyle name="%_NRA_model_for_NEMO2 (EMC Update) v0.19_NRA_model_for_NEMO2 (EMC Update) v0.22_NRA_model_for_NEMO2 (EMC Update) v0.26_NRA_model_for_NEMO2 (EMC Update) v0.29.2_NRA_model_for_NEMO2 (EMC Update) v0.29.5" xfId="405" xr:uid="{00000000-0005-0000-0000-000040010000}"/>
    <cellStyle name="%_NRA_model_for_NEMO2 (EMC Update) v0.19_NRA_model_for_NEMO2 (EMC Update) v0.22_NRA_model_for_NEMO2 (EMC Update) v0.26_NRA_model_for_NEMO2 (EMC Update) v0.29.2_NRA_model_for_NEMO2 (EMC Update) v0.29.5_NRA_model_for_NEMO2 (EMC Update) v0 30 1" xfId="406" xr:uid="{00000000-0005-0000-0000-000041010000}"/>
    <cellStyle name="%_NRA_model_for_NEMO2 (EMC Update) v0.19_NRA_model_for_NEMO2 (EMC Update) v0.22_NRA_model_for_NEMO2 (EMC Update) v0.26_NRA_model_for_NEMO2 (EMC Update) v0.29.3" xfId="407" xr:uid="{00000000-0005-0000-0000-000042010000}"/>
    <cellStyle name="%_NRA_model_for_NEMO2 (EMC Update) v0.19_NRA_model_for_NEMO2 (EMC Update) v0.22_NRA_model_for_NEMO2 (EMC Update) v0.26_NRA_model_for_NEMO2 (EMC Update) v0.29.3_NRA_model_for_NEMO2 (EMC Update) v0 30 1" xfId="408" xr:uid="{00000000-0005-0000-0000-000043010000}"/>
    <cellStyle name="%_NRA_model_for_NEMO2 (EMC Update) v0.19_NRA_model_for_NEMO2 (EMC Update) v0.22_NRA_model_for_NEMO2 (EMC Update) v0.26_NRA_model_for_NEMO2 (EMC Update) v0.29.3_NRA_model_for_NEMO2 (EMC Update) v0.29.5" xfId="409" xr:uid="{00000000-0005-0000-0000-000044010000}"/>
    <cellStyle name="%_NRA_model_for_NEMO2 (EMC Update) v0.19_NRA_model_for_NEMO2 (EMC Update) v0.22_NRA_model_for_NEMO2 (EMC Update) v0.26_NRA_model_for_NEMO2 (EMC Update) v0.29.3_NRA_model_for_NEMO2 (EMC Update) v0.29.5_NRA_model_for_NEMO2 (EMC Update) v0 30 1" xfId="410" xr:uid="{00000000-0005-0000-0000-000045010000}"/>
    <cellStyle name="%_NRA_model_for_NEMO2 (EMC Update) v0.19_NRA_model_for_NEMO2 (EMC Update) v0.22_NRA_model_for_NEMO2 (EMC Update) v0.26_NRA_model_for_NEMO2 (EMC Update) v0.29.4" xfId="411" xr:uid="{00000000-0005-0000-0000-000046010000}"/>
    <cellStyle name="%_NRA_model_for_NEMO2 (EMC Update) v0.19_NRA_model_for_NEMO2 (EMC Update) v0.22_NRA_model_for_NEMO2 (EMC Update) v0.26_NRA_model_for_NEMO2 (EMC Update) v0.29.4_NRA_model_for_NEMO2 (EMC Update) v0 30 1" xfId="412" xr:uid="{00000000-0005-0000-0000-000047010000}"/>
    <cellStyle name="%_NRA_model_for_NEMO2 (EMC Update) v0.19_NRA_model_for_NEMO2 (EMC Update) v0.22_NRA_model_for_NEMO2 (EMC Update) v0.26_NRA_model_for_NEMO2 (EMC Update) v0.29.4_NRA_model_for_NEMO2 (EMC Update) v0.29.5" xfId="413" xr:uid="{00000000-0005-0000-0000-000048010000}"/>
    <cellStyle name="%_NRA_model_for_NEMO2 (EMC Update) v0.19_NRA_model_for_NEMO2 (EMC Update) v0.22_NRA_model_for_NEMO2 (EMC Update) v0.26_NRA_model_for_NEMO2 (EMC Update) v0.29.4_NRA_model_for_NEMO2 (EMC Update) v0.29.5_NRA_model_for_NEMO2 (EMC Update) v0 30 1" xfId="414" xr:uid="{00000000-0005-0000-0000-000049010000}"/>
    <cellStyle name="%_NRA_model_for_NEMO2 (EMC Update) v0.19_NRA_model_for_NEMO2 (EMC Update) v0.22_NRA_model_for_NEMO2 (EMC Update) v0.26_NRA_model_for_NEMO2 (EMC Update) v0.29.5" xfId="415" xr:uid="{00000000-0005-0000-0000-00004A010000}"/>
    <cellStyle name="%_NRA_model_for_NEMO2 (EMC Update) v0.19_NRA_model_for_NEMO2 (EMC Update) v0.22_NRA_model_for_NEMO2 (EMC Update) v0.26_NRA_model_for_NEMO2 (EMC Update) v0.29.5_NRA_model_for_NEMO2 (EMC Update) v0 30 1" xfId="416" xr:uid="{00000000-0005-0000-0000-00004B010000}"/>
    <cellStyle name="%_NRA_model_for_NEMO2 (EMC Update) v0.19_NRA_model_for_NEMO2 (EMC Update) v0.22_NRA_model_for_NEMO2 (EMC Update) v0.26_NRA_model_for_NEMO2 (EMC Update) v0.29_NRA_model_for_NEMO2 (EMC Update) v0 30 1" xfId="417" xr:uid="{00000000-0005-0000-0000-00004C010000}"/>
    <cellStyle name="%_NRA_model_for_NEMO2 (EMC Update) v0.19_NRA_model_for_NEMO2 (EMC Update) v0.22_NRA_model_for_NEMO2 (EMC Update) v0.26_NRA_model_for_NEMO2 (EMC Update) v0.29_NRA_model_for_NEMO2 (EMC Update) v0.29.2" xfId="418" xr:uid="{00000000-0005-0000-0000-00004D010000}"/>
    <cellStyle name="%_NRA_model_for_NEMO2 (EMC Update) v0.19_NRA_model_for_NEMO2 (EMC Update) v0.22_NRA_model_for_NEMO2 (EMC Update) v0.26_NRA_model_for_NEMO2 (EMC Update) v0.29_NRA_model_for_NEMO2 (EMC Update) v0.29.2_NRA_model_for_NEMO2 (EMC Update) v0 30 1" xfId="419" xr:uid="{00000000-0005-0000-0000-00004E010000}"/>
    <cellStyle name="%_NRA_model_for_NEMO2 (EMC Update) v0.19_NRA_model_for_NEMO2 (EMC Update) v0.22_NRA_model_for_NEMO2 (EMC Update) v0.26_NRA_model_for_NEMO2 (EMC Update) v0.29_NRA_model_for_NEMO2 (EMC Update) v0.29.2_NRA_model_for_NEMO2 (EMC Update) v0.29.3" xfId="420" xr:uid="{00000000-0005-0000-0000-00004F010000}"/>
    <cellStyle name="%_NRA_model_for_NEMO2 (EMC Update) v0.19_NRA_model_for_NEMO2 (EMC Update) v0.22_NRA_model_for_NEMO2 (EMC Update) v0.26_NRA_model_for_NEMO2 (EMC Update) v0.29_NRA_model_for_NEMO2 (EMC Update) v0.29.2_NRA_model_for_NEMO2 (EMC Update) v0.29.4" xfId="421" xr:uid="{00000000-0005-0000-0000-000050010000}"/>
    <cellStyle name="%_NRA_model_for_NEMO2 (EMC Update) v0.19_NRA_model_for_NEMO2 (EMC Update) v0.22_NRA_model_for_NEMO2 (EMC Update) v0.26_NRA_model_for_NEMO2 (EMC Update) v0.29_NRA_model_for_NEMO2 (EMC Update) v0.29.2_NRA_model_for_NEMO2 (EMC Update) v0.29.5" xfId="422" xr:uid="{00000000-0005-0000-0000-000051010000}"/>
    <cellStyle name="%_NRA_model_for_NEMO2 (EMC Update) v0.19_NRA_model_for_NEMO2 (EMC Update) v0.22_NRA_model_for_NEMO2 (EMC Update) v0.26_NRA_model_for_NEMO2 (EMC Update) v0.29_NRA_model_for_NEMO2 (EMC Update) v0.29.3" xfId="423" xr:uid="{00000000-0005-0000-0000-000052010000}"/>
    <cellStyle name="%_NRA_model_for_NEMO2 (EMC Update) v0.19_NRA_model_for_NEMO2 (EMC Update) v0.22_NRA_model_for_NEMO2 (EMC Update) v0.26_NRA_model_for_NEMO2 (EMC Update) v0.29_NRA_model_for_NEMO2 (EMC Update) v0.29.3_NRA_model_for_NEMO2 (EMC Update) v0 30 1" xfId="424" xr:uid="{00000000-0005-0000-0000-000053010000}"/>
    <cellStyle name="%_NRA_model_for_NEMO2 (EMC Update) v0.19_NRA_model_for_NEMO2 (EMC Update) v0.22_NRA_model_for_NEMO2 (EMC Update) v0.26_NRA_model_for_NEMO2 (EMC Update) v0.29_NRA_model_for_NEMO2 (EMC Update) v0.29.3_NRA_model_for_NEMO2 (EMC Update) v0.29.5" xfId="425" xr:uid="{00000000-0005-0000-0000-000054010000}"/>
    <cellStyle name="%_NRA_model_for_NEMO2 (EMC Update) v0.19_NRA_model_for_NEMO2 (EMC Update) v0.22_NRA_model_for_NEMO2 (EMC Update) v0.26_NRA_model_for_NEMO2 (EMC Update) v0.29_NRA_model_for_NEMO2 (EMC Update) v0.29.4" xfId="426" xr:uid="{00000000-0005-0000-0000-000055010000}"/>
    <cellStyle name="%_NRA_model_for_NEMO2 (EMC Update) v0.19_NRA_model_for_NEMO2 (EMC Update) v0.22_NRA_model_for_NEMO2 (EMC Update) v0.26_NRA_model_for_NEMO2 (EMC Update) v0.29_NRA_model_for_NEMO2 (EMC Update) v0.29.4_NRA_model_for_NEMO2 (EMC Update) v0 30 1" xfId="427" xr:uid="{00000000-0005-0000-0000-000056010000}"/>
    <cellStyle name="%_NRA_model_for_NEMO2 (EMC Update) v0.19_NRA_model_for_NEMO2 (EMC Update) v0.22_NRA_model_for_NEMO2 (EMC Update) v0.26_NRA_model_for_NEMO2 (EMC Update) v0.29_NRA_model_for_NEMO2 (EMC Update) v0.29.4_NRA_model_for_NEMO2 (EMC Update) v0.29.5" xfId="428" xr:uid="{00000000-0005-0000-0000-000057010000}"/>
    <cellStyle name="%_NRA_model_for_NEMO2 (EMC Update) v0.19_NRA_model_for_NEMO2 (EMC Update) v0.22_NRA_model_for_NEMO2 (EMC Update) v0.26_NRA_model_for_NEMO2 (EMC Update) v0.29_NRA_model_for_NEMO2 (EMC Update) v0.29.5" xfId="429" xr:uid="{00000000-0005-0000-0000-000058010000}"/>
    <cellStyle name="%_NRA_model_for_NEMO2 (EMC Update) v0.19_NRA_model_for_NEMO2 (EMC Update) v0.22_NRA_model_for_NEMO2 (EMC Update) v0.26_NRA_model_for_NEMO2 (EMC Update) v0.29_NRA_model_for_NEMO2 (EMC Update) v0.29.5_NRA_model_for_NEMO2 (EMC Update) v0 30 1" xfId="430" xr:uid="{00000000-0005-0000-0000-000059010000}"/>
    <cellStyle name="%_NRA_model_for_NEMO2 (EMC Update) v0.19_NRA_model_for_NEMO2 (EMC Update) v0.22_NRA_model_for_NEMO2 (EMC Update) v0.29" xfId="431" xr:uid="{00000000-0005-0000-0000-00005A010000}"/>
    <cellStyle name="%_NRA_model_for_NEMO2 (EMC Update) v0.19_NRA_model_for_NEMO2 (EMC Update) v0.22_NRA_model_for_NEMO2 (EMC Update) v0.29.2" xfId="432" xr:uid="{00000000-0005-0000-0000-00005B010000}"/>
    <cellStyle name="%_NRA_model_for_NEMO2 (EMC Update) v0.19_NRA_model_for_NEMO2 (EMC Update) v0.22_NRA_model_for_NEMO2 (EMC Update) v0.29.2_NRA_model_for_NEMO2 (EMC Update) v0 30 1" xfId="433" xr:uid="{00000000-0005-0000-0000-00005C010000}"/>
    <cellStyle name="%_NRA_model_for_NEMO2 (EMC Update) v0.19_NRA_model_for_NEMO2 (EMC Update) v0.22_NRA_model_for_NEMO2 (EMC Update) v0.29.2_NRA_model_for_NEMO2 (EMC Update) v0.29.3" xfId="434" xr:uid="{00000000-0005-0000-0000-00005D010000}"/>
    <cellStyle name="%_NRA_model_for_NEMO2 (EMC Update) v0.19_NRA_model_for_NEMO2 (EMC Update) v0.22_NRA_model_for_NEMO2 (EMC Update) v0.29.2_NRA_model_for_NEMO2 (EMC Update) v0.29.3_NRA_model_for_NEMO2 (EMC Update) v0 30 1" xfId="435" xr:uid="{00000000-0005-0000-0000-00005E010000}"/>
    <cellStyle name="%_NRA_model_for_NEMO2 (EMC Update) v0.19_NRA_model_for_NEMO2 (EMC Update) v0.22_NRA_model_for_NEMO2 (EMC Update) v0.29.2_NRA_model_for_NEMO2 (EMC Update) v0.29.3_NRA_model_for_NEMO2 (EMC Update) v0.29.5" xfId="436" xr:uid="{00000000-0005-0000-0000-00005F010000}"/>
    <cellStyle name="%_NRA_model_for_NEMO2 (EMC Update) v0.19_NRA_model_for_NEMO2 (EMC Update) v0.22_NRA_model_for_NEMO2 (EMC Update) v0.29.2_NRA_model_for_NEMO2 (EMC Update) v0.29.3_NRA_model_for_NEMO2 (EMC Update) v0.29.5_NRA_model_for_NEMO2 (EMC Update) v0 30 1" xfId="437" xr:uid="{00000000-0005-0000-0000-000060010000}"/>
    <cellStyle name="%_NRA_model_for_NEMO2 (EMC Update) v0.19_NRA_model_for_NEMO2 (EMC Update) v0.22_NRA_model_for_NEMO2 (EMC Update) v0.29.2_NRA_model_for_NEMO2 (EMC Update) v0.29.4" xfId="438" xr:uid="{00000000-0005-0000-0000-000061010000}"/>
    <cellStyle name="%_NRA_model_for_NEMO2 (EMC Update) v0.19_NRA_model_for_NEMO2 (EMC Update) v0.22_NRA_model_for_NEMO2 (EMC Update) v0.29.2_NRA_model_for_NEMO2 (EMC Update) v0.29.4_NRA_model_for_NEMO2 (EMC Update) v0 30 1" xfId="439" xr:uid="{00000000-0005-0000-0000-000062010000}"/>
    <cellStyle name="%_NRA_model_for_NEMO2 (EMC Update) v0.19_NRA_model_for_NEMO2 (EMC Update) v0.22_NRA_model_for_NEMO2 (EMC Update) v0.29.2_NRA_model_for_NEMO2 (EMC Update) v0.29.4_NRA_model_for_NEMO2 (EMC Update) v0.29.5" xfId="440" xr:uid="{00000000-0005-0000-0000-000063010000}"/>
    <cellStyle name="%_NRA_model_for_NEMO2 (EMC Update) v0.19_NRA_model_for_NEMO2 (EMC Update) v0.22_NRA_model_for_NEMO2 (EMC Update) v0.29.2_NRA_model_for_NEMO2 (EMC Update) v0.29.4_NRA_model_for_NEMO2 (EMC Update) v0.29.5_NRA_model_for_NEMO2 (EMC Update) v0 30 1" xfId="441" xr:uid="{00000000-0005-0000-0000-000064010000}"/>
    <cellStyle name="%_NRA_model_for_NEMO2 (EMC Update) v0.19_NRA_model_for_NEMO2 (EMC Update) v0.22_NRA_model_for_NEMO2 (EMC Update) v0.29.2_NRA_model_for_NEMO2 (EMC Update) v0.29.5" xfId="442" xr:uid="{00000000-0005-0000-0000-000065010000}"/>
    <cellStyle name="%_NRA_model_for_NEMO2 (EMC Update) v0.19_NRA_model_for_NEMO2 (EMC Update) v0.22_NRA_model_for_NEMO2 (EMC Update) v0.29.2_NRA_model_for_NEMO2 (EMC Update) v0.29.5_NRA_model_for_NEMO2 (EMC Update) v0 30 1" xfId="443" xr:uid="{00000000-0005-0000-0000-000066010000}"/>
    <cellStyle name="%_NRA_model_for_NEMO2 (EMC Update) v0.19_NRA_model_for_NEMO2 (EMC Update) v0.22_NRA_model_for_NEMO2 (EMC Update) v0.29.3" xfId="444" xr:uid="{00000000-0005-0000-0000-000067010000}"/>
    <cellStyle name="%_NRA_model_for_NEMO2 (EMC Update) v0.19_NRA_model_for_NEMO2 (EMC Update) v0.22_NRA_model_for_NEMO2 (EMC Update) v0.29.3_NRA_model_for_NEMO2 (EMC Update) v0 30 1" xfId="445" xr:uid="{00000000-0005-0000-0000-000068010000}"/>
    <cellStyle name="%_NRA_model_for_NEMO2 (EMC Update) v0.19_NRA_model_for_NEMO2 (EMC Update) v0.22_NRA_model_for_NEMO2 (EMC Update) v0.29.3_NRA_model_for_NEMO2 (EMC Update) v0.29.5" xfId="446" xr:uid="{00000000-0005-0000-0000-000069010000}"/>
    <cellStyle name="%_NRA_model_for_NEMO2 (EMC Update) v0.19_NRA_model_for_NEMO2 (EMC Update) v0.22_NRA_model_for_NEMO2 (EMC Update) v0.29.3_NRA_model_for_NEMO2 (EMC Update) v0.29.5_NRA_model_for_NEMO2 (EMC Update) v0 30 1" xfId="447" xr:uid="{00000000-0005-0000-0000-00006A010000}"/>
    <cellStyle name="%_NRA_model_for_NEMO2 (EMC Update) v0.19_NRA_model_for_NEMO2 (EMC Update) v0.22_NRA_model_for_NEMO2 (EMC Update) v0.29.4" xfId="448" xr:uid="{00000000-0005-0000-0000-00006B010000}"/>
    <cellStyle name="%_NRA_model_for_NEMO2 (EMC Update) v0.19_NRA_model_for_NEMO2 (EMC Update) v0.22_NRA_model_for_NEMO2 (EMC Update) v0.29.4_NRA_model_for_NEMO2 (EMC Update) v0 30 1" xfId="449" xr:uid="{00000000-0005-0000-0000-00006C010000}"/>
    <cellStyle name="%_NRA_model_for_NEMO2 (EMC Update) v0.19_NRA_model_for_NEMO2 (EMC Update) v0.22_NRA_model_for_NEMO2 (EMC Update) v0.29.4_NRA_model_for_NEMO2 (EMC Update) v0.29.5" xfId="450" xr:uid="{00000000-0005-0000-0000-00006D010000}"/>
    <cellStyle name="%_NRA_model_for_NEMO2 (EMC Update) v0.19_NRA_model_for_NEMO2 (EMC Update) v0.22_NRA_model_for_NEMO2 (EMC Update) v0.29.4_NRA_model_for_NEMO2 (EMC Update) v0.29.5_NRA_model_for_NEMO2 (EMC Update) v0 30 1" xfId="451" xr:uid="{00000000-0005-0000-0000-00006E010000}"/>
    <cellStyle name="%_NRA_model_for_NEMO2 (EMC Update) v0.19_NRA_model_for_NEMO2 (EMC Update) v0.22_NRA_model_for_NEMO2 (EMC Update) v0.29.5" xfId="452" xr:uid="{00000000-0005-0000-0000-00006F010000}"/>
    <cellStyle name="%_NRA_model_for_NEMO2 (EMC Update) v0.19_NRA_model_for_NEMO2 (EMC Update) v0.22_NRA_model_for_NEMO2 (EMC Update) v0.29.5_NRA_model_for_NEMO2 (EMC Update) v0 30 1" xfId="453" xr:uid="{00000000-0005-0000-0000-000070010000}"/>
    <cellStyle name="%_NRA_model_for_NEMO2 (EMC Update) v0.19_NRA_model_for_NEMO2 (EMC Update) v0.22_NRA_model_for_NEMO2 (EMC Update) v0.29_NRA_model_for_NEMO2 (EMC Update) v0 30 1" xfId="454" xr:uid="{00000000-0005-0000-0000-000071010000}"/>
    <cellStyle name="%_NRA_model_for_NEMO2 (EMC Update) v0.19_NRA_model_for_NEMO2 (EMC Update) v0.22_NRA_model_for_NEMO2 (EMC Update) v0.29_NRA_model_for_NEMO2 (EMC Update) v0.29.2" xfId="455" xr:uid="{00000000-0005-0000-0000-000072010000}"/>
    <cellStyle name="%_NRA_model_for_NEMO2 (EMC Update) v0.19_NRA_model_for_NEMO2 (EMC Update) v0.22_NRA_model_for_NEMO2 (EMC Update) v0.29_NRA_model_for_NEMO2 (EMC Update) v0.29.2_NRA_model_for_NEMO2 (EMC Update) v0 30 1" xfId="456" xr:uid="{00000000-0005-0000-0000-000073010000}"/>
    <cellStyle name="%_NRA_model_for_NEMO2 (EMC Update) v0.19_NRA_model_for_NEMO2 (EMC Update) v0.22_NRA_model_for_NEMO2 (EMC Update) v0.29_NRA_model_for_NEMO2 (EMC Update) v0.29.2_NRA_model_for_NEMO2 (EMC Update) v0.29.3" xfId="457" xr:uid="{00000000-0005-0000-0000-000074010000}"/>
    <cellStyle name="%_NRA_model_for_NEMO2 (EMC Update) v0.19_NRA_model_for_NEMO2 (EMC Update) v0.22_NRA_model_for_NEMO2 (EMC Update) v0.29_NRA_model_for_NEMO2 (EMC Update) v0.29.2_NRA_model_for_NEMO2 (EMC Update) v0.29.3_NRA_model_for_NEMO2 (EMC Update) v0 30 1" xfId="458" xr:uid="{00000000-0005-0000-0000-000075010000}"/>
    <cellStyle name="%_NRA_model_for_NEMO2 (EMC Update) v0.19_NRA_model_for_NEMO2 (EMC Update) v0.22_NRA_model_for_NEMO2 (EMC Update) v0.29_NRA_model_for_NEMO2 (EMC Update) v0.29.2_NRA_model_for_NEMO2 (EMC Update) v0.29.3_NRA_model_for_NEMO2 (EMC Update) v0.29.5" xfId="459" xr:uid="{00000000-0005-0000-0000-000076010000}"/>
    <cellStyle name="%_NRA_model_for_NEMO2 (EMC Update) v0.19_NRA_model_for_NEMO2 (EMC Update) v0.22_NRA_model_for_NEMO2 (EMC Update) v0.29_NRA_model_for_NEMO2 (EMC Update) v0.29.2_NRA_model_for_NEMO2 (EMC Update) v0.29.4" xfId="460" xr:uid="{00000000-0005-0000-0000-000077010000}"/>
    <cellStyle name="%_NRA_model_for_NEMO2 (EMC Update) v0.19_NRA_model_for_NEMO2 (EMC Update) v0.22_NRA_model_for_NEMO2 (EMC Update) v0.29_NRA_model_for_NEMO2 (EMC Update) v0.29.2_NRA_model_for_NEMO2 (EMC Update) v0.29.4_NRA_model_for_NEMO2 (EMC Update) v0 30 1" xfId="461" xr:uid="{00000000-0005-0000-0000-000078010000}"/>
    <cellStyle name="%_NRA_model_for_NEMO2 (EMC Update) v0.19_NRA_model_for_NEMO2 (EMC Update) v0.22_NRA_model_for_NEMO2 (EMC Update) v0.29_NRA_model_for_NEMO2 (EMC Update) v0.29.2_NRA_model_for_NEMO2 (EMC Update) v0.29.4_NRA_model_for_NEMO2 (EMC Update) v0.29.5" xfId="462" xr:uid="{00000000-0005-0000-0000-000079010000}"/>
    <cellStyle name="%_NRA_model_for_NEMO2 (EMC Update) v0.19_NRA_model_for_NEMO2 (EMC Update) v0.22_NRA_model_for_NEMO2 (EMC Update) v0.29_NRA_model_for_NEMO2 (EMC Update) v0.29.2_NRA_model_for_NEMO2 (EMC Update) v0.29.5" xfId="463" xr:uid="{00000000-0005-0000-0000-00007A010000}"/>
    <cellStyle name="%_NRA_model_for_NEMO2 (EMC Update) v0.19_NRA_model_for_NEMO2 (EMC Update) v0.22_NRA_model_for_NEMO2 (EMC Update) v0.29_NRA_model_for_NEMO2 (EMC Update) v0.29.2_NRA_model_for_NEMO2 (EMC Update) v0.29.5_NRA_model_for_NEMO2 (EMC Update) v0 30 1" xfId="464" xr:uid="{00000000-0005-0000-0000-00007B010000}"/>
    <cellStyle name="%_NRA_model_for_NEMO2 (EMC Update) v0.19_NRA_model_for_NEMO2 (EMC Update) v0.22_NRA_model_for_NEMO2 (EMC Update) v0.29_NRA_model_for_NEMO2 (EMC Update) v0.29.3" xfId="465" xr:uid="{00000000-0005-0000-0000-00007C010000}"/>
    <cellStyle name="%_NRA_model_for_NEMO2 (EMC Update) v0.19_NRA_model_for_NEMO2 (EMC Update) v0.22_NRA_model_for_NEMO2 (EMC Update) v0.29_NRA_model_for_NEMO2 (EMC Update) v0.29.3_NRA_model_for_NEMO2 (EMC Update) v0 30 1" xfId="466" xr:uid="{00000000-0005-0000-0000-00007D010000}"/>
    <cellStyle name="%_NRA_model_for_NEMO2 (EMC Update) v0.19_NRA_model_for_NEMO2 (EMC Update) v0.22_NRA_model_for_NEMO2 (EMC Update) v0.29_NRA_model_for_NEMO2 (EMC Update) v0.29.3_NRA_model_for_NEMO2 (EMC Update) v0.29.5" xfId="467" xr:uid="{00000000-0005-0000-0000-00007E010000}"/>
    <cellStyle name="%_NRA_model_for_NEMO2 (EMC Update) v0.19_NRA_model_for_NEMO2 (EMC Update) v0.22_NRA_model_for_NEMO2 (EMC Update) v0.29_NRA_model_for_NEMO2 (EMC Update) v0.29.3_NRA_model_for_NEMO2 (EMC Update) v0.29.5_NRA_model_for_NEMO2 (EMC Update) v0 30 1" xfId="468" xr:uid="{00000000-0005-0000-0000-00007F010000}"/>
    <cellStyle name="%_NRA_model_for_NEMO2 (EMC Update) v0.19_NRA_model_for_NEMO2 (EMC Update) v0.22_NRA_model_for_NEMO2 (EMC Update) v0.29_NRA_model_for_NEMO2 (EMC Update) v0.29.4" xfId="469" xr:uid="{00000000-0005-0000-0000-000080010000}"/>
    <cellStyle name="%_NRA_model_for_NEMO2 (EMC Update) v0.19_NRA_model_for_NEMO2 (EMC Update) v0.22_NRA_model_for_NEMO2 (EMC Update) v0.29_NRA_model_for_NEMO2 (EMC Update) v0.29.4_NRA_model_for_NEMO2 (EMC Update) v0 30 1" xfId="470" xr:uid="{00000000-0005-0000-0000-000081010000}"/>
    <cellStyle name="%_NRA_model_for_NEMO2 (EMC Update) v0.19_NRA_model_for_NEMO2 (EMC Update) v0.22_NRA_model_for_NEMO2 (EMC Update) v0.29_NRA_model_for_NEMO2 (EMC Update) v0.29.4_NRA_model_for_NEMO2 (EMC Update) v0.29.5" xfId="471" xr:uid="{00000000-0005-0000-0000-000082010000}"/>
    <cellStyle name="%_NRA_model_for_NEMO2 (EMC Update) v0.19_NRA_model_for_NEMO2 (EMC Update) v0.22_NRA_model_for_NEMO2 (EMC Update) v0.29_NRA_model_for_NEMO2 (EMC Update) v0.29.4_NRA_model_for_NEMO2 (EMC Update) v0.29.5_NRA_model_for_NEMO2 (EMC Update) v0 30 1" xfId="472" xr:uid="{00000000-0005-0000-0000-000083010000}"/>
    <cellStyle name="%_NRA_model_for_NEMO2 (EMC Update) v0.19_NRA_model_for_NEMO2 (EMC Update) v0.22_NRA_model_for_NEMO2 (EMC Update) v0.29_NRA_model_for_NEMO2 (EMC Update) v0.29.5" xfId="473" xr:uid="{00000000-0005-0000-0000-000084010000}"/>
    <cellStyle name="%_NRA_model_for_NEMO2 (EMC Update) v0.19_NRA_model_for_NEMO2 (EMC Update) v0.22_NRA_model_for_NEMO2 (EMC Update) v0.29_NRA_model_for_NEMO2 (EMC Update) v0.29.5_NRA_model_for_NEMO2 (EMC Update) v0 30 1" xfId="474" xr:uid="{00000000-0005-0000-0000-000085010000}"/>
    <cellStyle name="%_NRA_model_for_NEMO2 (EMC Update) v0.19_NRA_model_for_NEMO2 (EMC Update) v0.25" xfId="475" xr:uid="{00000000-0005-0000-0000-000086010000}"/>
    <cellStyle name="%_NRA_model_for_NEMO2 (EMC Update) v0.19_NRA_model_for_NEMO2 (EMC Update) v0.25_NRA_model_for_NEMO2 (EMC Update) v0 30 1" xfId="476" xr:uid="{00000000-0005-0000-0000-000087010000}"/>
    <cellStyle name="%_NRA_model_for_NEMO2 (EMC Update) v0.19_NRA_model_for_NEMO2 (EMC Update) v0.25_NRA_model_for_NEMO2 (EMC Update) v0.26" xfId="477" xr:uid="{00000000-0005-0000-0000-000088010000}"/>
    <cellStyle name="%_NRA_model_for_NEMO2 (EMC Update) v0.19_NRA_model_for_NEMO2 (EMC Update) v0.25_NRA_model_for_NEMO2 (EMC Update) v0.26_NRA_model_for_NEMO2 (EMC Update) v0 30 1" xfId="478" xr:uid="{00000000-0005-0000-0000-000089010000}"/>
    <cellStyle name="%_NRA_model_for_NEMO2 (EMC Update) v0.19_NRA_model_for_NEMO2 (EMC Update) v0.25_NRA_model_for_NEMO2 (EMC Update) v0.26_NRA_model_for_NEMO2 (EMC Update) v0.29" xfId="479" xr:uid="{00000000-0005-0000-0000-00008A010000}"/>
    <cellStyle name="%_NRA_model_for_NEMO2 (EMC Update) v0.19_NRA_model_for_NEMO2 (EMC Update) v0.25_NRA_model_for_NEMO2 (EMC Update) v0.26_NRA_model_for_NEMO2 (EMC Update) v0.29.2" xfId="480" xr:uid="{00000000-0005-0000-0000-00008B010000}"/>
    <cellStyle name="%_NRA_model_for_NEMO2 (EMC Update) v0.19_NRA_model_for_NEMO2 (EMC Update) v0.25_NRA_model_for_NEMO2 (EMC Update) v0.26_NRA_model_for_NEMO2 (EMC Update) v0.29.2_NRA_model_for_NEMO2 (EMC Update) v0 30 1" xfId="481" xr:uid="{00000000-0005-0000-0000-00008C010000}"/>
    <cellStyle name="%_NRA_model_for_NEMO2 (EMC Update) v0.19_NRA_model_for_NEMO2 (EMC Update) v0.25_NRA_model_for_NEMO2 (EMC Update) v0.26_NRA_model_for_NEMO2 (EMC Update) v0.29.2_NRA_model_for_NEMO2 (EMC Update) v0.29.3" xfId="482" xr:uid="{00000000-0005-0000-0000-00008D010000}"/>
    <cellStyle name="%_NRA_model_for_NEMO2 (EMC Update) v0.19_NRA_model_for_NEMO2 (EMC Update) v0.25_NRA_model_for_NEMO2 (EMC Update) v0.26_NRA_model_for_NEMO2 (EMC Update) v0.29.2_NRA_model_for_NEMO2 (EMC Update) v0.29.3_NRA_model_for_NEMO2 (EMC Update) v0 30 1" xfId="483" xr:uid="{00000000-0005-0000-0000-00008E010000}"/>
    <cellStyle name="%_NRA_model_for_NEMO2 (EMC Update) v0.19_NRA_model_for_NEMO2 (EMC Update) v0.25_NRA_model_for_NEMO2 (EMC Update) v0.26_NRA_model_for_NEMO2 (EMC Update) v0.29.2_NRA_model_for_NEMO2 (EMC Update) v0.29.3_NRA_model_for_NEMO2 (EMC Update) v0.29.5" xfId="484" xr:uid="{00000000-0005-0000-0000-00008F010000}"/>
    <cellStyle name="%_NRA_model_for_NEMO2 (EMC Update) v0.19_NRA_model_for_NEMO2 (EMC Update) v0.25_NRA_model_for_NEMO2 (EMC Update) v0.26_NRA_model_for_NEMO2 (EMC Update) v0.29.2_NRA_model_for_NEMO2 (EMC Update) v0.29.4" xfId="485" xr:uid="{00000000-0005-0000-0000-000090010000}"/>
    <cellStyle name="%_NRA_model_for_NEMO2 (EMC Update) v0.19_NRA_model_for_NEMO2 (EMC Update) v0.25_NRA_model_for_NEMO2 (EMC Update) v0.26_NRA_model_for_NEMO2 (EMC Update) v0.29.2_NRA_model_for_NEMO2 (EMC Update) v0.29.4_NRA_model_for_NEMO2 (EMC Update) v0 30 1" xfId="486" xr:uid="{00000000-0005-0000-0000-000091010000}"/>
    <cellStyle name="%_NRA_model_for_NEMO2 (EMC Update) v0.19_NRA_model_for_NEMO2 (EMC Update) v0.25_NRA_model_for_NEMO2 (EMC Update) v0.26_NRA_model_for_NEMO2 (EMC Update) v0.29.2_NRA_model_for_NEMO2 (EMC Update) v0.29.4_NRA_model_for_NEMO2 (EMC Update) v0.29.5" xfId="487" xr:uid="{00000000-0005-0000-0000-000092010000}"/>
    <cellStyle name="%_NRA_model_for_NEMO2 (EMC Update) v0.19_NRA_model_for_NEMO2 (EMC Update) v0.25_NRA_model_for_NEMO2 (EMC Update) v0.26_NRA_model_for_NEMO2 (EMC Update) v0.29.2_NRA_model_for_NEMO2 (EMC Update) v0.29.5" xfId="488" xr:uid="{00000000-0005-0000-0000-000093010000}"/>
    <cellStyle name="%_NRA_model_for_NEMO2 (EMC Update) v0.19_NRA_model_for_NEMO2 (EMC Update) v0.25_NRA_model_for_NEMO2 (EMC Update) v0.26_NRA_model_for_NEMO2 (EMC Update) v0.29.2_NRA_model_for_NEMO2 (EMC Update) v0.29.5_NRA_model_for_NEMO2 (EMC Update) v0 30 1" xfId="489" xr:uid="{00000000-0005-0000-0000-000094010000}"/>
    <cellStyle name="%_NRA_model_for_NEMO2 (EMC Update) v0.19_NRA_model_for_NEMO2 (EMC Update) v0.25_NRA_model_for_NEMO2 (EMC Update) v0.26_NRA_model_for_NEMO2 (EMC Update) v0.29.3" xfId="490" xr:uid="{00000000-0005-0000-0000-000095010000}"/>
    <cellStyle name="%_NRA_model_for_NEMO2 (EMC Update) v0.19_NRA_model_for_NEMO2 (EMC Update) v0.25_NRA_model_for_NEMO2 (EMC Update) v0.26_NRA_model_for_NEMO2 (EMC Update) v0.29.3_NRA_model_for_NEMO2 (EMC Update) v0 30 1" xfId="491" xr:uid="{00000000-0005-0000-0000-000096010000}"/>
    <cellStyle name="%_NRA_model_for_NEMO2 (EMC Update) v0.19_NRA_model_for_NEMO2 (EMC Update) v0.25_NRA_model_for_NEMO2 (EMC Update) v0.26_NRA_model_for_NEMO2 (EMC Update) v0.29.3_NRA_model_for_NEMO2 (EMC Update) v0.29.5" xfId="492" xr:uid="{00000000-0005-0000-0000-000097010000}"/>
    <cellStyle name="%_NRA_model_for_NEMO2 (EMC Update) v0.19_NRA_model_for_NEMO2 (EMC Update) v0.25_NRA_model_for_NEMO2 (EMC Update) v0.26_NRA_model_for_NEMO2 (EMC Update) v0.29.3_NRA_model_for_NEMO2 (EMC Update) v0.29.5_NRA_model_for_NEMO2 (EMC Update) v0 30 1" xfId="493" xr:uid="{00000000-0005-0000-0000-000098010000}"/>
    <cellStyle name="%_NRA_model_for_NEMO2 (EMC Update) v0.19_NRA_model_for_NEMO2 (EMC Update) v0.25_NRA_model_for_NEMO2 (EMC Update) v0.26_NRA_model_for_NEMO2 (EMC Update) v0.29.4" xfId="494" xr:uid="{00000000-0005-0000-0000-000099010000}"/>
    <cellStyle name="%_NRA_model_for_NEMO2 (EMC Update) v0.19_NRA_model_for_NEMO2 (EMC Update) v0.25_NRA_model_for_NEMO2 (EMC Update) v0.26_NRA_model_for_NEMO2 (EMC Update) v0.29.4_NRA_model_for_NEMO2 (EMC Update) v0 30 1" xfId="495" xr:uid="{00000000-0005-0000-0000-00009A010000}"/>
    <cellStyle name="%_NRA_model_for_NEMO2 (EMC Update) v0.19_NRA_model_for_NEMO2 (EMC Update) v0.25_NRA_model_for_NEMO2 (EMC Update) v0.26_NRA_model_for_NEMO2 (EMC Update) v0.29.4_NRA_model_for_NEMO2 (EMC Update) v0.29.5" xfId="496" xr:uid="{00000000-0005-0000-0000-00009B010000}"/>
    <cellStyle name="%_NRA_model_for_NEMO2 (EMC Update) v0.19_NRA_model_for_NEMO2 (EMC Update) v0.25_NRA_model_for_NEMO2 (EMC Update) v0.26_NRA_model_for_NEMO2 (EMC Update) v0.29.4_NRA_model_for_NEMO2 (EMC Update) v0.29.5_NRA_model_for_NEMO2 (EMC Update) v0 30 1" xfId="497" xr:uid="{00000000-0005-0000-0000-00009C010000}"/>
    <cellStyle name="%_NRA_model_for_NEMO2 (EMC Update) v0.19_NRA_model_for_NEMO2 (EMC Update) v0.25_NRA_model_for_NEMO2 (EMC Update) v0.26_NRA_model_for_NEMO2 (EMC Update) v0.29.5" xfId="498" xr:uid="{00000000-0005-0000-0000-00009D010000}"/>
    <cellStyle name="%_NRA_model_for_NEMO2 (EMC Update) v0.19_NRA_model_for_NEMO2 (EMC Update) v0.25_NRA_model_for_NEMO2 (EMC Update) v0.26_NRA_model_for_NEMO2 (EMC Update) v0.29.5_NRA_model_for_NEMO2 (EMC Update) v0 30 1" xfId="499" xr:uid="{00000000-0005-0000-0000-00009E010000}"/>
    <cellStyle name="%_NRA_model_for_NEMO2 (EMC Update) v0.19_NRA_model_for_NEMO2 (EMC Update) v0.25_NRA_model_for_NEMO2 (EMC Update) v0.26_NRA_model_for_NEMO2 (EMC Update) v0.29_NRA_model_for_NEMO2 (EMC Update) v0 30 1" xfId="500" xr:uid="{00000000-0005-0000-0000-00009F010000}"/>
    <cellStyle name="%_NRA_model_for_NEMO2 (EMC Update) v0.19_NRA_model_for_NEMO2 (EMC Update) v0.25_NRA_model_for_NEMO2 (EMC Update) v0.26_NRA_model_for_NEMO2 (EMC Update) v0.29_NRA_model_for_NEMO2 (EMC Update) v0.29.2" xfId="501" xr:uid="{00000000-0005-0000-0000-0000A0010000}"/>
    <cellStyle name="%_NRA_model_for_NEMO2 (EMC Update) v0.19_NRA_model_for_NEMO2 (EMC Update) v0.25_NRA_model_for_NEMO2 (EMC Update) v0.26_NRA_model_for_NEMO2 (EMC Update) v0.29_NRA_model_for_NEMO2 (EMC Update) v0.29.2_NRA_model_for_NEMO2 (EMC Update) v0 30 1" xfId="502" xr:uid="{00000000-0005-0000-0000-0000A1010000}"/>
    <cellStyle name="%_NRA_model_for_NEMO2 (EMC Update) v0.19_NRA_model_for_NEMO2 (EMC Update) v0.25_NRA_model_for_NEMO2 (EMC Update) v0.26_NRA_model_for_NEMO2 (EMC Update) v0.29_NRA_model_for_NEMO2 (EMC Update) v0.29.2_NRA_model_for_NEMO2 (EMC Update) v0.29.3" xfId="503" xr:uid="{00000000-0005-0000-0000-0000A2010000}"/>
    <cellStyle name="%_NRA_model_for_NEMO2 (EMC Update) v0.19_NRA_model_for_NEMO2 (EMC Update) v0.25_NRA_model_for_NEMO2 (EMC Update) v0.26_NRA_model_for_NEMO2 (EMC Update) v0.29_NRA_model_for_NEMO2 (EMC Update) v0.29.2_NRA_model_for_NEMO2 (EMC Update) v0.29.4" xfId="504" xr:uid="{00000000-0005-0000-0000-0000A3010000}"/>
    <cellStyle name="%_NRA_model_for_NEMO2 (EMC Update) v0.19_NRA_model_for_NEMO2 (EMC Update) v0.25_NRA_model_for_NEMO2 (EMC Update) v0.26_NRA_model_for_NEMO2 (EMC Update) v0.29_NRA_model_for_NEMO2 (EMC Update) v0.29.2_NRA_model_for_NEMO2 (EMC Update) v0.29.5" xfId="505" xr:uid="{00000000-0005-0000-0000-0000A4010000}"/>
    <cellStyle name="%_NRA_model_for_NEMO2 (EMC Update) v0.19_NRA_model_for_NEMO2 (EMC Update) v0.25_NRA_model_for_NEMO2 (EMC Update) v0.26_NRA_model_for_NEMO2 (EMC Update) v0.29_NRA_model_for_NEMO2 (EMC Update) v0.29.3" xfId="506" xr:uid="{00000000-0005-0000-0000-0000A5010000}"/>
    <cellStyle name="%_NRA_model_for_NEMO2 (EMC Update) v0.19_NRA_model_for_NEMO2 (EMC Update) v0.25_NRA_model_for_NEMO2 (EMC Update) v0.26_NRA_model_for_NEMO2 (EMC Update) v0.29_NRA_model_for_NEMO2 (EMC Update) v0.29.3_NRA_model_for_NEMO2 (EMC Update) v0 30 1" xfId="507" xr:uid="{00000000-0005-0000-0000-0000A6010000}"/>
    <cellStyle name="%_NRA_model_for_NEMO2 (EMC Update) v0.19_NRA_model_for_NEMO2 (EMC Update) v0.25_NRA_model_for_NEMO2 (EMC Update) v0.26_NRA_model_for_NEMO2 (EMC Update) v0.29_NRA_model_for_NEMO2 (EMC Update) v0.29.3_NRA_model_for_NEMO2 (EMC Update) v0.29.5" xfId="508" xr:uid="{00000000-0005-0000-0000-0000A7010000}"/>
    <cellStyle name="%_NRA_model_for_NEMO2 (EMC Update) v0.19_NRA_model_for_NEMO2 (EMC Update) v0.25_NRA_model_for_NEMO2 (EMC Update) v0.26_NRA_model_for_NEMO2 (EMC Update) v0.29_NRA_model_for_NEMO2 (EMC Update) v0.29.4" xfId="509" xr:uid="{00000000-0005-0000-0000-0000A8010000}"/>
    <cellStyle name="%_NRA_model_for_NEMO2 (EMC Update) v0.19_NRA_model_for_NEMO2 (EMC Update) v0.25_NRA_model_for_NEMO2 (EMC Update) v0.26_NRA_model_for_NEMO2 (EMC Update) v0.29_NRA_model_for_NEMO2 (EMC Update) v0.29.4_NRA_model_for_NEMO2 (EMC Update) v0 30 1" xfId="510" xr:uid="{00000000-0005-0000-0000-0000A9010000}"/>
    <cellStyle name="%_NRA_model_for_NEMO2 (EMC Update) v0.19_NRA_model_for_NEMO2 (EMC Update) v0.25_NRA_model_for_NEMO2 (EMC Update) v0.26_NRA_model_for_NEMO2 (EMC Update) v0.29_NRA_model_for_NEMO2 (EMC Update) v0.29.4_NRA_model_for_NEMO2 (EMC Update) v0.29.5" xfId="511" xr:uid="{00000000-0005-0000-0000-0000AA010000}"/>
    <cellStyle name="%_NRA_model_for_NEMO2 (EMC Update) v0.19_NRA_model_for_NEMO2 (EMC Update) v0.25_NRA_model_for_NEMO2 (EMC Update) v0.26_NRA_model_for_NEMO2 (EMC Update) v0.29_NRA_model_for_NEMO2 (EMC Update) v0.29.5" xfId="512" xr:uid="{00000000-0005-0000-0000-0000AB010000}"/>
    <cellStyle name="%_NRA_model_for_NEMO2 (EMC Update) v0.19_NRA_model_for_NEMO2 (EMC Update) v0.25_NRA_model_for_NEMO2 (EMC Update) v0.26_NRA_model_for_NEMO2 (EMC Update) v0.29_NRA_model_for_NEMO2 (EMC Update) v0.29.5_NRA_model_for_NEMO2 (EMC Update) v0 30 1" xfId="513" xr:uid="{00000000-0005-0000-0000-0000AC010000}"/>
    <cellStyle name="%_NRA_model_for_NEMO2 (EMC Update) v0.19_NRA_model_for_NEMO2 (EMC Update) v0.25_NRA_model_for_NEMO2 (EMC Update) v0.29" xfId="514" xr:uid="{00000000-0005-0000-0000-0000AD010000}"/>
    <cellStyle name="%_NRA_model_for_NEMO2 (EMC Update) v0.19_NRA_model_for_NEMO2 (EMC Update) v0.25_NRA_model_for_NEMO2 (EMC Update) v0.29.2" xfId="515" xr:uid="{00000000-0005-0000-0000-0000AE010000}"/>
    <cellStyle name="%_NRA_model_for_NEMO2 (EMC Update) v0.19_NRA_model_for_NEMO2 (EMC Update) v0.25_NRA_model_for_NEMO2 (EMC Update) v0.29.2_NRA_model_for_NEMO2 (EMC Update) v0 30 1" xfId="516" xr:uid="{00000000-0005-0000-0000-0000AF010000}"/>
    <cellStyle name="%_NRA_model_for_NEMO2 (EMC Update) v0.19_NRA_model_for_NEMO2 (EMC Update) v0.25_NRA_model_for_NEMO2 (EMC Update) v0.29.2_NRA_model_for_NEMO2 (EMC Update) v0.29.3" xfId="517" xr:uid="{00000000-0005-0000-0000-0000B0010000}"/>
    <cellStyle name="%_NRA_model_for_NEMO2 (EMC Update) v0.19_NRA_model_for_NEMO2 (EMC Update) v0.25_NRA_model_for_NEMO2 (EMC Update) v0.29.2_NRA_model_for_NEMO2 (EMC Update) v0.29.3_NRA_model_for_NEMO2 (EMC Update) v0 30 1" xfId="518" xr:uid="{00000000-0005-0000-0000-0000B1010000}"/>
    <cellStyle name="%_NRA_model_for_NEMO2 (EMC Update) v0.19_NRA_model_for_NEMO2 (EMC Update) v0.25_NRA_model_for_NEMO2 (EMC Update) v0.29.2_NRA_model_for_NEMO2 (EMC Update) v0.29.3_NRA_model_for_NEMO2 (EMC Update) v0.29.5" xfId="519" xr:uid="{00000000-0005-0000-0000-0000B2010000}"/>
    <cellStyle name="%_NRA_model_for_NEMO2 (EMC Update) v0.19_NRA_model_for_NEMO2 (EMC Update) v0.25_NRA_model_for_NEMO2 (EMC Update) v0.29.2_NRA_model_for_NEMO2 (EMC Update) v0.29.3_NRA_model_for_NEMO2 (EMC Update) v0.29.5_NRA_model_for_NEMO2 (EMC Update) v0 30 1" xfId="520" xr:uid="{00000000-0005-0000-0000-0000B3010000}"/>
    <cellStyle name="%_NRA_model_for_NEMO2 (EMC Update) v0.19_NRA_model_for_NEMO2 (EMC Update) v0.25_NRA_model_for_NEMO2 (EMC Update) v0.29.2_NRA_model_for_NEMO2 (EMC Update) v0.29.4" xfId="521" xr:uid="{00000000-0005-0000-0000-0000B4010000}"/>
    <cellStyle name="%_NRA_model_for_NEMO2 (EMC Update) v0.19_NRA_model_for_NEMO2 (EMC Update) v0.25_NRA_model_for_NEMO2 (EMC Update) v0.29.2_NRA_model_for_NEMO2 (EMC Update) v0.29.4_NRA_model_for_NEMO2 (EMC Update) v0 30 1" xfId="522" xr:uid="{00000000-0005-0000-0000-0000B5010000}"/>
    <cellStyle name="%_NRA_model_for_NEMO2 (EMC Update) v0.19_NRA_model_for_NEMO2 (EMC Update) v0.25_NRA_model_for_NEMO2 (EMC Update) v0.29.2_NRA_model_for_NEMO2 (EMC Update) v0.29.4_NRA_model_for_NEMO2 (EMC Update) v0.29.5" xfId="523" xr:uid="{00000000-0005-0000-0000-0000B6010000}"/>
    <cellStyle name="%_NRA_model_for_NEMO2 (EMC Update) v0.19_NRA_model_for_NEMO2 (EMC Update) v0.25_NRA_model_for_NEMO2 (EMC Update) v0.29.2_NRA_model_for_NEMO2 (EMC Update) v0.29.4_NRA_model_for_NEMO2 (EMC Update) v0.29.5_NRA_model_for_NEMO2 (EMC Update) v0 30 1" xfId="524" xr:uid="{00000000-0005-0000-0000-0000B7010000}"/>
    <cellStyle name="%_NRA_model_for_NEMO2 (EMC Update) v0.19_NRA_model_for_NEMO2 (EMC Update) v0.25_NRA_model_for_NEMO2 (EMC Update) v0.29.2_NRA_model_for_NEMO2 (EMC Update) v0.29.5" xfId="525" xr:uid="{00000000-0005-0000-0000-0000B8010000}"/>
    <cellStyle name="%_NRA_model_for_NEMO2 (EMC Update) v0.19_NRA_model_for_NEMO2 (EMC Update) v0.25_NRA_model_for_NEMO2 (EMC Update) v0.29.2_NRA_model_for_NEMO2 (EMC Update) v0.29.5_NRA_model_for_NEMO2 (EMC Update) v0 30 1" xfId="526" xr:uid="{00000000-0005-0000-0000-0000B9010000}"/>
    <cellStyle name="%_NRA_model_for_NEMO2 (EMC Update) v0.19_NRA_model_for_NEMO2 (EMC Update) v0.25_NRA_model_for_NEMO2 (EMC Update) v0.29.3" xfId="527" xr:uid="{00000000-0005-0000-0000-0000BA010000}"/>
    <cellStyle name="%_NRA_model_for_NEMO2 (EMC Update) v0.19_NRA_model_for_NEMO2 (EMC Update) v0.25_NRA_model_for_NEMO2 (EMC Update) v0.29.3_NRA_model_for_NEMO2 (EMC Update) v0 30 1" xfId="528" xr:uid="{00000000-0005-0000-0000-0000BB010000}"/>
    <cellStyle name="%_NRA_model_for_NEMO2 (EMC Update) v0.19_NRA_model_for_NEMO2 (EMC Update) v0.25_NRA_model_for_NEMO2 (EMC Update) v0.29.3_NRA_model_for_NEMO2 (EMC Update) v0.29.5" xfId="529" xr:uid="{00000000-0005-0000-0000-0000BC010000}"/>
    <cellStyle name="%_NRA_model_for_NEMO2 (EMC Update) v0.19_NRA_model_for_NEMO2 (EMC Update) v0.25_NRA_model_for_NEMO2 (EMC Update) v0.29.3_NRA_model_for_NEMO2 (EMC Update) v0.29.5_NRA_model_for_NEMO2 (EMC Update) v0 30 1" xfId="530" xr:uid="{00000000-0005-0000-0000-0000BD010000}"/>
    <cellStyle name="%_NRA_model_for_NEMO2 (EMC Update) v0.19_NRA_model_for_NEMO2 (EMC Update) v0.25_NRA_model_for_NEMO2 (EMC Update) v0.29.4" xfId="531" xr:uid="{00000000-0005-0000-0000-0000BE010000}"/>
    <cellStyle name="%_NRA_model_for_NEMO2 (EMC Update) v0.19_NRA_model_for_NEMO2 (EMC Update) v0.25_NRA_model_for_NEMO2 (EMC Update) v0.29.4_NRA_model_for_NEMO2 (EMC Update) v0 30 1" xfId="532" xr:uid="{00000000-0005-0000-0000-0000BF010000}"/>
    <cellStyle name="%_NRA_model_for_NEMO2 (EMC Update) v0.19_NRA_model_for_NEMO2 (EMC Update) v0.25_NRA_model_for_NEMO2 (EMC Update) v0.29.4_NRA_model_for_NEMO2 (EMC Update) v0.29.5" xfId="533" xr:uid="{00000000-0005-0000-0000-0000C0010000}"/>
    <cellStyle name="%_NRA_model_for_NEMO2 (EMC Update) v0.19_NRA_model_for_NEMO2 (EMC Update) v0.25_NRA_model_for_NEMO2 (EMC Update) v0.29.4_NRA_model_for_NEMO2 (EMC Update) v0.29.5_NRA_model_for_NEMO2 (EMC Update) v0 30 1" xfId="534" xr:uid="{00000000-0005-0000-0000-0000C1010000}"/>
    <cellStyle name="%_NRA_model_for_NEMO2 (EMC Update) v0.19_NRA_model_for_NEMO2 (EMC Update) v0.25_NRA_model_for_NEMO2 (EMC Update) v0.29.5" xfId="535" xr:uid="{00000000-0005-0000-0000-0000C2010000}"/>
    <cellStyle name="%_NRA_model_for_NEMO2 (EMC Update) v0.19_NRA_model_for_NEMO2 (EMC Update) v0.25_NRA_model_for_NEMO2 (EMC Update) v0.29.5_NRA_model_for_NEMO2 (EMC Update) v0 30 1" xfId="536" xr:uid="{00000000-0005-0000-0000-0000C3010000}"/>
    <cellStyle name="%_NRA_model_for_NEMO2 (EMC Update) v0.19_NRA_model_for_NEMO2 (EMC Update) v0.25_NRA_model_for_NEMO2 (EMC Update) v0.29_NRA_model_for_NEMO2 (EMC Update) v0 30 1" xfId="537" xr:uid="{00000000-0005-0000-0000-0000C4010000}"/>
    <cellStyle name="%_NRA_model_for_NEMO2 (EMC Update) v0.19_NRA_model_for_NEMO2 (EMC Update) v0.25_NRA_model_for_NEMO2 (EMC Update) v0.29_NRA_model_for_NEMO2 (EMC Update) v0.29.2" xfId="538" xr:uid="{00000000-0005-0000-0000-0000C5010000}"/>
    <cellStyle name="%_NRA_model_for_NEMO2 (EMC Update) v0.19_NRA_model_for_NEMO2 (EMC Update) v0.25_NRA_model_for_NEMO2 (EMC Update) v0.29_NRA_model_for_NEMO2 (EMC Update) v0.29.2_NRA_model_for_NEMO2 (EMC Update) v0 30 1" xfId="539" xr:uid="{00000000-0005-0000-0000-0000C6010000}"/>
    <cellStyle name="%_NRA_model_for_NEMO2 (EMC Update) v0.19_NRA_model_for_NEMO2 (EMC Update) v0.25_NRA_model_for_NEMO2 (EMC Update) v0.29_NRA_model_for_NEMO2 (EMC Update) v0.29.2_NRA_model_for_NEMO2 (EMC Update) v0.29.3" xfId="540" xr:uid="{00000000-0005-0000-0000-0000C7010000}"/>
    <cellStyle name="%_NRA_model_for_NEMO2 (EMC Update) v0.19_NRA_model_for_NEMO2 (EMC Update) v0.25_NRA_model_for_NEMO2 (EMC Update) v0.29_NRA_model_for_NEMO2 (EMC Update) v0.29.2_NRA_model_for_NEMO2 (EMC Update) v0.29.3_NRA_model_for_NEMO2 (EMC Update) v0 30 1" xfId="541" xr:uid="{00000000-0005-0000-0000-0000C8010000}"/>
    <cellStyle name="%_NRA_model_for_NEMO2 (EMC Update) v0.19_NRA_model_for_NEMO2 (EMC Update) v0.25_NRA_model_for_NEMO2 (EMC Update) v0.29_NRA_model_for_NEMO2 (EMC Update) v0.29.2_NRA_model_for_NEMO2 (EMC Update) v0.29.3_NRA_model_for_NEMO2 (EMC Update) v0.29.5" xfId="542" xr:uid="{00000000-0005-0000-0000-0000C9010000}"/>
    <cellStyle name="%_NRA_model_for_NEMO2 (EMC Update) v0.19_NRA_model_for_NEMO2 (EMC Update) v0.25_NRA_model_for_NEMO2 (EMC Update) v0.29_NRA_model_for_NEMO2 (EMC Update) v0.29.2_NRA_model_for_NEMO2 (EMC Update) v0.29.4" xfId="543" xr:uid="{00000000-0005-0000-0000-0000CA010000}"/>
    <cellStyle name="%_NRA_model_for_NEMO2 (EMC Update) v0.19_NRA_model_for_NEMO2 (EMC Update) v0.25_NRA_model_for_NEMO2 (EMC Update) v0.29_NRA_model_for_NEMO2 (EMC Update) v0.29.2_NRA_model_for_NEMO2 (EMC Update) v0.29.4_NRA_model_for_NEMO2 (EMC Update) v0 30 1" xfId="544" xr:uid="{00000000-0005-0000-0000-0000CB010000}"/>
    <cellStyle name="%_NRA_model_for_NEMO2 (EMC Update) v0.19_NRA_model_for_NEMO2 (EMC Update) v0.25_NRA_model_for_NEMO2 (EMC Update) v0.29_NRA_model_for_NEMO2 (EMC Update) v0.29.2_NRA_model_for_NEMO2 (EMC Update) v0.29.4_NRA_model_for_NEMO2 (EMC Update) v0.29.5" xfId="545" xr:uid="{00000000-0005-0000-0000-0000CC010000}"/>
    <cellStyle name="%_NRA_model_for_NEMO2 (EMC Update) v0.19_NRA_model_for_NEMO2 (EMC Update) v0.25_NRA_model_for_NEMO2 (EMC Update) v0.29_NRA_model_for_NEMO2 (EMC Update) v0.29.2_NRA_model_for_NEMO2 (EMC Update) v0.29.5" xfId="546" xr:uid="{00000000-0005-0000-0000-0000CD010000}"/>
    <cellStyle name="%_NRA_model_for_NEMO2 (EMC Update) v0.19_NRA_model_for_NEMO2 (EMC Update) v0.25_NRA_model_for_NEMO2 (EMC Update) v0.29_NRA_model_for_NEMO2 (EMC Update) v0.29.2_NRA_model_for_NEMO2 (EMC Update) v0.29.5_NRA_model_for_NEMO2 (EMC Update) v0 30 1" xfId="547" xr:uid="{00000000-0005-0000-0000-0000CE010000}"/>
    <cellStyle name="%_NRA_model_for_NEMO2 (EMC Update) v0.19_NRA_model_for_NEMO2 (EMC Update) v0.25_NRA_model_for_NEMO2 (EMC Update) v0.29_NRA_model_for_NEMO2 (EMC Update) v0.29.3" xfId="548" xr:uid="{00000000-0005-0000-0000-0000CF010000}"/>
    <cellStyle name="%_NRA_model_for_NEMO2 (EMC Update) v0.19_NRA_model_for_NEMO2 (EMC Update) v0.25_NRA_model_for_NEMO2 (EMC Update) v0.29_NRA_model_for_NEMO2 (EMC Update) v0.29.3_NRA_model_for_NEMO2 (EMC Update) v0 30 1" xfId="549" xr:uid="{00000000-0005-0000-0000-0000D0010000}"/>
    <cellStyle name="%_NRA_model_for_NEMO2 (EMC Update) v0.19_NRA_model_for_NEMO2 (EMC Update) v0.25_NRA_model_for_NEMO2 (EMC Update) v0.29_NRA_model_for_NEMO2 (EMC Update) v0.29.3_NRA_model_for_NEMO2 (EMC Update) v0.29.5" xfId="550" xr:uid="{00000000-0005-0000-0000-0000D1010000}"/>
    <cellStyle name="%_NRA_model_for_NEMO2 (EMC Update) v0.19_NRA_model_for_NEMO2 (EMC Update) v0.25_NRA_model_for_NEMO2 (EMC Update) v0.29_NRA_model_for_NEMO2 (EMC Update) v0.29.3_NRA_model_for_NEMO2 (EMC Update) v0.29.5_NRA_model_for_NEMO2 (EMC Update) v0 30 1" xfId="551" xr:uid="{00000000-0005-0000-0000-0000D2010000}"/>
    <cellStyle name="%_NRA_model_for_NEMO2 (EMC Update) v0.19_NRA_model_for_NEMO2 (EMC Update) v0.25_NRA_model_for_NEMO2 (EMC Update) v0.29_NRA_model_for_NEMO2 (EMC Update) v0.29.4" xfId="552" xr:uid="{00000000-0005-0000-0000-0000D3010000}"/>
    <cellStyle name="%_NRA_model_for_NEMO2 (EMC Update) v0.19_NRA_model_for_NEMO2 (EMC Update) v0.25_NRA_model_for_NEMO2 (EMC Update) v0.29_NRA_model_for_NEMO2 (EMC Update) v0.29.4_NRA_model_for_NEMO2 (EMC Update) v0 30 1" xfId="553" xr:uid="{00000000-0005-0000-0000-0000D4010000}"/>
    <cellStyle name="%_NRA_model_for_NEMO2 (EMC Update) v0.19_NRA_model_for_NEMO2 (EMC Update) v0.25_NRA_model_for_NEMO2 (EMC Update) v0.29_NRA_model_for_NEMO2 (EMC Update) v0.29.4_NRA_model_for_NEMO2 (EMC Update) v0.29.5" xfId="554" xr:uid="{00000000-0005-0000-0000-0000D5010000}"/>
    <cellStyle name="%_NRA_model_for_NEMO2 (EMC Update) v0.19_NRA_model_for_NEMO2 (EMC Update) v0.25_NRA_model_for_NEMO2 (EMC Update) v0.29_NRA_model_for_NEMO2 (EMC Update) v0.29.4_NRA_model_for_NEMO2 (EMC Update) v0.29.5_NRA_model_for_NEMO2 (EMC Update) v0 30 1" xfId="555" xr:uid="{00000000-0005-0000-0000-0000D6010000}"/>
    <cellStyle name="%_NRA_model_for_NEMO2 (EMC Update) v0.19_NRA_model_for_NEMO2 (EMC Update) v0.25_NRA_model_for_NEMO2 (EMC Update) v0.29_NRA_model_for_NEMO2 (EMC Update) v0.29.5" xfId="556" xr:uid="{00000000-0005-0000-0000-0000D7010000}"/>
    <cellStyle name="%_NRA_model_for_NEMO2 (EMC Update) v0.19_NRA_model_for_NEMO2 (EMC Update) v0.25_NRA_model_for_NEMO2 (EMC Update) v0.29_NRA_model_for_NEMO2 (EMC Update) v0.29.5_NRA_model_for_NEMO2 (EMC Update) v0 30 1" xfId="557" xr:uid="{00000000-0005-0000-0000-0000D8010000}"/>
    <cellStyle name="%_NRA_model_for_NEMO2 (EMC Update) v0.19_NRA_model_for_NEMO2 (EMC Update) v0.26" xfId="558" xr:uid="{00000000-0005-0000-0000-0000D9010000}"/>
    <cellStyle name="%_NRA_model_for_NEMO2 (EMC Update) v0.19_NRA_model_for_NEMO2 (EMC Update) v0.26_NRA_model_for_NEMO2 (EMC Update) v0 30 1" xfId="559" xr:uid="{00000000-0005-0000-0000-0000DA010000}"/>
    <cellStyle name="%_NRA_model_for_NEMO2 (EMC Update) v0.19_NRA_model_for_NEMO2 (EMC Update) v0.26_NRA_model_for_NEMO2 (EMC Update) v0.29" xfId="560" xr:uid="{00000000-0005-0000-0000-0000DB010000}"/>
    <cellStyle name="%_NRA_model_for_NEMO2 (EMC Update) v0.19_NRA_model_for_NEMO2 (EMC Update) v0.26_NRA_model_for_NEMO2 (EMC Update) v0.29.2" xfId="561" xr:uid="{00000000-0005-0000-0000-0000DC010000}"/>
    <cellStyle name="%_NRA_model_for_NEMO2 (EMC Update) v0.19_NRA_model_for_NEMO2 (EMC Update) v0.26_NRA_model_for_NEMO2 (EMC Update) v0.29.2_NRA_model_for_NEMO2 (EMC Update) v0 30 1" xfId="562" xr:uid="{00000000-0005-0000-0000-0000DD010000}"/>
    <cellStyle name="%_NRA_model_for_NEMO2 (EMC Update) v0.19_NRA_model_for_NEMO2 (EMC Update) v0.26_NRA_model_for_NEMO2 (EMC Update) v0.29.2_NRA_model_for_NEMO2 (EMC Update) v0.29.3" xfId="563" xr:uid="{00000000-0005-0000-0000-0000DE010000}"/>
    <cellStyle name="%_NRA_model_for_NEMO2 (EMC Update) v0.19_NRA_model_for_NEMO2 (EMC Update) v0.26_NRA_model_for_NEMO2 (EMC Update) v0.29.2_NRA_model_for_NEMO2 (EMC Update) v0.29.3_NRA_model_for_NEMO2 (EMC Update) v0 30 1" xfId="564" xr:uid="{00000000-0005-0000-0000-0000DF010000}"/>
    <cellStyle name="%_NRA_model_for_NEMO2 (EMC Update) v0.19_NRA_model_for_NEMO2 (EMC Update) v0.26_NRA_model_for_NEMO2 (EMC Update) v0.29.2_NRA_model_for_NEMO2 (EMC Update) v0.29.3_NRA_model_for_NEMO2 (EMC Update) v0.29.5" xfId="565" xr:uid="{00000000-0005-0000-0000-0000E0010000}"/>
    <cellStyle name="%_NRA_model_for_NEMO2 (EMC Update) v0.19_NRA_model_for_NEMO2 (EMC Update) v0.26_NRA_model_for_NEMO2 (EMC Update) v0.29.2_NRA_model_for_NEMO2 (EMC Update) v0.29.3_NRA_model_for_NEMO2 (EMC Update) v0.29.5_NRA_model_for_NEMO2 (EMC Update) v0 30 1" xfId="566" xr:uid="{00000000-0005-0000-0000-0000E1010000}"/>
    <cellStyle name="%_NRA_model_for_NEMO2 (EMC Update) v0.19_NRA_model_for_NEMO2 (EMC Update) v0.26_NRA_model_for_NEMO2 (EMC Update) v0.29.2_NRA_model_for_NEMO2 (EMC Update) v0.29.4" xfId="567" xr:uid="{00000000-0005-0000-0000-0000E2010000}"/>
    <cellStyle name="%_NRA_model_for_NEMO2 (EMC Update) v0.19_NRA_model_for_NEMO2 (EMC Update) v0.26_NRA_model_for_NEMO2 (EMC Update) v0.29.2_NRA_model_for_NEMO2 (EMC Update) v0.29.4_NRA_model_for_NEMO2 (EMC Update) v0 30 1" xfId="568" xr:uid="{00000000-0005-0000-0000-0000E3010000}"/>
    <cellStyle name="%_NRA_model_for_NEMO2 (EMC Update) v0.19_NRA_model_for_NEMO2 (EMC Update) v0.26_NRA_model_for_NEMO2 (EMC Update) v0.29.2_NRA_model_for_NEMO2 (EMC Update) v0.29.4_NRA_model_for_NEMO2 (EMC Update) v0.29.5" xfId="569" xr:uid="{00000000-0005-0000-0000-0000E4010000}"/>
    <cellStyle name="%_NRA_model_for_NEMO2 (EMC Update) v0.19_NRA_model_for_NEMO2 (EMC Update) v0.26_NRA_model_for_NEMO2 (EMC Update) v0.29.2_NRA_model_for_NEMO2 (EMC Update) v0.29.4_NRA_model_for_NEMO2 (EMC Update) v0.29.5_NRA_model_for_NEMO2 (EMC Update) v0 30 1" xfId="570" xr:uid="{00000000-0005-0000-0000-0000E5010000}"/>
    <cellStyle name="%_NRA_model_for_NEMO2 (EMC Update) v0.19_NRA_model_for_NEMO2 (EMC Update) v0.26_NRA_model_for_NEMO2 (EMC Update) v0.29.2_NRA_model_for_NEMO2 (EMC Update) v0.29.5" xfId="571" xr:uid="{00000000-0005-0000-0000-0000E6010000}"/>
    <cellStyle name="%_NRA_model_for_NEMO2 (EMC Update) v0.19_NRA_model_for_NEMO2 (EMC Update) v0.26_NRA_model_for_NEMO2 (EMC Update) v0.29.2_NRA_model_for_NEMO2 (EMC Update) v0.29.5_NRA_model_for_NEMO2 (EMC Update) v0 30 1" xfId="572" xr:uid="{00000000-0005-0000-0000-0000E7010000}"/>
    <cellStyle name="%_NRA_model_for_NEMO2 (EMC Update) v0.19_NRA_model_for_NEMO2 (EMC Update) v0.26_NRA_model_for_NEMO2 (EMC Update) v0.29.3" xfId="573" xr:uid="{00000000-0005-0000-0000-0000E8010000}"/>
    <cellStyle name="%_NRA_model_for_NEMO2 (EMC Update) v0.19_NRA_model_for_NEMO2 (EMC Update) v0.26_NRA_model_for_NEMO2 (EMC Update) v0.29.3_NRA_model_for_NEMO2 (EMC Update) v0 30 1" xfId="574" xr:uid="{00000000-0005-0000-0000-0000E9010000}"/>
    <cellStyle name="%_NRA_model_for_NEMO2 (EMC Update) v0.19_NRA_model_for_NEMO2 (EMC Update) v0.26_NRA_model_for_NEMO2 (EMC Update) v0.29.3_NRA_model_for_NEMO2 (EMC Update) v0.29.5" xfId="575" xr:uid="{00000000-0005-0000-0000-0000EA010000}"/>
    <cellStyle name="%_NRA_model_for_NEMO2 (EMC Update) v0.19_NRA_model_for_NEMO2 (EMC Update) v0.26_NRA_model_for_NEMO2 (EMC Update) v0.29.3_NRA_model_for_NEMO2 (EMC Update) v0.29.5_NRA_model_for_NEMO2 (EMC Update) v0 30 1" xfId="576" xr:uid="{00000000-0005-0000-0000-0000EB010000}"/>
    <cellStyle name="%_NRA_model_for_NEMO2 (EMC Update) v0.19_NRA_model_for_NEMO2 (EMC Update) v0.26_NRA_model_for_NEMO2 (EMC Update) v0.29.4" xfId="577" xr:uid="{00000000-0005-0000-0000-0000EC010000}"/>
    <cellStyle name="%_NRA_model_for_NEMO2 (EMC Update) v0.19_NRA_model_for_NEMO2 (EMC Update) v0.26_NRA_model_for_NEMO2 (EMC Update) v0.29.4_NRA_model_for_NEMO2 (EMC Update) v0 30 1" xfId="578" xr:uid="{00000000-0005-0000-0000-0000ED010000}"/>
    <cellStyle name="%_NRA_model_for_NEMO2 (EMC Update) v0.19_NRA_model_for_NEMO2 (EMC Update) v0.26_NRA_model_for_NEMO2 (EMC Update) v0.29.4_NRA_model_for_NEMO2 (EMC Update) v0.29.5" xfId="579" xr:uid="{00000000-0005-0000-0000-0000EE010000}"/>
    <cellStyle name="%_NRA_model_for_NEMO2 (EMC Update) v0.19_NRA_model_for_NEMO2 (EMC Update) v0.26_NRA_model_for_NEMO2 (EMC Update) v0.29.4_NRA_model_for_NEMO2 (EMC Update) v0.29.5_NRA_model_for_NEMO2 (EMC Update) v0 30 1" xfId="580" xr:uid="{00000000-0005-0000-0000-0000EF010000}"/>
    <cellStyle name="%_NRA_model_for_NEMO2 (EMC Update) v0.19_NRA_model_for_NEMO2 (EMC Update) v0.26_NRA_model_for_NEMO2 (EMC Update) v0.29.5" xfId="581" xr:uid="{00000000-0005-0000-0000-0000F0010000}"/>
    <cellStyle name="%_NRA_model_for_NEMO2 (EMC Update) v0.19_NRA_model_for_NEMO2 (EMC Update) v0.26_NRA_model_for_NEMO2 (EMC Update) v0.29.5_NRA_model_for_NEMO2 (EMC Update) v0 30 1" xfId="582" xr:uid="{00000000-0005-0000-0000-0000F1010000}"/>
    <cellStyle name="%_NRA_model_for_NEMO2 (EMC Update) v0.19_NRA_model_for_NEMO2 (EMC Update) v0.26_NRA_model_for_NEMO2 (EMC Update) v0.29_NRA_model_for_NEMO2 (EMC Update) v0 30 1" xfId="583" xr:uid="{00000000-0005-0000-0000-0000F2010000}"/>
    <cellStyle name="%_NRA_model_for_NEMO2 (EMC Update) v0.19_NRA_model_for_NEMO2 (EMC Update) v0.26_NRA_model_for_NEMO2 (EMC Update) v0.29_NRA_model_for_NEMO2 (EMC Update) v0.29.2" xfId="584" xr:uid="{00000000-0005-0000-0000-0000F3010000}"/>
    <cellStyle name="%_NRA_model_for_NEMO2 (EMC Update) v0.19_NRA_model_for_NEMO2 (EMC Update) v0.26_NRA_model_for_NEMO2 (EMC Update) v0.29_NRA_model_for_NEMO2 (EMC Update) v0.29.2_NRA_model_for_NEMO2 (EMC Update) v0 30 1" xfId="585" xr:uid="{00000000-0005-0000-0000-0000F4010000}"/>
    <cellStyle name="%_NRA_model_for_NEMO2 (EMC Update) v0.19_NRA_model_for_NEMO2 (EMC Update) v0.26_NRA_model_for_NEMO2 (EMC Update) v0.29_NRA_model_for_NEMO2 (EMC Update) v0.29.2_NRA_model_for_NEMO2 (EMC Update) v0.29.3" xfId="586" xr:uid="{00000000-0005-0000-0000-0000F5010000}"/>
    <cellStyle name="%_NRA_model_for_NEMO2 (EMC Update) v0.19_NRA_model_for_NEMO2 (EMC Update) v0.26_NRA_model_for_NEMO2 (EMC Update) v0.29_NRA_model_for_NEMO2 (EMC Update) v0.29.2_NRA_model_for_NEMO2 (EMC Update) v0.29.3_NRA_model_for_NEMO2 (EMC Update) v0 30 1" xfId="587" xr:uid="{00000000-0005-0000-0000-0000F6010000}"/>
    <cellStyle name="%_NRA_model_for_NEMO2 (EMC Update) v0.19_NRA_model_for_NEMO2 (EMC Update) v0.26_NRA_model_for_NEMO2 (EMC Update) v0.29_NRA_model_for_NEMO2 (EMC Update) v0.29.2_NRA_model_for_NEMO2 (EMC Update) v0.29.3_NRA_model_for_NEMO2 (EMC Update) v0.29.5" xfId="588" xr:uid="{00000000-0005-0000-0000-0000F7010000}"/>
    <cellStyle name="%_NRA_model_for_NEMO2 (EMC Update) v0.19_NRA_model_for_NEMO2 (EMC Update) v0.26_NRA_model_for_NEMO2 (EMC Update) v0.29_NRA_model_for_NEMO2 (EMC Update) v0.29.2_NRA_model_for_NEMO2 (EMC Update) v0.29.4" xfId="589" xr:uid="{00000000-0005-0000-0000-0000F8010000}"/>
    <cellStyle name="%_NRA_model_for_NEMO2 (EMC Update) v0.19_NRA_model_for_NEMO2 (EMC Update) v0.26_NRA_model_for_NEMO2 (EMC Update) v0.29_NRA_model_for_NEMO2 (EMC Update) v0.29.2_NRA_model_for_NEMO2 (EMC Update) v0.29.4_NRA_model_for_NEMO2 (EMC Update) v0 30 1" xfId="590" xr:uid="{00000000-0005-0000-0000-0000F9010000}"/>
    <cellStyle name="%_NRA_model_for_NEMO2 (EMC Update) v0.19_NRA_model_for_NEMO2 (EMC Update) v0.26_NRA_model_for_NEMO2 (EMC Update) v0.29_NRA_model_for_NEMO2 (EMC Update) v0.29.2_NRA_model_for_NEMO2 (EMC Update) v0.29.4_NRA_model_for_NEMO2 (EMC Update) v0.29.5" xfId="591" xr:uid="{00000000-0005-0000-0000-0000FA010000}"/>
    <cellStyle name="%_NRA_model_for_NEMO2 (EMC Update) v0.19_NRA_model_for_NEMO2 (EMC Update) v0.26_NRA_model_for_NEMO2 (EMC Update) v0.29_NRA_model_for_NEMO2 (EMC Update) v0.29.2_NRA_model_for_NEMO2 (EMC Update) v0.29.5" xfId="592" xr:uid="{00000000-0005-0000-0000-0000FB010000}"/>
    <cellStyle name="%_NRA_model_for_NEMO2 (EMC Update) v0.19_NRA_model_for_NEMO2 (EMC Update) v0.26_NRA_model_for_NEMO2 (EMC Update) v0.29_NRA_model_for_NEMO2 (EMC Update) v0.29.2_NRA_model_for_NEMO2 (EMC Update) v0.29.5_NRA_model_for_NEMO2 (EMC Update) v0 30 1" xfId="593" xr:uid="{00000000-0005-0000-0000-0000FC010000}"/>
    <cellStyle name="%_NRA_model_for_NEMO2 (EMC Update) v0.19_NRA_model_for_NEMO2 (EMC Update) v0.26_NRA_model_for_NEMO2 (EMC Update) v0.29_NRA_model_for_NEMO2 (EMC Update) v0.29.3" xfId="594" xr:uid="{00000000-0005-0000-0000-0000FD010000}"/>
    <cellStyle name="%_NRA_model_for_NEMO2 (EMC Update) v0.19_NRA_model_for_NEMO2 (EMC Update) v0.26_NRA_model_for_NEMO2 (EMC Update) v0.29_NRA_model_for_NEMO2 (EMC Update) v0.29.3_NRA_model_for_NEMO2 (EMC Update) v0 30 1" xfId="595" xr:uid="{00000000-0005-0000-0000-0000FE010000}"/>
    <cellStyle name="%_NRA_model_for_NEMO2 (EMC Update) v0.19_NRA_model_for_NEMO2 (EMC Update) v0.26_NRA_model_for_NEMO2 (EMC Update) v0.29_NRA_model_for_NEMO2 (EMC Update) v0.29.3_NRA_model_for_NEMO2 (EMC Update) v0.29.5" xfId="596" xr:uid="{00000000-0005-0000-0000-0000FF010000}"/>
    <cellStyle name="%_NRA_model_for_NEMO2 (EMC Update) v0.19_NRA_model_for_NEMO2 (EMC Update) v0.26_NRA_model_for_NEMO2 (EMC Update) v0.29_NRA_model_for_NEMO2 (EMC Update) v0.29.3_NRA_model_for_NEMO2 (EMC Update) v0.29.5_NRA_model_for_NEMO2 (EMC Update) v0 30 1" xfId="597" xr:uid="{00000000-0005-0000-0000-000000020000}"/>
    <cellStyle name="%_NRA_model_for_NEMO2 (EMC Update) v0.19_NRA_model_for_NEMO2 (EMC Update) v0.26_NRA_model_for_NEMO2 (EMC Update) v0.29_NRA_model_for_NEMO2 (EMC Update) v0.29.4" xfId="598" xr:uid="{00000000-0005-0000-0000-000001020000}"/>
    <cellStyle name="%_NRA_model_for_NEMO2 (EMC Update) v0.19_NRA_model_for_NEMO2 (EMC Update) v0.26_NRA_model_for_NEMO2 (EMC Update) v0.29_NRA_model_for_NEMO2 (EMC Update) v0.29.4_NRA_model_for_NEMO2 (EMC Update) v0 30 1" xfId="599" xr:uid="{00000000-0005-0000-0000-000002020000}"/>
    <cellStyle name="%_NRA_model_for_NEMO2 (EMC Update) v0.19_NRA_model_for_NEMO2 (EMC Update) v0.26_NRA_model_for_NEMO2 (EMC Update) v0.29_NRA_model_for_NEMO2 (EMC Update) v0.29.4_NRA_model_for_NEMO2 (EMC Update) v0.29.5" xfId="600" xr:uid="{00000000-0005-0000-0000-000003020000}"/>
    <cellStyle name="%_NRA_model_for_NEMO2 (EMC Update) v0.19_NRA_model_for_NEMO2 (EMC Update) v0.26_NRA_model_for_NEMO2 (EMC Update) v0.29_NRA_model_for_NEMO2 (EMC Update) v0.29.4_NRA_model_for_NEMO2 (EMC Update) v0.29.5_NRA_model_for_NEMO2 (EMC Update) v0 30 1" xfId="601" xr:uid="{00000000-0005-0000-0000-000004020000}"/>
    <cellStyle name="%_NRA_model_for_NEMO2 (EMC Update) v0.19_NRA_model_for_NEMO2 (EMC Update) v0.26_NRA_model_for_NEMO2 (EMC Update) v0.29_NRA_model_for_NEMO2 (EMC Update) v0.29.5" xfId="602" xr:uid="{00000000-0005-0000-0000-000005020000}"/>
    <cellStyle name="%_NRA_model_for_NEMO2 (EMC Update) v0.19_NRA_model_for_NEMO2 (EMC Update) v0.26_NRA_model_for_NEMO2 (EMC Update) v0.29_NRA_model_for_NEMO2 (EMC Update) v0.29.5_NRA_model_for_NEMO2 (EMC Update) v0 30 1" xfId="603" xr:uid="{00000000-0005-0000-0000-000006020000}"/>
    <cellStyle name="%_NRA_model_for_NEMO2 (EMC Update) v0.19_NRA_model_for_NEMO2 (EMC Update) v0.29" xfId="604" xr:uid="{00000000-0005-0000-0000-000007020000}"/>
    <cellStyle name="%_NRA_model_for_NEMO2 (EMC Update) v0.19_NRA_model_for_NEMO2 (EMC Update) v0.29.2" xfId="605" xr:uid="{00000000-0005-0000-0000-000008020000}"/>
    <cellStyle name="%_NRA_model_for_NEMO2 (EMC Update) v0.19_NRA_model_for_NEMO2 (EMC Update) v0.29.2_NRA_model_for_NEMO2 (EMC Update) v0 30 1" xfId="606" xr:uid="{00000000-0005-0000-0000-000009020000}"/>
    <cellStyle name="%_NRA_model_for_NEMO2 (EMC Update) v0.19_NRA_model_for_NEMO2 (EMC Update) v0.29.2_NRA_model_for_NEMO2 (EMC Update) v0.29.3" xfId="607" xr:uid="{00000000-0005-0000-0000-00000A020000}"/>
    <cellStyle name="%_NRA_model_for_NEMO2 (EMC Update) v0.19_NRA_model_for_NEMO2 (EMC Update) v0.29.2_NRA_model_for_NEMO2 (EMC Update) v0.29.3_NRA_model_for_NEMO2 (EMC Update) v0 30 1" xfId="608" xr:uid="{00000000-0005-0000-0000-00000B020000}"/>
    <cellStyle name="%_NRA_model_for_NEMO2 (EMC Update) v0.19_NRA_model_for_NEMO2 (EMC Update) v0.29.2_NRA_model_for_NEMO2 (EMC Update) v0.29.3_NRA_model_for_NEMO2 (EMC Update) v0.29.5" xfId="609" xr:uid="{00000000-0005-0000-0000-00000C020000}"/>
    <cellStyle name="%_NRA_model_for_NEMO2 (EMC Update) v0.19_NRA_model_for_NEMO2 (EMC Update) v0.29.2_NRA_model_for_NEMO2 (EMC Update) v0.29.3_NRA_model_for_NEMO2 (EMC Update) v0.29.5_NRA_model_for_NEMO2 (EMC Update) v0 30 1" xfId="610" xr:uid="{00000000-0005-0000-0000-00000D020000}"/>
    <cellStyle name="%_NRA_model_for_NEMO2 (EMC Update) v0.19_NRA_model_for_NEMO2 (EMC Update) v0.29.2_NRA_model_for_NEMO2 (EMC Update) v0.29.4" xfId="611" xr:uid="{00000000-0005-0000-0000-00000E020000}"/>
    <cellStyle name="%_NRA_model_for_NEMO2 (EMC Update) v0.19_NRA_model_for_NEMO2 (EMC Update) v0.29.2_NRA_model_for_NEMO2 (EMC Update) v0.29.4_NRA_model_for_NEMO2 (EMC Update) v0 30 1" xfId="612" xr:uid="{00000000-0005-0000-0000-00000F020000}"/>
    <cellStyle name="%_NRA_model_for_NEMO2 (EMC Update) v0.19_NRA_model_for_NEMO2 (EMC Update) v0.29.2_NRA_model_for_NEMO2 (EMC Update) v0.29.4_NRA_model_for_NEMO2 (EMC Update) v0.29.5" xfId="613" xr:uid="{00000000-0005-0000-0000-000010020000}"/>
    <cellStyle name="%_NRA_model_for_NEMO2 (EMC Update) v0.19_NRA_model_for_NEMO2 (EMC Update) v0.29.2_NRA_model_for_NEMO2 (EMC Update) v0.29.4_NRA_model_for_NEMO2 (EMC Update) v0.29.5_NRA_model_for_NEMO2 (EMC Update) v0 30 1" xfId="614" xr:uid="{00000000-0005-0000-0000-000011020000}"/>
    <cellStyle name="%_NRA_model_for_NEMO2 (EMC Update) v0.19_NRA_model_for_NEMO2 (EMC Update) v0.29.2_NRA_model_for_NEMO2 (EMC Update) v0.29.5" xfId="615" xr:uid="{00000000-0005-0000-0000-000012020000}"/>
    <cellStyle name="%_NRA_model_for_NEMO2 (EMC Update) v0.19_NRA_model_for_NEMO2 (EMC Update) v0.29.2_NRA_model_for_NEMO2 (EMC Update) v0.29.5_NRA_model_for_NEMO2 (EMC Update) v0 30 1" xfId="616" xr:uid="{00000000-0005-0000-0000-000013020000}"/>
    <cellStyle name="%_NRA_model_for_NEMO2 (EMC Update) v0.19_NRA_model_for_NEMO2 (EMC Update) v0.29.3" xfId="617" xr:uid="{00000000-0005-0000-0000-000014020000}"/>
    <cellStyle name="%_NRA_model_for_NEMO2 (EMC Update) v0.19_NRA_model_for_NEMO2 (EMC Update) v0.29.3_NRA_model_for_NEMO2 (EMC Update) v0 30 1" xfId="618" xr:uid="{00000000-0005-0000-0000-000015020000}"/>
    <cellStyle name="%_NRA_model_for_NEMO2 (EMC Update) v0.19_NRA_model_for_NEMO2 (EMC Update) v0.29.3_NRA_model_for_NEMO2 (EMC Update) v0.29.5" xfId="619" xr:uid="{00000000-0005-0000-0000-000016020000}"/>
    <cellStyle name="%_NRA_model_for_NEMO2 (EMC Update) v0.19_NRA_model_for_NEMO2 (EMC Update) v0.29.3_NRA_model_for_NEMO2 (EMC Update) v0.29.5_NRA_model_for_NEMO2 (EMC Update) v0 30 1" xfId="620" xr:uid="{00000000-0005-0000-0000-000017020000}"/>
    <cellStyle name="%_NRA_model_for_NEMO2 (EMC Update) v0.19_NRA_model_for_NEMO2 (EMC Update) v0.29.4" xfId="621" xr:uid="{00000000-0005-0000-0000-000018020000}"/>
    <cellStyle name="%_NRA_model_for_NEMO2 (EMC Update) v0.19_NRA_model_for_NEMO2 (EMC Update) v0.29.4_NRA_model_for_NEMO2 (EMC Update) v0 30 1" xfId="622" xr:uid="{00000000-0005-0000-0000-000019020000}"/>
    <cellStyle name="%_NRA_model_for_NEMO2 (EMC Update) v0.19_NRA_model_for_NEMO2 (EMC Update) v0.29.4_NRA_model_for_NEMO2 (EMC Update) v0.29.5" xfId="623" xr:uid="{00000000-0005-0000-0000-00001A020000}"/>
    <cellStyle name="%_NRA_model_for_NEMO2 (EMC Update) v0.19_NRA_model_for_NEMO2 (EMC Update) v0.29.4_NRA_model_for_NEMO2 (EMC Update) v0.29.5_NRA_model_for_NEMO2 (EMC Update) v0 30 1" xfId="624" xr:uid="{00000000-0005-0000-0000-00001B020000}"/>
    <cellStyle name="%_NRA_model_for_NEMO2 (EMC Update) v0.19_NRA_model_for_NEMO2 (EMC Update) v0.29.5" xfId="625" xr:uid="{00000000-0005-0000-0000-00001C020000}"/>
    <cellStyle name="%_NRA_model_for_NEMO2 (EMC Update) v0.19_NRA_model_for_NEMO2 (EMC Update) v0.29.5_NRA_model_for_NEMO2 (EMC Update) v0 30 1" xfId="626" xr:uid="{00000000-0005-0000-0000-00001D020000}"/>
    <cellStyle name="%_NRA_model_for_NEMO2 (EMC Update) v0.19_NRA_model_for_NEMO2 (EMC Update) v0.29_NRA_model_for_NEMO2 (EMC Update) v0 30 1" xfId="627" xr:uid="{00000000-0005-0000-0000-00001E020000}"/>
    <cellStyle name="%_NRA_model_for_NEMO2 (EMC Update) v0.19_NRA_model_for_NEMO2 (EMC Update) v0.29_NRA_model_for_NEMO2 (EMC Update) v0.29.2" xfId="628" xr:uid="{00000000-0005-0000-0000-00001F020000}"/>
    <cellStyle name="%_NRA_model_for_NEMO2 (EMC Update) v0.19_NRA_model_for_NEMO2 (EMC Update) v0.29_NRA_model_for_NEMO2 (EMC Update) v0.29.2_NRA_model_for_NEMO2 (EMC Update) v0 30 1" xfId="629" xr:uid="{00000000-0005-0000-0000-000020020000}"/>
    <cellStyle name="%_NRA_model_for_NEMO2 (EMC Update) v0.19_NRA_model_for_NEMO2 (EMC Update) v0.29_NRA_model_for_NEMO2 (EMC Update) v0.29.2_NRA_model_for_NEMO2 (EMC Update) v0.29.3" xfId="630" xr:uid="{00000000-0005-0000-0000-000021020000}"/>
    <cellStyle name="%_NRA_model_for_NEMO2 (EMC Update) v0.19_NRA_model_for_NEMO2 (EMC Update) v0.29_NRA_model_for_NEMO2 (EMC Update) v0.29.2_NRA_model_for_NEMO2 (EMC Update) v0.29.3_NRA_model_for_NEMO2 (EMC Update) v0 30 1" xfId="631" xr:uid="{00000000-0005-0000-0000-000022020000}"/>
    <cellStyle name="%_NRA_model_for_NEMO2 (EMC Update) v0.19_NRA_model_for_NEMO2 (EMC Update) v0.29_NRA_model_for_NEMO2 (EMC Update) v0.29.2_NRA_model_for_NEMO2 (EMC Update) v0.29.3_NRA_model_for_NEMO2 (EMC Update) v0.29.5" xfId="632" xr:uid="{00000000-0005-0000-0000-000023020000}"/>
    <cellStyle name="%_NRA_model_for_NEMO2 (EMC Update) v0.19_NRA_model_for_NEMO2 (EMC Update) v0.29_NRA_model_for_NEMO2 (EMC Update) v0.29.2_NRA_model_for_NEMO2 (EMC Update) v0.29.3_NRA_model_for_NEMO2 (EMC Update) v0.29.5_NRA_model_for_NEMO2 (EMC Update) v0 30 1" xfId="633" xr:uid="{00000000-0005-0000-0000-000024020000}"/>
    <cellStyle name="%_NRA_model_for_NEMO2 (EMC Update) v0.19_NRA_model_for_NEMO2 (EMC Update) v0.29_NRA_model_for_NEMO2 (EMC Update) v0.29.2_NRA_model_for_NEMO2 (EMC Update) v0.29.4" xfId="634" xr:uid="{00000000-0005-0000-0000-000025020000}"/>
    <cellStyle name="%_NRA_model_for_NEMO2 (EMC Update) v0.19_NRA_model_for_NEMO2 (EMC Update) v0.29_NRA_model_for_NEMO2 (EMC Update) v0.29.2_NRA_model_for_NEMO2 (EMC Update) v0.29.4_NRA_model_for_NEMO2 (EMC Update) v0 30 1" xfId="635" xr:uid="{00000000-0005-0000-0000-000026020000}"/>
    <cellStyle name="%_NRA_model_for_NEMO2 (EMC Update) v0.19_NRA_model_for_NEMO2 (EMC Update) v0.29_NRA_model_for_NEMO2 (EMC Update) v0.29.2_NRA_model_for_NEMO2 (EMC Update) v0.29.4_NRA_model_for_NEMO2 (EMC Update) v0.29.5" xfId="636" xr:uid="{00000000-0005-0000-0000-000027020000}"/>
    <cellStyle name="%_NRA_model_for_NEMO2 (EMC Update) v0.19_NRA_model_for_NEMO2 (EMC Update) v0.29_NRA_model_for_NEMO2 (EMC Update) v0.29.2_NRA_model_for_NEMO2 (EMC Update) v0.29.4_NRA_model_for_NEMO2 (EMC Update) v0.29.5_NRA_model_for_NEMO2 (EMC Update) v0 30 1" xfId="637" xr:uid="{00000000-0005-0000-0000-000028020000}"/>
    <cellStyle name="%_NRA_model_for_NEMO2 (EMC Update) v0.19_NRA_model_for_NEMO2 (EMC Update) v0.29_NRA_model_for_NEMO2 (EMC Update) v0.29.2_NRA_model_for_NEMO2 (EMC Update) v0.29.5" xfId="638" xr:uid="{00000000-0005-0000-0000-000029020000}"/>
    <cellStyle name="%_NRA_model_for_NEMO2 (EMC Update) v0.19_NRA_model_for_NEMO2 (EMC Update) v0.29_NRA_model_for_NEMO2 (EMC Update) v0.29.2_NRA_model_for_NEMO2 (EMC Update) v0.29.5_NRA_model_for_NEMO2 (EMC Update) v0 30 1" xfId="639" xr:uid="{00000000-0005-0000-0000-00002A020000}"/>
    <cellStyle name="%_NRA_model_for_NEMO2 (EMC Update) v0.19_NRA_model_for_NEMO2 (EMC Update) v0.29_NRA_model_for_NEMO2 (EMC Update) v0.29.3" xfId="640" xr:uid="{00000000-0005-0000-0000-00002B020000}"/>
    <cellStyle name="%_NRA_model_for_NEMO2 (EMC Update) v0.19_NRA_model_for_NEMO2 (EMC Update) v0.29_NRA_model_for_NEMO2 (EMC Update) v0.29.3_NRA_model_for_NEMO2 (EMC Update) v0 30 1" xfId="641" xr:uid="{00000000-0005-0000-0000-00002C020000}"/>
    <cellStyle name="%_NRA_model_for_NEMO2 (EMC Update) v0.19_NRA_model_for_NEMO2 (EMC Update) v0.29_NRA_model_for_NEMO2 (EMC Update) v0.29.3_NRA_model_for_NEMO2 (EMC Update) v0.29.5" xfId="642" xr:uid="{00000000-0005-0000-0000-00002D020000}"/>
    <cellStyle name="%_NRA_model_for_NEMO2 (EMC Update) v0.19_NRA_model_for_NEMO2 (EMC Update) v0.29_NRA_model_for_NEMO2 (EMC Update) v0.29.3_NRA_model_for_NEMO2 (EMC Update) v0.29.5_NRA_model_for_NEMO2 (EMC Update) v0 30 1" xfId="643" xr:uid="{00000000-0005-0000-0000-00002E020000}"/>
    <cellStyle name="%_NRA_model_for_NEMO2 (EMC Update) v0.19_NRA_model_for_NEMO2 (EMC Update) v0.29_NRA_model_for_NEMO2 (EMC Update) v0.29.4" xfId="644" xr:uid="{00000000-0005-0000-0000-00002F020000}"/>
    <cellStyle name="%_NRA_model_for_NEMO2 (EMC Update) v0.19_NRA_model_for_NEMO2 (EMC Update) v0.29_NRA_model_for_NEMO2 (EMC Update) v0.29.4_NRA_model_for_NEMO2 (EMC Update) v0 30 1" xfId="645" xr:uid="{00000000-0005-0000-0000-000030020000}"/>
    <cellStyle name="%_NRA_model_for_NEMO2 (EMC Update) v0.19_NRA_model_for_NEMO2 (EMC Update) v0.29_NRA_model_for_NEMO2 (EMC Update) v0.29.4_NRA_model_for_NEMO2 (EMC Update) v0.29.5" xfId="646" xr:uid="{00000000-0005-0000-0000-000031020000}"/>
    <cellStyle name="%_NRA_model_for_NEMO2 (EMC Update) v0.19_NRA_model_for_NEMO2 (EMC Update) v0.29_NRA_model_for_NEMO2 (EMC Update) v0.29.4_NRA_model_for_NEMO2 (EMC Update) v0.29.5_NRA_model_for_NEMO2 (EMC Update) v0 30 1" xfId="647" xr:uid="{00000000-0005-0000-0000-000032020000}"/>
    <cellStyle name="%_NRA_model_for_NEMO2 (EMC Update) v0.19_NRA_model_for_NEMO2 (EMC Update) v0.29_NRA_model_for_NEMO2 (EMC Update) v0.29.5" xfId="648" xr:uid="{00000000-0005-0000-0000-000033020000}"/>
    <cellStyle name="%_NRA_model_for_NEMO2 (EMC Update) v0.19_NRA_model_for_NEMO2 (EMC Update) v0.29_NRA_model_for_NEMO2 (EMC Update) v0.29.5_NRA_model_for_NEMO2 (EMC Update) v0 30 1" xfId="649" xr:uid="{00000000-0005-0000-0000-000034020000}"/>
    <cellStyle name="%_NRA_model_for_NEMO2 (EMC Update) v0.20" xfId="650" xr:uid="{00000000-0005-0000-0000-000035020000}"/>
    <cellStyle name="%_NRA_model_for_NEMO2 (EMC Update) v0.20_NRA_model_for_NEMO2 (EMC Update) v0 30 1" xfId="651" xr:uid="{00000000-0005-0000-0000-000036020000}"/>
    <cellStyle name="%_NRA_model_for_NEMO2 (EMC Update) v0.20_NRA_model_for_NEMO2 (EMC Update) v0.21" xfId="652" xr:uid="{00000000-0005-0000-0000-000037020000}"/>
    <cellStyle name="%_NRA_model_for_NEMO2 (EMC Update) v0.20_NRA_model_for_NEMO2 (EMC Update) v0.21_NRA_model_for_NEMO2 (EMC Update) v0 30 1" xfId="653" xr:uid="{00000000-0005-0000-0000-000038020000}"/>
    <cellStyle name="%_NRA_model_for_NEMO2 (EMC Update) v0.20_NRA_model_for_NEMO2 (EMC Update) v0.21_NRA_model_for_NEMO2 (EMC Update) v0.22" xfId="654" xr:uid="{00000000-0005-0000-0000-000039020000}"/>
    <cellStyle name="%_NRA_model_for_NEMO2 (EMC Update) v0.20_NRA_model_for_NEMO2 (EMC Update) v0.21_NRA_model_for_NEMO2 (EMC Update) v0.22_NRA_model_for_NEMO2 (EMC Update) v0 30 1" xfId="655" xr:uid="{00000000-0005-0000-0000-00003A020000}"/>
    <cellStyle name="%_NRA_model_for_NEMO2 (EMC Update) v0.20_NRA_model_for_NEMO2 (EMC Update) v0.21_NRA_model_for_NEMO2 (EMC Update) v0.22_NRA_model_for_NEMO2 (EMC Update) v0.25" xfId="656" xr:uid="{00000000-0005-0000-0000-00003B020000}"/>
    <cellStyle name="%_NRA_model_for_NEMO2 (EMC Update) v0.20_NRA_model_for_NEMO2 (EMC Update) v0.21_NRA_model_for_NEMO2 (EMC Update) v0.22_NRA_model_for_NEMO2 (EMC Update) v0.25_NRA_model_for_NEMO2 (EMC Update) v0 30 1" xfId="657" xr:uid="{00000000-0005-0000-0000-00003C020000}"/>
    <cellStyle name="%_NRA_model_for_NEMO2 (EMC Update) v0.20_NRA_model_for_NEMO2 (EMC Update) v0.21_NRA_model_for_NEMO2 (EMC Update) v0.22_NRA_model_for_NEMO2 (EMC Update) v0.25_NRA_model_for_NEMO2 (EMC Update) v0.26" xfId="658" xr:uid="{00000000-0005-0000-0000-00003D020000}"/>
    <cellStyle name="%_NRA_model_for_NEMO2 (EMC Update) v0.20_NRA_model_for_NEMO2 (EMC Update) v0.21_NRA_model_for_NEMO2 (EMC Update) v0.22_NRA_model_for_NEMO2 (EMC Update) v0.25_NRA_model_for_NEMO2 (EMC Update) v0.26_NRA_model_for_NEMO2 (EMC Update) v0 30 1" xfId="659" xr:uid="{00000000-0005-0000-0000-00003E020000}"/>
    <cellStyle name="%_NRA_model_for_NEMO2 (EMC Update) v0.20_NRA_model_for_NEMO2 (EMC Update) v0.21_NRA_model_for_NEMO2 (EMC Update) v0.22_NRA_model_for_NEMO2 (EMC Update) v0.25_NRA_model_for_NEMO2 (EMC Update) v0.26_NRA_model_for_NEMO2 (EMC Update) v0.29" xfId="660" xr:uid="{00000000-0005-0000-0000-00003F020000}"/>
    <cellStyle name="%_NRA_model_for_NEMO2 (EMC Update) v0.20_NRA_model_for_NEMO2 (EMC Update) v0.21_NRA_model_for_NEMO2 (EMC Update) v0.22_NRA_model_for_NEMO2 (EMC Update) v0.25_NRA_model_for_NEMO2 (EMC Update) v0.26_NRA_model_for_NEMO2 (EMC Update) v0.29.2" xfId="661" xr:uid="{00000000-0005-0000-0000-000040020000}"/>
    <cellStyle name="%_NRA_model_for_NEMO2 (EMC Update) v0.20_NRA_model_for_NEMO2 (EMC Update) v0.21_NRA_model_for_NEMO2 (EMC Update) v0.22_NRA_model_for_NEMO2 (EMC Update) v0.25_NRA_model_for_NEMO2 (EMC Update) v0.26_NRA_model_for_NEMO2 (EMC Update) v0.29.3" xfId="662" xr:uid="{00000000-0005-0000-0000-000041020000}"/>
    <cellStyle name="%_NRA_model_for_NEMO2 (EMC Update) v0.20_NRA_model_for_NEMO2 (EMC Update) v0.21_NRA_model_for_NEMO2 (EMC Update) v0.22_NRA_model_for_NEMO2 (EMC Update) v0.25_NRA_model_for_NEMO2 (EMC Update) v0.26_NRA_model_for_NEMO2 (EMC Update) v0.29.4" xfId="663" xr:uid="{00000000-0005-0000-0000-000042020000}"/>
    <cellStyle name="%_NRA_model_for_NEMO2 (EMC Update) v0.20_NRA_model_for_NEMO2 (EMC Update) v0.21_NRA_model_for_NEMO2 (EMC Update) v0.22_NRA_model_for_NEMO2 (EMC Update) v0.25_NRA_model_for_NEMO2 (EMC Update) v0.26_NRA_model_for_NEMO2 (EMC Update) v0.29.5" xfId="664" xr:uid="{00000000-0005-0000-0000-000043020000}"/>
    <cellStyle name="%_NRA_model_for_NEMO2 (EMC Update) v0.20_NRA_model_for_NEMO2 (EMC Update) v0.21_NRA_model_for_NEMO2 (EMC Update) v0.22_NRA_model_for_NEMO2 (EMC Update) v0.25_NRA_model_for_NEMO2 (EMC Update) v0.29" xfId="665" xr:uid="{00000000-0005-0000-0000-000044020000}"/>
    <cellStyle name="%_NRA_model_for_NEMO2 (EMC Update) v0.20_NRA_model_for_NEMO2 (EMC Update) v0.21_NRA_model_for_NEMO2 (EMC Update) v0.22_NRA_model_for_NEMO2 (EMC Update) v0.25_NRA_model_for_NEMO2 (EMC Update) v0.29.2" xfId="666" xr:uid="{00000000-0005-0000-0000-000045020000}"/>
    <cellStyle name="%_NRA_model_for_NEMO2 (EMC Update) v0.20_NRA_model_for_NEMO2 (EMC Update) v0.21_NRA_model_for_NEMO2 (EMC Update) v0.22_NRA_model_for_NEMO2 (EMC Update) v0.25_NRA_model_for_NEMO2 (EMC Update) v0.29.2_NRA_model_for_NEMO2 (EMC Update) v0 30 1" xfId="667" xr:uid="{00000000-0005-0000-0000-000046020000}"/>
    <cellStyle name="%_NRA_model_for_NEMO2 (EMC Update) v0.20_NRA_model_for_NEMO2 (EMC Update) v0.21_NRA_model_for_NEMO2 (EMC Update) v0.22_NRA_model_for_NEMO2 (EMC Update) v0.25_NRA_model_for_NEMO2 (EMC Update) v0.29.2_NRA_model_for_NEMO2 (EMC Update) v0.29.3" xfId="668" xr:uid="{00000000-0005-0000-0000-000047020000}"/>
    <cellStyle name="%_NRA_model_for_NEMO2 (EMC Update) v0.20_NRA_model_for_NEMO2 (EMC Update) v0.21_NRA_model_for_NEMO2 (EMC Update) v0.22_NRA_model_for_NEMO2 (EMC Update) v0.25_NRA_model_for_NEMO2 (EMC Update) v0.29.2_NRA_model_for_NEMO2 (EMC Update) v0.29.4" xfId="669" xr:uid="{00000000-0005-0000-0000-000048020000}"/>
    <cellStyle name="%_NRA_model_for_NEMO2 (EMC Update) v0.20_NRA_model_for_NEMO2 (EMC Update) v0.21_NRA_model_for_NEMO2 (EMC Update) v0.22_NRA_model_for_NEMO2 (EMC Update) v0.25_NRA_model_for_NEMO2 (EMC Update) v0.29.2_NRA_model_for_NEMO2 (EMC Update) v0.29.5" xfId="670" xr:uid="{00000000-0005-0000-0000-000049020000}"/>
    <cellStyle name="%_NRA_model_for_NEMO2 (EMC Update) v0.20_NRA_model_for_NEMO2 (EMC Update) v0.21_NRA_model_for_NEMO2 (EMC Update) v0.22_NRA_model_for_NEMO2 (EMC Update) v0.25_NRA_model_for_NEMO2 (EMC Update) v0.29.3" xfId="671" xr:uid="{00000000-0005-0000-0000-00004A020000}"/>
    <cellStyle name="%_NRA_model_for_NEMO2 (EMC Update) v0.20_NRA_model_for_NEMO2 (EMC Update) v0.21_NRA_model_for_NEMO2 (EMC Update) v0.22_NRA_model_for_NEMO2 (EMC Update) v0.25_NRA_model_for_NEMO2 (EMC Update) v0.29.3_NRA_model_for_NEMO2 (EMC Update) v0 30 1" xfId="672" xr:uid="{00000000-0005-0000-0000-00004B020000}"/>
    <cellStyle name="%_NRA_model_for_NEMO2 (EMC Update) v0.20_NRA_model_for_NEMO2 (EMC Update) v0.21_NRA_model_for_NEMO2 (EMC Update) v0.22_NRA_model_for_NEMO2 (EMC Update) v0.25_NRA_model_for_NEMO2 (EMC Update) v0.29.3_NRA_model_for_NEMO2 (EMC Update) v0.29.5" xfId="673" xr:uid="{00000000-0005-0000-0000-00004C020000}"/>
    <cellStyle name="%_NRA_model_for_NEMO2 (EMC Update) v0.20_NRA_model_for_NEMO2 (EMC Update) v0.21_NRA_model_for_NEMO2 (EMC Update) v0.22_NRA_model_for_NEMO2 (EMC Update) v0.25_NRA_model_for_NEMO2 (EMC Update) v0.29.4" xfId="674" xr:uid="{00000000-0005-0000-0000-00004D020000}"/>
    <cellStyle name="%_NRA_model_for_NEMO2 (EMC Update) v0.20_NRA_model_for_NEMO2 (EMC Update) v0.21_NRA_model_for_NEMO2 (EMC Update) v0.22_NRA_model_for_NEMO2 (EMC Update) v0.25_NRA_model_for_NEMO2 (EMC Update) v0.29.4_NRA_model_for_NEMO2 (EMC Update) v0 30 1" xfId="675" xr:uid="{00000000-0005-0000-0000-00004E020000}"/>
    <cellStyle name="%_NRA_model_for_NEMO2 (EMC Update) v0.20_NRA_model_for_NEMO2 (EMC Update) v0.21_NRA_model_for_NEMO2 (EMC Update) v0.22_NRA_model_for_NEMO2 (EMC Update) v0.25_NRA_model_for_NEMO2 (EMC Update) v0.29.4_NRA_model_for_NEMO2 (EMC Update) v0.29.5" xfId="676" xr:uid="{00000000-0005-0000-0000-00004F020000}"/>
    <cellStyle name="%_NRA_model_for_NEMO2 (EMC Update) v0.20_NRA_model_for_NEMO2 (EMC Update) v0.21_NRA_model_for_NEMO2 (EMC Update) v0.22_NRA_model_for_NEMO2 (EMC Update) v0.25_NRA_model_for_NEMO2 (EMC Update) v0.29.5" xfId="677" xr:uid="{00000000-0005-0000-0000-000050020000}"/>
    <cellStyle name="%_NRA_model_for_NEMO2 (EMC Update) v0.20_NRA_model_for_NEMO2 (EMC Update) v0.21_NRA_model_for_NEMO2 (EMC Update) v0.22_NRA_model_for_NEMO2 (EMC Update) v0.25_NRA_model_for_NEMO2 (EMC Update) v0.29.5_NRA_model_for_NEMO2 (EMC Update) v0 30 1" xfId="678" xr:uid="{00000000-0005-0000-0000-000051020000}"/>
    <cellStyle name="%_NRA_model_for_NEMO2 (EMC Update) v0.20_NRA_model_for_NEMO2 (EMC Update) v0.21_NRA_model_for_NEMO2 (EMC Update) v0.22_NRA_model_for_NEMO2 (EMC Update) v0.25_NRA_model_for_NEMO2 (EMC Update) v0.29_NRA_model_for_NEMO2 (EMC Update) v0 30 1" xfId="679" xr:uid="{00000000-0005-0000-0000-000052020000}"/>
    <cellStyle name="%_NRA_model_for_NEMO2 (EMC Update) v0.20_NRA_model_for_NEMO2 (EMC Update) v0.21_NRA_model_for_NEMO2 (EMC Update) v0.22_NRA_model_for_NEMO2 (EMC Update) v0.25_NRA_model_for_NEMO2 (EMC Update) v0.29_NRA_model_for_NEMO2 (EMC Update) v0.29.2" xfId="680" xr:uid="{00000000-0005-0000-0000-000053020000}"/>
    <cellStyle name="%_NRA_model_for_NEMO2 (EMC Update) v0.20_NRA_model_for_NEMO2 (EMC Update) v0.21_NRA_model_for_NEMO2 (EMC Update) v0.22_NRA_model_for_NEMO2 (EMC Update) v0.25_NRA_model_for_NEMO2 (EMC Update) v0.29_NRA_model_for_NEMO2 (EMC Update) v0.29.3" xfId="681" xr:uid="{00000000-0005-0000-0000-000054020000}"/>
    <cellStyle name="%_NRA_model_for_NEMO2 (EMC Update) v0.20_NRA_model_for_NEMO2 (EMC Update) v0.21_NRA_model_for_NEMO2 (EMC Update) v0.22_NRA_model_for_NEMO2 (EMC Update) v0.25_NRA_model_for_NEMO2 (EMC Update) v0.29_NRA_model_for_NEMO2 (EMC Update) v0.29.4" xfId="682" xr:uid="{00000000-0005-0000-0000-000055020000}"/>
    <cellStyle name="%_NRA_model_for_NEMO2 (EMC Update) v0.20_NRA_model_for_NEMO2 (EMC Update) v0.21_NRA_model_for_NEMO2 (EMC Update) v0.22_NRA_model_for_NEMO2 (EMC Update) v0.25_NRA_model_for_NEMO2 (EMC Update) v0.29_NRA_model_for_NEMO2 (EMC Update) v0.29.5" xfId="683" xr:uid="{00000000-0005-0000-0000-000056020000}"/>
    <cellStyle name="%_NRA_model_for_NEMO2 (EMC Update) v0.20_NRA_model_for_NEMO2 (EMC Update) v0.21_NRA_model_for_NEMO2 (EMC Update) v0.22_NRA_model_for_NEMO2 (EMC Update) v0.26" xfId="684" xr:uid="{00000000-0005-0000-0000-000057020000}"/>
    <cellStyle name="%_NRA_model_for_NEMO2 (EMC Update) v0.20_NRA_model_for_NEMO2 (EMC Update) v0.21_NRA_model_for_NEMO2 (EMC Update) v0.22_NRA_model_for_NEMO2 (EMC Update) v0.26_NRA_model_for_NEMO2 (EMC Update) v0 30 1" xfId="685" xr:uid="{00000000-0005-0000-0000-000058020000}"/>
    <cellStyle name="%_NRA_model_for_NEMO2 (EMC Update) v0.20_NRA_model_for_NEMO2 (EMC Update) v0.21_NRA_model_for_NEMO2 (EMC Update) v0.22_NRA_model_for_NEMO2 (EMC Update) v0.26_NRA_model_for_NEMO2 (EMC Update) v0.29" xfId="686" xr:uid="{00000000-0005-0000-0000-000059020000}"/>
    <cellStyle name="%_NRA_model_for_NEMO2 (EMC Update) v0.20_NRA_model_for_NEMO2 (EMC Update) v0.21_NRA_model_for_NEMO2 (EMC Update) v0.22_NRA_model_for_NEMO2 (EMC Update) v0.26_NRA_model_for_NEMO2 (EMC Update) v0.29.2" xfId="687" xr:uid="{00000000-0005-0000-0000-00005A020000}"/>
    <cellStyle name="%_NRA_model_for_NEMO2 (EMC Update) v0.20_NRA_model_for_NEMO2 (EMC Update) v0.21_NRA_model_for_NEMO2 (EMC Update) v0.22_NRA_model_for_NEMO2 (EMC Update) v0.26_NRA_model_for_NEMO2 (EMC Update) v0.29.2_NRA_model_for_NEMO2 (EMC Update) v0 30 1" xfId="688" xr:uid="{00000000-0005-0000-0000-00005B020000}"/>
    <cellStyle name="%_NRA_model_for_NEMO2 (EMC Update) v0.20_NRA_model_for_NEMO2 (EMC Update) v0.21_NRA_model_for_NEMO2 (EMC Update) v0.22_NRA_model_for_NEMO2 (EMC Update) v0.26_NRA_model_for_NEMO2 (EMC Update) v0.29.2_NRA_model_for_NEMO2 (EMC Update) v0.29.3" xfId="689" xr:uid="{00000000-0005-0000-0000-00005C020000}"/>
    <cellStyle name="%_NRA_model_for_NEMO2 (EMC Update) v0.20_NRA_model_for_NEMO2 (EMC Update) v0.21_NRA_model_for_NEMO2 (EMC Update) v0.22_NRA_model_for_NEMO2 (EMC Update) v0.26_NRA_model_for_NEMO2 (EMC Update) v0.29.2_NRA_model_for_NEMO2 (EMC Update) v0.29.4" xfId="690" xr:uid="{00000000-0005-0000-0000-00005D020000}"/>
    <cellStyle name="%_NRA_model_for_NEMO2 (EMC Update) v0.20_NRA_model_for_NEMO2 (EMC Update) v0.21_NRA_model_for_NEMO2 (EMC Update) v0.22_NRA_model_for_NEMO2 (EMC Update) v0.26_NRA_model_for_NEMO2 (EMC Update) v0.29.2_NRA_model_for_NEMO2 (EMC Update) v0.29.5" xfId="691" xr:uid="{00000000-0005-0000-0000-00005E020000}"/>
    <cellStyle name="%_NRA_model_for_NEMO2 (EMC Update) v0.20_NRA_model_for_NEMO2 (EMC Update) v0.21_NRA_model_for_NEMO2 (EMC Update) v0.22_NRA_model_for_NEMO2 (EMC Update) v0.26_NRA_model_for_NEMO2 (EMC Update) v0.29.3" xfId="692" xr:uid="{00000000-0005-0000-0000-00005F020000}"/>
    <cellStyle name="%_NRA_model_for_NEMO2 (EMC Update) v0.20_NRA_model_for_NEMO2 (EMC Update) v0.21_NRA_model_for_NEMO2 (EMC Update) v0.22_NRA_model_for_NEMO2 (EMC Update) v0.26_NRA_model_for_NEMO2 (EMC Update) v0.29.3_NRA_model_for_NEMO2 (EMC Update) v0 30 1" xfId="693" xr:uid="{00000000-0005-0000-0000-000060020000}"/>
    <cellStyle name="%_NRA_model_for_NEMO2 (EMC Update) v0.20_NRA_model_for_NEMO2 (EMC Update) v0.21_NRA_model_for_NEMO2 (EMC Update) v0.22_NRA_model_for_NEMO2 (EMC Update) v0.26_NRA_model_for_NEMO2 (EMC Update) v0.29.3_NRA_model_for_NEMO2 (EMC Update) v0.29.5" xfId="694" xr:uid="{00000000-0005-0000-0000-000061020000}"/>
    <cellStyle name="%_NRA_model_for_NEMO2 (EMC Update) v0.20_NRA_model_for_NEMO2 (EMC Update) v0.21_NRA_model_for_NEMO2 (EMC Update) v0.22_NRA_model_for_NEMO2 (EMC Update) v0.26_NRA_model_for_NEMO2 (EMC Update) v0.29.4" xfId="695" xr:uid="{00000000-0005-0000-0000-000062020000}"/>
    <cellStyle name="%_NRA_model_for_NEMO2 (EMC Update) v0.20_NRA_model_for_NEMO2 (EMC Update) v0.21_NRA_model_for_NEMO2 (EMC Update) v0.22_NRA_model_for_NEMO2 (EMC Update) v0.26_NRA_model_for_NEMO2 (EMC Update) v0.29.4_NRA_model_for_NEMO2 (EMC Update) v0 30 1" xfId="696" xr:uid="{00000000-0005-0000-0000-000063020000}"/>
    <cellStyle name="%_NRA_model_for_NEMO2 (EMC Update) v0.20_NRA_model_for_NEMO2 (EMC Update) v0.21_NRA_model_for_NEMO2 (EMC Update) v0.22_NRA_model_for_NEMO2 (EMC Update) v0.26_NRA_model_for_NEMO2 (EMC Update) v0.29.4_NRA_model_for_NEMO2 (EMC Update) v0.29.5" xfId="697" xr:uid="{00000000-0005-0000-0000-000064020000}"/>
    <cellStyle name="%_NRA_model_for_NEMO2 (EMC Update) v0.20_NRA_model_for_NEMO2 (EMC Update) v0.21_NRA_model_for_NEMO2 (EMC Update) v0.22_NRA_model_for_NEMO2 (EMC Update) v0.26_NRA_model_for_NEMO2 (EMC Update) v0.29.5" xfId="698" xr:uid="{00000000-0005-0000-0000-000065020000}"/>
    <cellStyle name="%_NRA_model_for_NEMO2 (EMC Update) v0.20_NRA_model_for_NEMO2 (EMC Update) v0.21_NRA_model_for_NEMO2 (EMC Update) v0.22_NRA_model_for_NEMO2 (EMC Update) v0.26_NRA_model_for_NEMO2 (EMC Update) v0.29.5_NRA_model_for_NEMO2 (EMC Update) v0 30 1" xfId="699" xr:uid="{00000000-0005-0000-0000-000066020000}"/>
    <cellStyle name="%_NRA_model_for_NEMO2 (EMC Update) v0.20_NRA_model_for_NEMO2 (EMC Update) v0.21_NRA_model_for_NEMO2 (EMC Update) v0.22_NRA_model_for_NEMO2 (EMC Update) v0.26_NRA_model_for_NEMO2 (EMC Update) v0.29_NRA_model_for_NEMO2 (EMC Update) v0 30 1" xfId="700" xr:uid="{00000000-0005-0000-0000-000067020000}"/>
    <cellStyle name="%_NRA_model_for_NEMO2 (EMC Update) v0.20_NRA_model_for_NEMO2 (EMC Update) v0.21_NRA_model_for_NEMO2 (EMC Update) v0.22_NRA_model_for_NEMO2 (EMC Update) v0.26_NRA_model_for_NEMO2 (EMC Update) v0.29_NRA_model_for_NEMO2 (EMC Update) v0.29.2" xfId="701" xr:uid="{00000000-0005-0000-0000-000068020000}"/>
    <cellStyle name="%_NRA_model_for_NEMO2 (EMC Update) v0.20_NRA_model_for_NEMO2 (EMC Update) v0.21_NRA_model_for_NEMO2 (EMC Update) v0.22_NRA_model_for_NEMO2 (EMC Update) v0.26_NRA_model_for_NEMO2 (EMC Update) v0.29_NRA_model_for_NEMO2 (EMC Update) v0.29.3" xfId="702" xr:uid="{00000000-0005-0000-0000-000069020000}"/>
    <cellStyle name="%_NRA_model_for_NEMO2 (EMC Update) v0.20_NRA_model_for_NEMO2 (EMC Update) v0.21_NRA_model_for_NEMO2 (EMC Update) v0.22_NRA_model_for_NEMO2 (EMC Update) v0.26_NRA_model_for_NEMO2 (EMC Update) v0.29_NRA_model_for_NEMO2 (EMC Update) v0.29.4" xfId="703" xr:uid="{00000000-0005-0000-0000-00006A020000}"/>
    <cellStyle name="%_NRA_model_for_NEMO2 (EMC Update) v0.20_NRA_model_for_NEMO2 (EMC Update) v0.21_NRA_model_for_NEMO2 (EMC Update) v0.22_NRA_model_for_NEMO2 (EMC Update) v0.26_NRA_model_for_NEMO2 (EMC Update) v0.29_NRA_model_for_NEMO2 (EMC Update) v0.29.5" xfId="704" xr:uid="{00000000-0005-0000-0000-00006B020000}"/>
    <cellStyle name="%_NRA_model_for_NEMO2 (EMC Update) v0.20_NRA_model_for_NEMO2 (EMC Update) v0.21_NRA_model_for_NEMO2 (EMC Update) v0.22_NRA_model_for_NEMO2 (EMC Update) v0.29" xfId="705" xr:uid="{00000000-0005-0000-0000-00006C020000}"/>
    <cellStyle name="%_NRA_model_for_NEMO2 (EMC Update) v0.20_NRA_model_for_NEMO2 (EMC Update) v0.21_NRA_model_for_NEMO2 (EMC Update) v0.22_NRA_model_for_NEMO2 (EMC Update) v0.29.2" xfId="706" xr:uid="{00000000-0005-0000-0000-00006D020000}"/>
    <cellStyle name="%_NRA_model_for_NEMO2 (EMC Update) v0.20_NRA_model_for_NEMO2 (EMC Update) v0.21_NRA_model_for_NEMO2 (EMC Update) v0.22_NRA_model_for_NEMO2 (EMC Update) v0.29.2_NRA_model_for_NEMO2 (EMC Update) v0 30 1" xfId="707" xr:uid="{00000000-0005-0000-0000-00006E020000}"/>
    <cellStyle name="%_NRA_model_for_NEMO2 (EMC Update) v0.20_NRA_model_for_NEMO2 (EMC Update) v0.21_NRA_model_for_NEMO2 (EMC Update) v0.22_NRA_model_for_NEMO2 (EMC Update) v0.29.2_NRA_model_for_NEMO2 (EMC Update) v0.29.3" xfId="708" xr:uid="{00000000-0005-0000-0000-00006F020000}"/>
    <cellStyle name="%_NRA_model_for_NEMO2 (EMC Update) v0.20_NRA_model_for_NEMO2 (EMC Update) v0.21_NRA_model_for_NEMO2 (EMC Update) v0.22_NRA_model_for_NEMO2 (EMC Update) v0.29.2_NRA_model_for_NEMO2 (EMC Update) v0.29.3_NRA_model_for_NEMO2 (EMC Update) v0 30 1" xfId="709" xr:uid="{00000000-0005-0000-0000-000070020000}"/>
    <cellStyle name="%_NRA_model_for_NEMO2 (EMC Update) v0.20_NRA_model_for_NEMO2 (EMC Update) v0.21_NRA_model_for_NEMO2 (EMC Update) v0.22_NRA_model_for_NEMO2 (EMC Update) v0.29.2_NRA_model_for_NEMO2 (EMC Update) v0.29.3_NRA_model_for_NEMO2 (EMC Update) v0.29.5" xfId="710" xr:uid="{00000000-0005-0000-0000-000071020000}"/>
    <cellStyle name="%_NRA_model_for_NEMO2 (EMC Update) v0.20_NRA_model_for_NEMO2 (EMC Update) v0.21_NRA_model_for_NEMO2 (EMC Update) v0.22_NRA_model_for_NEMO2 (EMC Update) v0.29.2_NRA_model_for_NEMO2 (EMC Update) v0.29.4" xfId="711" xr:uid="{00000000-0005-0000-0000-000072020000}"/>
    <cellStyle name="%_NRA_model_for_NEMO2 (EMC Update) v0.20_NRA_model_for_NEMO2 (EMC Update) v0.21_NRA_model_for_NEMO2 (EMC Update) v0.22_NRA_model_for_NEMO2 (EMC Update) v0.29.2_NRA_model_for_NEMO2 (EMC Update) v0.29.4_NRA_model_for_NEMO2 (EMC Update) v0 30 1" xfId="712" xr:uid="{00000000-0005-0000-0000-000073020000}"/>
    <cellStyle name="%_NRA_model_for_NEMO2 (EMC Update) v0.20_NRA_model_for_NEMO2 (EMC Update) v0.21_NRA_model_for_NEMO2 (EMC Update) v0.22_NRA_model_for_NEMO2 (EMC Update) v0.29.2_NRA_model_for_NEMO2 (EMC Update) v0.29.4_NRA_model_for_NEMO2 (EMC Update) v0.29.5" xfId="713" xr:uid="{00000000-0005-0000-0000-000074020000}"/>
    <cellStyle name="%_NRA_model_for_NEMO2 (EMC Update) v0.20_NRA_model_for_NEMO2 (EMC Update) v0.21_NRA_model_for_NEMO2 (EMC Update) v0.22_NRA_model_for_NEMO2 (EMC Update) v0.29.2_NRA_model_for_NEMO2 (EMC Update) v0.29.5" xfId="714" xr:uid="{00000000-0005-0000-0000-000075020000}"/>
    <cellStyle name="%_NRA_model_for_NEMO2 (EMC Update) v0.20_NRA_model_for_NEMO2 (EMC Update) v0.21_NRA_model_for_NEMO2 (EMC Update) v0.22_NRA_model_for_NEMO2 (EMC Update) v0.29.2_NRA_model_for_NEMO2 (EMC Update) v0.29.5_NRA_model_for_NEMO2 (EMC Update) v0 30 1" xfId="715" xr:uid="{00000000-0005-0000-0000-000076020000}"/>
    <cellStyle name="%_NRA_model_for_NEMO2 (EMC Update) v0.20_NRA_model_for_NEMO2 (EMC Update) v0.21_NRA_model_for_NEMO2 (EMC Update) v0.22_NRA_model_for_NEMO2 (EMC Update) v0.29.3" xfId="716" xr:uid="{00000000-0005-0000-0000-000077020000}"/>
    <cellStyle name="%_NRA_model_for_NEMO2 (EMC Update) v0.20_NRA_model_for_NEMO2 (EMC Update) v0.21_NRA_model_for_NEMO2 (EMC Update) v0.22_NRA_model_for_NEMO2 (EMC Update) v0.29.3_NRA_model_for_NEMO2 (EMC Update) v0 30 1" xfId="717" xr:uid="{00000000-0005-0000-0000-000078020000}"/>
    <cellStyle name="%_NRA_model_for_NEMO2 (EMC Update) v0.20_NRA_model_for_NEMO2 (EMC Update) v0.21_NRA_model_for_NEMO2 (EMC Update) v0.22_NRA_model_for_NEMO2 (EMC Update) v0.29.3_NRA_model_for_NEMO2 (EMC Update) v0.29.5" xfId="718" xr:uid="{00000000-0005-0000-0000-000079020000}"/>
    <cellStyle name="%_NRA_model_for_NEMO2 (EMC Update) v0.20_NRA_model_for_NEMO2 (EMC Update) v0.21_NRA_model_for_NEMO2 (EMC Update) v0.22_NRA_model_for_NEMO2 (EMC Update) v0.29.3_NRA_model_for_NEMO2 (EMC Update) v0.29.5_NRA_model_for_NEMO2 (EMC Update) v0 30 1" xfId="719" xr:uid="{00000000-0005-0000-0000-00007A020000}"/>
    <cellStyle name="%_NRA_model_for_NEMO2 (EMC Update) v0.20_NRA_model_for_NEMO2 (EMC Update) v0.21_NRA_model_for_NEMO2 (EMC Update) v0.22_NRA_model_for_NEMO2 (EMC Update) v0.29.4" xfId="720" xr:uid="{00000000-0005-0000-0000-00007B020000}"/>
    <cellStyle name="%_NRA_model_for_NEMO2 (EMC Update) v0.20_NRA_model_for_NEMO2 (EMC Update) v0.21_NRA_model_for_NEMO2 (EMC Update) v0.22_NRA_model_for_NEMO2 (EMC Update) v0.29.4_NRA_model_for_NEMO2 (EMC Update) v0 30 1" xfId="721" xr:uid="{00000000-0005-0000-0000-00007C020000}"/>
    <cellStyle name="%_NRA_model_for_NEMO2 (EMC Update) v0.20_NRA_model_for_NEMO2 (EMC Update) v0.21_NRA_model_for_NEMO2 (EMC Update) v0.22_NRA_model_for_NEMO2 (EMC Update) v0.29.4_NRA_model_for_NEMO2 (EMC Update) v0.29.5" xfId="722" xr:uid="{00000000-0005-0000-0000-00007D020000}"/>
    <cellStyle name="%_NRA_model_for_NEMO2 (EMC Update) v0.20_NRA_model_for_NEMO2 (EMC Update) v0.21_NRA_model_for_NEMO2 (EMC Update) v0.22_NRA_model_for_NEMO2 (EMC Update) v0.29.4_NRA_model_for_NEMO2 (EMC Update) v0.29.5_NRA_model_for_NEMO2 (EMC Update) v0 30 1" xfId="723" xr:uid="{00000000-0005-0000-0000-00007E020000}"/>
    <cellStyle name="%_NRA_model_for_NEMO2 (EMC Update) v0.20_NRA_model_for_NEMO2 (EMC Update) v0.21_NRA_model_for_NEMO2 (EMC Update) v0.22_NRA_model_for_NEMO2 (EMC Update) v0.29.5" xfId="724" xr:uid="{00000000-0005-0000-0000-00007F020000}"/>
    <cellStyle name="%_NRA_model_for_NEMO2 (EMC Update) v0.20_NRA_model_for_NEMO2 (EMC Update) v0.21_NRA_model_for_NEMO2 (EMC Update) v0.22_NRA_model_for_NEMO2 (EMC Update) v0.29.5_NRA_model_for_NEMO2 (EMC Update) v0 30 1" xfId="725" xr:uid="{00000000-0005-0000-0000-000080020000}"/>
    <cellStyle name="%_NRA_model_for_NEMO2 (EMC Update) v0.20_NRA_model_for_NEMO2 (EMC Update) v0.21_NRA_model_for_NEMO2 (EMC Update) v0.22_NRA_model_for_NEMO2 (EMC Update) v0.29_NRA_model_for_NEMO2 (EMC Update) v0 30 1" xfId="726" xr:uid="{00000000-0005-0000-0000-000081020000}"/>
    <cellStyle name="%_NRA_model_for_NEMO2 (EMC Update) v0.20_NRA_model_for_NEMO2 (EMC Update) v0.21_NRA_model_for_NEMO2 (EMC Update) v0.22_NRA_model_for_NEMO2 (EMC Update) v0.29_NRA_model_for_NEMO2 (EMC Update) v0.29.2" xfId="727" xr:uid="{00000000-0005-0000-0000-000082020000}"/>
    <cellStyle name="%_NRA_model_for_NEMO2 (EMC Update) v0.20_NRA_model_for_NEMO2 (EMC Update) v0.21_NRA_model_for_NEMO2 (EMC Update) v0.22_NRA_model_for_NEMO2 (EMC Update) v0.29_NRA_model_for_NEMO2 (EMC Update) v0.29.2_NRA_model_for_NEMO2 (EMC Update) v0 30 1" xfId="728" xr:uid="{00000000-0005-0000-0000-000083020000}"/>
    <cellStyle name="%_NRA_model_for_NEMO2 (EMC Update) v0.20_NRA_model_for_NEMO2 (EMC Update) v0.21_NRA_model_for_NEMO2 (EMC Update) v0.22_NRA_model_for_NEMO2 (EMC Update) v0.29_NRA_model_for_NEMO2 (EMC Update) v0.29.2_NRA_model_for_NEMO2 (EMC Update) v0.29.3" xfId="729" xr:uid="{00000000-0005-0000-0000-000084020000}"/>
    <cellStyle name="%_NRA_model_for_NEMO2 (EMC Update) v0.20_NRA_model_for_NEMO2 (EMC Update) v0.21_NRA_model_for_NEMO2 (EMC Update) v0.22_NRA_model_for_NEMO2 (EMC Update) v0.29_NRA_model_for_NEMO2 (EMC Update) v0.29.2_NRA_model_for_NEMO2 (EMC Update) v0.29.4" xfId="730" xr:uid="{00000000-0005-0000-0000-000085020000}"/>
    <cellStyle name="%_NRA_model_for_NEMO2 (EMC Update) v0.20_NRA_model_for_NEMO2 (EMC Update) v0.21_NRA_model_for_NEMO2 (EMC Update) v0.22_NRA_model_for_NEMO2 (EMC Update) v0.29_NRA_model_for_NEMO2 (EMC Update) v0.29.2_NRA_model_for_NEMO2 (EMC Update) v0.29.5" xfId="731" xr:uid="{00000000-0005-0000-0000-000086020000}"/>
    <cellStyle name="%_NRA_model_for_NEMO2 (EMC Update) v0.20_NRA_model_for_NEMO2 (EMC Update) v0.21_NRA_model_for_NEMO2 (EMC Update) v0.22_NRA_model_for_NEMO2 (EMC Update) v0.29_NRA_model_for_NEMO2 (EMC Update) v0.29.3" xfId="732" xr:uid="{00000000-0005-0000-0000-000087020000}"/>
    <cellStyle name="%_NRA_model_for_NEMO2 (EMC Update) v0.20_NRA_model_for_NEMO2 (EMC Update) v0.21_NRA_model_for_NEMO2 (EMC Update) v0.22_NRA_model_for_NEMO2 (EMC Update) v0.29_NRA_model_for_NEMO2 (EMC Update) v0.29.3_NRA_model_for_NEMO2 (EMC Update) v0 30 1" xfId="733" xr:uid="{00000000-0005-0000-0000-000088020000}"/>
    <cellStyle name="%_NRA_model_for_NEMO2 (EMC Update) v0.20_NRA_model_for_NEMO2 (EMC Update) v0.21_NRA_model_for_NEMO2 (EMC Update) v0.22_NRA_model_for_NEMO2 (EMC Update) v0.29_NRA_model_for_NEMO2 (EMC Update) v0.29.3_NRA_model_for_NEMO2 (EMC Update) v0.29.5" xfId="734" xr:uid="{00000000-0005-0000-0000-000089020000}"/>
    <cellStyle name="%_NRA_model_for_NEMO2 (EMC Update) v0.20_NRA_model_for_NEMO2 (EMC Update) v0.21_NRA_model_for_NEMO2 (EMC Update) v0.22_NRA_model_for_NEMO2 (EMC Update) v0.29_NRA_model_for_NEMO2 (EMC Update) v0.29.4" xfId="735" xr:uid="{00000000-0005-0000-0000-00008A020000}"/>
    <cellStyle name="%_NRA_model_for_NEMO2 (EMC Update) v0.20_NRA_model_for_NEMO2 (EMC Update) v0.21_NRA_model_for_NEMO2 (EMC Update) v0.22_NRA_model_for_NEMO2 (EMC Update) v0.29_NRA_model_for_NEMO2 (EMC Update) v0.29.4_NRA_model_for_NEMO2 (EMC Update) v0 30 1" xfId="736" xr:uid="{00000000-0005-0000-0000-00008B020000}"/>
    <cellStyle name="%_NRA_model_for_NEMO2 (EMC Update) v0.20_NRA_model_for_NEMO2 (EMC Update) v0.21_NRA_model_for_NEMO2 (EMC Update) v0.22_NRA_model_for_NEMO2 (EMC Update) v0.29_NRA_model_for_NEMO2 (EMC Update) v0.29.4_NRA_model_for_NEMO2 (EMC Update) v0.29.5" xfId="737" xr:uid="{00000000-0005-0000-0000-00008C020000}"/>
    <cellStyle name="%_NRA_model_for_NEMO2 (EMC Update) v0.20_NRA_model_for_NEMO2 (EMC Update) v0.21_NRA_model_for_NEMO2 (EMC Update) v0.22_NRA_model_for_NEMO2 (EMC Update) v0.29_NRA_model_for_NEMO2 (EMC Update) v0.29.5" xfId="738" xr:uid="{00000000-0005-0000-0000-00008D020000}"/>
    <cellStyle name="%_NRA_model_for_NEMO2 (EMC Update) v0.20_NRA_model_for_NEMO2 (EMC Update) v0.21_NRA_model_for_NEMO2 (EMC Update) v0.22_NRA_model_for_NEMO2 (EMC Update) v0.29_NRA_model_for_NEMO2 (EMC Update) v0.29.5_NRA_model_for_NEMO2 (EMC Update) v0 30 1" xfId="739" xr:uid="{00000000-0005-0000-0000-00008E020000}"/>
    <cellStyle name="%_NRA_model_for_NEMO2 (EMC Update) v0.20_NRA_model_for_NEMO2 (EMC Update) v0.21_NRA_model_for_NEMO2 (EMC Update) v0.25" xfId="740" xr:uid="{00000000-0005-0000-0000-00008F020000}"/>
    <cellStyle name="%_NRA_model_for_NEMO2 (EMC Update) v0.20_NRA_model_for_NEMO2 (EMC Update) v0.21_NRA_model_for_NEMO2 (EMC Update) v0.25_NRA_model_for_NEMO2 (EMC Update) v0 30 1" xfId="741" xr:uid="{00000000-0005-0000-0000-000090020000}"/>
    <cellStyle name="%_NRA_model_for_NEMO2 (EMC Update) v0.20_NRA_model_for_NEMO2 (EMC Update) v0.21_NRA_model_for_NEMO2 (EMC Update) v0.25_NRA_model_for_NEMO2 (EMC Update) v0.26" xfId="742" xr:uid="{00000000-0005-0000-0000-000091020000}"/>
    <cellStyle name="%_NRA_model_for_NEMO2 (EMC Update) v0.20_NRA_model_for_NEMO2 (EMC Update) v0.21_NRA_model_for_NEMO2 (EMC Update) v0.25_NRA_model_for_NEMO2 (EMC Update) v0.26_NRA_model_for_NEMO2 (EMC Update) v0 30 1" xfId="743" xr:uid="{00000000-0005-0000-0000-000092020000}"/>
    <cellStyle name="%_NRA_model_for_NEMO2 (EMC Update) v0.20_NRA_model_for_NEMO2 (EMC Update) v0.21_NRA_model_for_NEMO2 (EMC Update) v0.25_NRA_model_for_NEMO2 (EMC Update) v0.26_NRA_model_for_NEMO2 (EMC Update) v0.29" xfId="744" xr:uid="{00000000-0005-0000-0000-000093020000}"/>
    <cellStyle name="%_NRA_model_for_NEMO2 (EMC Update) v0.20_NRA_model_for_NEMO2 (EMC Update) v0.21_NRA_model_for_NEMO2 (EMC Update) v0.25_NRA_model_for_NEMO2 (EMC Update) v0.26_NRA_model_for_NEMO2 (EMC Update) v0.29.2" xfId="745" xr:uid="{00000000-0005-0000-0000-000094020000}"/>
    <cellStyle name="%_NRA_model_for_NEMO2 (EMC Update) v0.20_NRA_model_for_NEMO2 (EMC Update) v0.21_NRA_model_for_NEMO2 (EMC Update) v0.25_NRA_model_for_NEMO2 (EMC Update) v0.26_NRA_model_for_NEMO2 (EMC Update) v0.29.2_NRA_model_for_NEMO2 (EMC Update) v0 30 1" xfId="746" xr:uid="{00000000-0005-0000-0000-000095020000}"/>
    <cellStyle name="%_NRA_model_for_NEMO2 (EMC Update) v0.20_NRA_model_for_NEMO2 (EMC Update) v0.21_NRA_model_for_NEMO2 (EMC Update) v0.25_NRA_model_for_NEMO2 (EMC Update) v0.26_NRA_model_for_NEMO2 (EMC Update) v0.29.2_NRA_model_for_NEMO2 (EMC Update) v0.29.3" xfId="747" xr:uid="{00000000-0005-0000-0000-000096020000}"/>
    <cellStyle name="%_NRA_model_for_NEMO2 (EMC Update) v0.20_NRA_model_for_NEMO2 (EMC Update) v0.21_NRA_model_for_NEMO2 (EMC Update) v0.25_NRA_model_for_NEMO2 (EMC Update) v0.26_NRA_model_for_NEMO2 (EMC Update) v0.29.2_NRA_model_for_NEMO2 (EMC Update) v0.29.4" xfId="748" xr:uid="{00000000-0005-0000-0000-000097020000}"/>
    <cellStyle name="%_NRA_model_for_NEMO2 (EMC Update) v0.20_NRA_model_for_NEMO2 (EMC Update) v0.21_NRA_model_for_NEMO2 (EMC Update) v0.25_NRA_model_for_NEMO2 (EMC Update) v0.26_NRA_model_for_NEMO2 (EMC Update) v0.29.2_NRA_model_for_NEMO2 (EMC Update) v0.29.5" xfId="749" xr:uid="{00000000-0005-0000-0000-000098020000}"/>
    <cellStyle name="%_NRA_model_for_NEMO2 (EMC Update) v0.20_NRA_model_for_NEMO2 (EMC Update) v0.21_NRA_model_for_NEMO2 (EMC Update) v0.25_NRA_model_for_NEMO2 (EMC Update) v0.26_NRA_model_for_NEMO2 (EMC Update) v0.29.3" xfId="750" xr:uid="{00000000-0005-0000-0000-000099020000}"/>
    <cellStyle name="%_NRA_model_for_NEMO2 (EMC Update) v0.20_NRA_model_for_NEMO2 (EMC Update) v0.21_NRA_model_for_NEMO2 (EMC Update) v0.25_NRA_model_for_NEMO2 (EMC Update) v0.26_NRA_model_for_NEMO2 (EMC Update) v0.29.3_NRA_model_for_NEMO2 (EMC Update) v0 30 1" xfId="751" xr:uid="{00000000-0005-0000-0000-00009A020000}"/>
    <cellStyle name="%_NRA_model_for_NEMO2 (EMC Update) v0.20_NRA_model_for_NEMO2 (EMC Update) v0.21_NRA_model_for_NEMO2 (EMC Update) v0.25_NRA_model_for_NEMO2 (EMC Update) v0.26_NRA_model_for_NEMO2 (EMC Update) v0.29.3_NRA_model_for_NEMO2 (EMC Update) v0.29.5" xfId="752" xr:uid="{00000000-0005-0000-0000-00009B020000}"/>
    <cellStyle name="%_NRA_model_for_NEMO2 (EMC Update) v0.20_NRA_model_for_NEMO2 (EMC Update) v0.21_NRA_model_for_NEMO2 (EMC Update) v0.25_NRA_model_for_NEMO2 (EMC Update) v0.26_NRA_model_for_NEMO2 (EMC Update) v0.29.4" xfId="753" xr:uid="{00000000-0005-0000-0000-00009C020000}"/>
    <cellStyle name="%_NRA_model_for_NEMO2 (EMC Update) v0.20_NRA_model_for_NEMO2 (EMC Update) v0.21_NRA_model_for_NEMO2 (EMC Update) v0.25_NRA_model_for_NEMO2 (EMC Update) v0.26_NRA_model_for_NEMO2 (EMC Update) v0.29.4_NRA_model_for_NEMO2 (EMC Update) v0 30 1" xfId="754" xr:uid="{00000000-0005-0000-0000-00009D020000}"/>
    <cellStyle name="%_NRA_model_for_NEMO2 (EMC Update) v0.20_NRA_model_for_NEMO2 (EMC Update) v0.21_NRA_model_for_NEMO2 (EMC Update) v0.25_NRA_model_for_NEMO2 (EMC Update) v0.26_NRA_model_for_NEMO2 (EMC Update) v0.29.4_NRA_model_for_NEMO2 (EMC Update) v0.29.5" xfId="755" xr:uid="{00000000-0005-0000-0000-00009E020000}"/>
    <cellStyle name="%_NRA_model_for_NEMO2 (EMC Update) v0.20_NRA_model_for_NEMO2 (EMC Update) v0.21_NRA_model_for_NEMO2 (EMC Update) v0.25_NRA_model_for_NEMO2 (EMC Update) v0.26_NRA_model_for_NEMO2 (EMC Update) v0.29.5" xfId="756" xr:uid="{00000000-0005-0000-0000-00009F020000}"/>
    <cellStyle name="%_NRA_model_for_NEMO2 (EMC Update) v0.20_NRA_model_for_NEMO2 (EMC Update) v0.21_NRA_model_for_NEMO2 (EMC Update) v0.25_NRA_model_for_NEMO2 (EMC Update) v0.26_NRA_model_for_NEMO2 (EMC Update) v0.29.5_NRA_model_for_NEMO2 (EMC Update) v0 30 1" xfId="757" xr:uid="{00000000-0005-0000-0000-0000A0020000}"/>
    <cellStyle name="%_NRA_model_for_NEMO2 (EMC Update) v0.20_NRA_model_for_NEMO2 (EMC Update) v0.21_NRA_model_for_NEMO2 (EMC Update) v0.25_NRA_model_for_NEMO2 (EMC Update) v0.26_NRA_model_for_NEMO2 (EMC Update) v0.29_NRA_model_for_NEMO2 (EMC Update) v0 30 1" xfId="758" xr:uid="{00000000-0005-0000-0000-0000A1020000}"/>
    <cellStyle name="%_NRA_model_for_NEMO2 (EMC Update) v0.20_NRA_model_for_NEMO2 (EMC Update) v0.21_NRA_model_for_NEMO2 (EMC Update) v0.25_NRA_model_for_NEMO2 (EMC Update) v0.26_NRA_model_for_NEMO2 (EMC Update) v0.29_NRA_model_for_NEMO2 (EMC Update) v0.29.2" xfId="759" xr:uid="{00000000-0005-0000-0000-0000A2020000}"/>
    <cellStyle name="%_NRA_model_for_NEMO2 (EMC Update) v0.20_NRA_model_for_NEMO2 (EMC Update) v0.21_NRA_model_for_NEMO2 (EMC Update) v0.25_NRA_model_for_NEMO2 (EMC Update) v0.26_NRA_model_for_NEMO2 (EMC Update) v0.29_NRA_model_for_NEMO2 (EMC Update) v0.29.3" xfId="760" xr:uid="{00000000-0005-0000-0000-0000A3020000}"/>
    <cellStyle name="%_NRA_model_for_NEMO2 (EMC Update) v0.20_NRA_model_for_NEMO2 (EMC Update) v0.21_NRA_model_for_NEMO2 (EMC Update) v0.25_NRA_model_for_NEMO2 (EMC Update) v0.26_NRA_model_for_NEMO2 (EMC Update) v0.29_NRA_model_for_NEMO2 (EMC Update) v0.29.4" xfId="761" xr:uid="{00000000-0005-0000-0000-0000A4020000}"/>
    <cellStyle name="%_NRA_model_for_NEMO2 (EMC Update) v0.20_NRA_model_for_NEMO2 (EMC Update) v0.21_NRA_model_for_NEMO2 (EMC Update) v0.25_NRA_model_for_NEMO2 (EMC Update) v0.26_NRA_model_for_NEMO2 (EMC Update) v0.29_NRA_model_for_NEMO2 (EMC Update) v0.29.5" xfId="762" xr:uid="{00000000-0005-0000-0000-0000A5020000}"/>
    <cellStyle name="%_NRA_model_for_NEMO2 (EMC Update) v0.20_NRA_model_for_NEMO2 (EMC Update) v0.21_NRA_model_for_NEMO2 (EMC Update) v0.25_NRA_model_for_NEMO2 (EMC Update) v0.29" xfId="763" xr:uid="{00000000-0005-0000-0000-0000A6020000}"/>
    <cellStyle name="%_NRA_model_for_NEMO2 (EMC Update) v0.20_NRA_model_for_NEMO2 (EMC Update) v0.21_NRA_model_for_NEMO2 (EMC Update) v0.25_NRA_model_for_NEMO2 (EMC Update) v0.29.2" xfId="764" xr:uid="{00000000-0005-0000-0000-0000A7020000}"/>
    <cellStyle name="%_NRA_model_for_NEMO2 (EMC Update) v0.20_NRA_model_for_NEMO2 (EMC Update) v0.21_NRA_model_for_NEMO2 (EMC Update) v0.25_NRA_model_for_NEMO2 (EMC Update) v0.29.2_NRA_model_for_NEMO2 (EMC Update) v0 30 1" xfId="765" xr:uid="{00000000-0005-0000-0000-0000A8020000}"/>
    <cellStyle name="%_NRA_model_for_NEMO2 (EMC Update) v0.20_NRA_model_for_NEMO2 (EMC Update) v0.21_NRA_model_for_NEMO2 (EMC Update) v0.25_NRA_model_for_NEMO2 (EMC Update) v0.29.2_NRA_model_for_NEMO2 (EMC Update) v0.29.3" xfId="766" xr:uid="{00000000-0005-0000-0000-0000A9020000}"/>
    <cellStyle name="%_NRA_model_for_NEMO2 (EMC Update) v0.20_NRA_model_for_NEMO2 (EMC Update) v0.21_NRA_model_for_NEMO2 (EMC Update) v0.25_NRA_model_for_NEMO2 (EMC Update) v0.29.2_NRA_model_for_NEMO2 (EMC Update) v0.29.3_NRA_model_for_NEMO2 (EMC Update) v0 30 1" xfId="767" xr:uid="{00000000-0005-0000-0000-0000AA020000}"/>
    <cellStyle name="%_NRA_model_for_NEMO2 (EMC Update) v0.20_NRA_model_for_NEMO2 (EMC Update) v0.21_NRA_model_for_NEMO2 (EMC Update) v0.25_NRA_model_for_NEMO2 (EMC Update) v0.29.2_NRA_model_for_NEMO2 (EMC Update) v0.29.3_NRA_model_for_NEMO2 (EMC Update) v0.29.5" xfId="768" xr:uid="{00000000-0005-0000-0000-0000AB020000}"/>
    <cellStyle name="%_NRA_model_for_NEMO2 (EMC Update) v0.20_NRA_model_for_NEMO2 (EMC Update) v0.21_NRA_model_for_NEMO2 (EMC Update) v0.25_NRA_model_for_NEMO2 (EMC Update) v0.29.2_NRA_model_for_NEMO2 (EMC Update) v0.29.4" xfId="769" xr:uid="{00000000-0005-0000-0000-0000AC020000}"/>
    <cellStyle name="%_NRA_model_for_NEMO2 (EMC Update) v0.20_NRA_model_for_NEMO2 (EMC Update) v0.21_NRA_model_for_NEMO2 (EMC Update) v0.25_NRA_model_for_NEMO2 (EMC Update) v0.29.2_NRA_model_for_NEMO2 (EMC Update) v0.29.4_NRA_model_for_NEMO2 (EMC Update) v0 30 1" xfId="770" xr:uid="{00000000-0005-0000-0000-0000AD020000}"/>
    <cellStyle name="%_NRA_model_for_NEMO2 (EMC Update) v0.20_NRA_model_for_NEMO2 (EMC Update) v0.21_NRA_model_for_NEMO2 (EMC Update) v0.25_NRA_model_for_NEMO2 (EMC Update) v0.29.2_NRA_model_for_NEMO2 (EMC Update) v0.29.4_NRA_model_for_NEMO2 (EMC Update) v0.29.5" xfId="771" xr:uid="{00000000-0005-0000-0000-0000AE020000}"/>
    <cellStyle name="%_NRA_model_for_NEMO2 (EMC Update) v0.20_NRA_model_for_NEMO2 (EMC Update) v0.21_NRA_model_for_NEMO2 (EMC Update) v0.25_NRA_model_for_NEMO2 (EMC Update) v0.29.2_NRA_model_for_NEMO2 (EMC Update) v0.29.5" xfId="772" xr:uid="{00000000-0005-0000-0000-0000AF020000}"/>
    <cellStyle name="%_NRA_model_for_NEMO2 (EMC Update) v0.20_NRA_model_for_NEMO2 (EMC Update) v0.21_NRA_model_for_NEMO2 (EMC Update) v0.25_NRA_model_for_NEMO2 (EMC Update) v0.29.2_NRA_model_for_NEMO2 (EMC Update) v0.29.5_NRA_model_for_NEMO2 (EMC Update) v0 30 1" xfId="773" xr:uid="{00000000-0005-0000-0000-0000B0020000}"/>
    <cellStyle name="%_NRA_model_for_NEMO2 (EMC Update) v0.20_NRA_model_for_NEMO2 (EMC Update) v0.21_NRA_model_for_NEMO2 (EMC Update) v0.25_NRA_model_for_NEMO2 (EMC Update) v0.29.3" xfId="774" xr:uid="{00000000-0005-0000-0000-0000B1020000}"/>
    <cellStyle name="%_NRA_model_for_NEMO2 (EMC Update) v0.20_NRA_model_for_NEMO2 (EMC Update) v0.21_NRA_model_for_NEMO2 (EMC Update) v0.25_NRA_model_for_NEMO2 (EMC Update) v0.29.3_NRA_model_for_NEMO2 (EMC Update) v0 30 1" xfId="775" xr:uid="{00000000-0005-0000-0000-0000B2020000}"/>
    <cellStyle name="%_NRA_model_for_NEMO2 (EMC Update) v0.20_NRA_model_for_NEMO2 (EMC Update) v0.21_NRA_model_for_NEMO2 (EMC Update) v0.25_NRA_model_for_NEMO2 (EMC Update) v0.29.3_NRA_model_for_NEMO2 (EMC Update) v0.29.5" xfId="776" xr:uid="{00000000-0005-0000-0000-0000B3020000}"/>
    <cellStyle name="%_NRA_model_for_NEMO2 (EMC Update) v0.20_NRA_model_for_NEMO2 (EMC Update) v0.21_NRA_model_for_NEMO2 (EMC Update) v0.25_NRA_model_for_NEMO2 (EMC Update) v0.29.3_NRA_model_for_NEMO2 (EMC Update) v0.29.5_NRA_model_for_NEMO2 (EMC Update) v0 30 1" xfId="777" xr:uid="{00000000-0005-0000-0000-0000B4020000}"/>
    <cellStyle name="%_NRA_model_for_NEMO2 (EMC Update) v0.20_NRA_model_for_NEMO2 (EMC Update) v0.21_NRA_model_for_NEMO2 (EMC Update) v0.25_NRA_model_for_NEMO2 (EMC Update) v0.29.4" xfId="778" xr:uid="{00000000-0005-0000-0000-0000B5020000}"/>
    <cellStyle name="%_NRA_model_for_NEMO2 (EMC Update) v0.20_NRA_model_for_NEMO2 (EMC Update) v0.21_NRA_model_for_NEMO2 (EMC Update) v0.25_NRA_model_for_NEMO2 (EMC Update) v0.29.4_NRA_model_for_NEMO2 (EMC Update) v0 30 1" xfId="779" xr:uid="{00000000-0005-0000-0000-0000B6020000}"/>
    <cellStyle name="%_NRA_model_for_NEMO2 (EMC Update) v0.20_NRA_model_for_NEMO2 (EMC Update) v0.21_NRA_model_for_NEMO2 (EMC Update) v0.25_NRA_model_for_NEMO2 (EMC Update) v0.29.4_NRA_model_for_NEMO2 (EMC Update) v0.29.5" xfId="780" xr:uid="{00000000-0005-0000-0000-0000B7020000}"/>
    <cellStyle name="%_NRA_model_for_NEMO2 (EMC Update) v0.20_NRA_model_for_NEMO2 (EMC Update) v0.21_NRA_model_for_NEMO2 (EMC Update) v0.25_NRA_model_for_NEMO2 (EMC Update) v0.29.4_NRA_model_for_NEMO2 (EMC Update) v0.29.5_NRA_model_for_NEMO2 (EMC Update) v0 30 1" xfId="781" xr:uid="{00000000-0005-0000-0000-0000B8020000}"/>
    <cellStyle name="%_NRA_model_for_NEMO2 (EMC Update) v0.20_NRA_model_for_NEMO2 (EMC Update) v0.21_NRA_model_for_NEMO2 (EMC Update) v0.25_NRA_model_for_NEMO2 (EMC Update) v0.29.5" xfId="782" xr:uid="{00000000-0005-0000-0000-0000B9020000}"/>
    <cellStyle name="%_NRA_model_for_NEMO2 (EMC Update) v0.20_NRA_model_for_NEMO2 (EMC Update) v0.21_NRA_model_for_NEMO2 (EMC Update) v0.25_NRA_model_for_NEMO2 (EMC Update) v0.29.5_NRA_model_for_NEMO2 (EMC Update) v0 30 1" xfId="783" xr:uid="{00000000-0005-0000-0000-0000BA020000}"/>
    <cellStyle name="%_NRA_model_for_NEMO2 (EMC Update) v0.20_NRA_model_for_NEMO2 (EMC Update) v0.21_NRA_model_for_NEMO2 (EMC Update) v0.25_NRA_model_for_NEMO2 (EMC Update) v0.29_NRA_model_for_NEMO2 (EMC Update) v0 30 1" xfId="784" xr:uid="{00000000-0005-0000-0000-0000BB020000}"/>
    <cellStyle name="%_NRA_model_for_NEMO2 (EMC Update) v0.20_NRA_model_for_NEMO2 (EMC Update) v0.21_NRA_model_for_NEMO2 (EMC Update) v0.25_NRA_model_for_NEMO2 (EMC Update) v0.29_NRA_model_for_NEMO2 (EMC Update) v0.29.2" xfId="785" xr:uid="{00000000-0005-0000-0000-0000BC020000}"/>
    <cellStyle name="%_NRA_model_for_NEMO2 (EMC Update) v0.20_NRA_model_for_NEMO2 (EMC Update) v0.21_NRA_model_for_NEMO2 (EMC Update) v0.25_NRA_model_for_NEMO2 (EMC Update) v0.29_NRA_model_for_NEMO2 (EMC Update) v0.29.2_NRA_model_for_NEMO2 (EMC Update) v0 30 1" xfId="786" xr:uid="{00000000-0005-0000-0000-0000BD020000}"/>
    <cellStyle name="%_NRA_model_for_NEMO2 (EMC Update) v0.20_NRA_model_for_NEMO2 (EMC Update) v0.21_NRA_model_for_NEMO2 (EMC Update) v0.25_NRA_model_for_NEMO2 (EMC Update) v0.29_NRA_model_for_NEMO2 (EMC Update) v0.29.2_NRA_model_for_NEMO2 (EMC Update) v0.29.3" xfId="787" xr:uid="{00000000-0005-0000-0000-0000BE020000}"/>
    <cellStyle name="%_NRA_model_for_NEMO2 (EMC Update) v0.20_NRA_model_for_NEMO2 (EMC Update) v0.21_NRA_model_for_NEMO2 (EMC Update) v0.25_NRA_model_for_NEMO2 (EMC Update) v0.29_NRA_model_for_NEMO2 (EMC Update) v0.29.2_NRA_model_for_NEMO2 (EMC Update) v0.29.4" xfId="788" xr:uid="{00000000-0005-0000-0000-0000BF020000}"/>
    <cellStyle name="%_NRA_model_for_NEMO2 (EMC Update) v0.20_NRA_model_for_NEMO2 (EMC Update) v0.21_NRA_model_for_NEMO2 (EMC Update) v0.25_NRA_model_for_NEMO2 (EMC Update) v0.29_NRA_model_for_NEMO2 (EMC Update) v0.29.2_NRA_model_for_NEMO2 (EMC Update) v0.29.5" xfId="789" xr:uid="{00000000-0005-0000-0000-0000C0020000}"/>
    <cellStyle name="%_NRA_model_for_NEMO2 (EMC Update) v0.20_NRA_model_for_NEMO2 (EMC Update) v0.21_NRA_model_for_NEMO2 (EMC Update) v0.25_NRA_model_for_NEMO2 (EMC Update) v0.29_NRA_model_for_NEMO2 (EMC Update) v0.29.3" xfId="790" xr:uid="{00000000-0005-0000-0000-0000C1020000}"/>
    <cellStyle name="%_NRA_model_for_NEMO2 (EMC Update) v0.20_NRA_model_for_NEMO2 (EMC Update) v0.21_NRA_model_for_NEMO2 (EMC Update) v0.25_NRA_model_for_NEMO2 (EMC Update) v0.29_NRA_model_for_NEMO2 (EMC Update) v0.29.3_NRA_model_for_NEMO2 (EMC Update) v0 30 1" xfId="791" xr:uid="{00000000-0005-0000-0000-0000C2020000}"/>
    <cellStyle name="%_NRA_model_for_NEMO2 (EMC Update) v0.20_NRA_model_for_NEMO2 (EMC Update) v0.21_NRA_model_for_NEMO2 (EMC Update) v0.25_NRA_model_for_NEMO2 (EMC Update) v0.29_NRA_model_for_NEMO2 (EMC Update) v0.29.3_NRA_model_for_NEMO2 (EMC Update) v0.29.5" xfId="792" xr:uid="{00000000-0005-0000-0000-0000C3020000}"/>
    <cellStyle name="%_NRA_model_for_NEMO2 (EMC Update) v0.20_NRA_model_for_NEMO2 (EMC Update) v0.21_NRA_model_for_NEMO2 (EMC Update) v0.25_NRA_model_for_NEMO2 (EMC Update) v0.29_NRA_model_for_NEMO2 (EMC Update) v0.29.4" xfId="793" xr:uid="{00000000-0005-0000-0000-0000C4020000}"/>
    <cellStyle name="%_NRA_model_for_NEMO2 (EMC Update) v0.20_NRA_model_for_NEMO2 (EMC Update) v0.21_NRA_model_for_NEMO2 (EMC Update) v0.25_NRA_model_for_NEMO2 (EMC Update) v0.29_NRA_model_for_NEMO2 (EMC Update) v0.29.4_NRA_model_for_NEMO2 (EMC Update) v0 30 1" xfId="794" xr:uid="{00000000-0005-0000-0000-0000C5020000}"/>
    <cellStyle name="%_NRA_model_for_NEMO2 (EMC Update) v0.20_NRA_model_for_NEMO2 (EMC Update) v0.21_NRA_model_for_NEMO2 (EMC Update) v0.25_NRA_model_for_NEMO2 (EMC Update) v0.29_NRA_model_for_NEMO2 (EMC Update) v0.29.4_NRA_model_for_NEMO2 (EMC Update) v0.29.5" xfId="795" xr:uid="{00000000-0005-0000-0000-0000C6020000}"/>
    <cellStyle name="%_NRA_model_for_NEMO2 (EMC Update) v0.20_NRA_model_for_NEMO2 (EMC Update) v0.21_NRA_model_for_NEMO2 (EMC Update) v0.25_NRA_model_for_NEMO2 (EMC Update) v0.29_NRA_model_for_NEMO2 (EMC Update) v0.29.5" xfId="796" xr:uid="{00000000-0005-0000-0000-0000C7020000}"/>
    <cellStyle name="%_NRA_model_for_NEMO2 (EMC Update) v0.20_NRA_model_for_NEMO2 (EMC Update) v0.21_NRA_model_for_NEMO2 (EMC Update) v0.25_NRA_model_for_NEMO2 (EMC Update) v0.29_NRA_model_for_NEMO2 (EMC Update) v0.29.5_NRA_model_for_NEMO2 (EMC Update) v0 30 1" xfId="797" xr:uid="{00000000-0005-0000-0000-0000C8020000}"/>
    <cellStyle name="%_NRA_model_for_NEMO2 (EMC Update) v0.20_NRA_model_for_NEMO2 (EMC Update) v0.21_NRA_model_for_NEMO2 (EMC Update) v0.26" xfId="798" xr:uid="{00000000-0005-0000-0000-0000C9020000}"/>
    <cellStyle name="%_NRA_model_for_NEMO2 (EMC Update) v0.20_NRA_model_for_NEMO2 (EMC Update) v0.21_NRA_model_for_NEMO2 (EMC Update) v0.26_NRA_model_for_NEMO2 (EMC Update) v0 30 1" xfId="799" xr:uid="{00000000-0005-0000-0000-0000CA020000}"/>
    <cellStyle name="%_NRA_model_for_NEMO2 (EMC Update) v0.20_NRA_model_for_NEMO2 (EMC Update) v0.21_NRA_model_for_NEMO2 (EMC Update) v0.26_NRA_model_for_NEMO2 (EMC Update) v0.29" xfId="800" xr:uid="{00000000-0005-0000-0000-0000CB020000}"/>
    <cellStyle name="%_NRA_model_for_NEMO2 (EMC Update) v0.20_NRA_model_for_NEMO2 (EMC Update) v0.21_NRA_model_for_NEMO2 (EMC Update) v0.26_NRA_model_for_NEMO2 (EMC Update) v0.29.2" xfId="801" xr:uid="{00000000-0005-0000-0000-0000CC020000}"/>
    <cellStyle name="%_NRA_model_for_NEMO2 (EMC Update) v0.20_NRA_model_for_NEMO2 (EMC Update) v0.21_NRA_model_for_NEMO2 (EMC Update) v0.26_NRA_model_for_NEMO2 (EMC Update) v0.29.2_NRA_model_for_NEMO2 (EMC Update) v0 30 1" xfId="802" xr:uid="{00000000-0005-0000-0000-0000CD020000}"/>
    <cellStyle name="%_NRA_model_for_NEMO2 (EMC Update) v0.20_NRA_model_for_NEMO2 (EMC Update) v0.21_NRA_model_for_NEMO2 (EMC Update) v0.26_NRA_model_for_NEMO2 (EMC Update) v0.29.2_NRA_model_for_NEMO2 (EMC Update) v0.29.3" xfId="803" xr:uid="{00000000-0005-0000-0000-0000CE020000}"/>
    <cellStyle name="%_NRA_model_for_NEMO2 (EMC Update) v0.20_NRA_model_for_NEMO2 (EMC Update) v0.21_NRA_model_for_NEMO2 (EMC Update) v0.26_NRA_model_for_NEMO2 (EMC Update) v0.29.2_NRA_model_for_NEMO2 (EMC Update) v0.29.3_NRA_model_for_NEMO2 (EMC Update) v0 30 1" xfId="804" xr:uid="{00000000-0005-0000-0000-0000CF020000}"/>
    <cellStyle name="%_NRA_model_for_NEMO2 (EMC Update) v0.20_NRA_model_for_NEMO2 (EMC Update) v0.21_NRA_model_for_NEMO2 (EMC Update) v0.26_NRA_model_for_NEMO2 (EMC Update) v0.29.2_NRA_model_for_NEMO2 (EMC Update) v0.29.3_NRA_model_for_NEMO2 (EMC Update) v0.29.5" xfId="805" xr:uid="{00000000-0005-0000-0000-0000D0020000}"/>
    <cellStyle name="%_NRA_model_for_NEMO2 (EMC Update) v0.20_NRA_model_for_NEMO2 (EMC Update) v0.21_NRA_model_for_NEMO2 (EMC Update) v0.26_NRA_model_for_NEMO2 (EMC Update) v0.29.2_NRA_model_for_NEMO2 (EMC Update) v0.29.4" xfId="806" xr:uid="{00000000-0005-0000-0000-0000D1020000}"/>
    <cellStyle name="%_NRA_model_for_NEMO2 (EMC Update) v0.20_NRA_model_for_NEMO2 (EMC Update) v0.21_NRA_model_for_NEMO2 (EMC Update) v0.26_NRA_model_for_NEMO2 (EMC Update) v0.29.2_NRA_model_for_NEMO2 (EMC Update) v0.29.4_NRA_model_for_NEMO2 (EMC Update) v0 30 1" xfId="807" xr:uid="{00000000-0005-0000-0000-0000D2020000}"/>
    <cellStyle name="%_NRA_model_for_NEMO2 (EMC Update) v0.20_NRA_model_for_NEMO2 (EMC Update) v0.21_NRA_model_for_NEMO2 (EMC Update) v0.26_NRA_model_for_NEMO2 (EMC Update) v0.29.2_NRA_model_for_NEMO2 (EMC Update) v0.29.4_NRA_model_for_NEMO2 (EMC Update) v0.29.5" xfId="808" xr:uid="{00000000-0005-0000-0000-0000D3020000}"/>
    <cellStyle name="%_NRA_model_for_NEMO2 (EMC Update) v0.20_NRA_model_for_NEMO2 (EMC Update) v0.21_NRA_model_for_NEMO2 (EMC Update) v0.26_NRA_model_for_NEMO2 (EMC Update) v0.29.2_NRA_model_for_NEMO2 (EMC Update) v0.29.5" xfId="809" xr:uid="{00000000-0005-0000-0000-0000D4020000}"/>
    <cellStyle name="%_NRA_model_for_NEMO2 (EMC Update) v0.20_NRA_model_for_NEMO2 (EMC Update) v0.21_NRA_model_for_NEMO2 (EMC Update) v0.26_NRA_model_for_NEMO2 (EMC Update) v0.29.2_NRA_model_for_NEMO2 (EMC Update) v0.29.5_NRA_model_for_NEMO2 (EMC Update) v0 30 1" xfId="810" xr:uid="{00000000-0005-0000-0000-0000D5020000}"/>
    <cellStyle name="%_NRA_model_for_NEMO2 (EMC Update) v0.20_NRA_model_for_NEMO2 (EMC Update) v0.21_NRA_model_for_NEMO2 (EMC Update) v0.26_NRA_model_for_NEMO2 (EMC Update) v0.29.3" xfId="811" xr:uid="{00000000-0005-0000-0000-0000D6020000}"/>
    <cellStyle name="%_NRA_model_for_NEMO2 (EMC Update) v0.20_NRA_model_for_NEMO2 (EMC Update) v0.21_NRA_model_for_NEMO2 (EMC Update) v0.26_NRA_model_for_NEMO2 (EMC Update) v0.29.3_NRA_model_for_NEMO2 (EMC Update) v0 30 1" xfId="812" xr:uid="{00000000-0005-0000-0000-0000D7020000}"/>
    <cellStyle name="%_NRA_model_for_NEMO2 (EMC Update) v0.20_NRA_model_for_NEMO2 (EMC Update) v0.21_NRA_model_for_NEMO2 (EMC Update) v0.26_NRA_model_for_NEMO2 (EMC Update) v0.29.3_NRA_model_for_NEMO2 (EMC Update) v0.29.5" xfId="813" xr:uid="{00000000-0005-0000-0000-0000D8020000}"/>
    <cellStyle name="%_NRA_model_for_NEMO2 (EMC Update) v0.20_NRA_model_for_NEMO2 (EMC Update) v0.21_NRA_model_for_NEMO2 (EMC Update) v0.26_NRA_model_for_NEMO2 (EMC Update) v0.29.3_NRA_model_for_NEMO2 (EMC Update) v0.29.5_NRA_model_for_NEMO2 (EMC Update) v0 30 1" xfId="814" xr:uid="{00000000-0005-0000-0000-0000D9020000}"/>
    <cellStyle name="%_NRA_model_for_NEMO2 (EMC Update) v0.20_NRA_model_for_NEMO2 (EMC Update) v0.21_NRA_model_for_NEMO2 (EMC Update) v0.26_NRA_model_for_NEMO2 (EMC Update) v0.29.4" xfId="815" xr:uid="{00000000-0005-0000-0000-0000DA020000}"/>
    <cellStyle name="%_NRA_model_for_NEMO2 (EMC Update) v0.20_NRA_model_for_NEMO2 (EMC Update) v0.21_NRA_model_for_NEMO2 (EMC Update) v0.26_NRA_model_for_NEMO2 (EMC Update) v0.29.4_NRA_model_for_NEMO2 (EMC Update) v0 30 1" xfId="816" xr:uid="{00000000-0005-0000-0000-0000DB020000}"/>
    <cellStyle name="%_NRA_model_for_NEMO2 (EMC Update) v0.20_NRA_model_for_NEMO2 (EMC Update) v0.21_NRA_model_for_NEMO2 (EMC Update) v0.26_NRA_model_for_NEMO2 (EMC Update) v0.29.4_NRA_model_for_NEMO2 (EMC Update) v0.29.5" xfId="817" xr:uid="{00000000-0005-0000-0000-0000DC020000}"/>
    <cellStyle name="%_NRA_model_for_NEMO2 (EMC Update) v0.20_NRA_model_for_NEMO2 (EMC Update) v0.21_NRA_model_for_NEMO2 (EMC Update) v0.26_NRA_model_for_NEMO2 (EMC Update) v0.29.4_NRA_model_for_NEMO2 (EMC Update) v0.29.5_NRA_model_for_NEMO2 (EMC Update) v0 30 1" xfId="818" xr:uid="{00000000-0005-0000-0000-0000DD020000}"/>
    <cellStyle name="%_NRA_model_for_NEMO2 (EMC Update) v0.20_NRA_model_for_NEMO2 (EMC Update) v0.21_NRA_model_for_NEMO2 (EMC Update) v0.26_NRA_model_for_NEMO2 (EMC Update) v0.29.5" xfId="819" xr:uid="{00000000-0005-0000-0000-0000DE020000}"/>
    <cellStyle name="%_NRA_model_for_NEMO2 (EMC Update) v0.20_NRA_model_for_NEMO2 (EMC Update) v0.21_NRA_model_for_NEMO2 (EMC Update) v0.26_NRA_model_for_NEMO2 (EMC Update) v0.29.5_NRA_model_for_NEMO2 (EMC Update) v0 30 1" xfId="820" xr:uid="{00000000-0005-0000-0000-0000DF020000}"/>
    <cellStyle name="%_NRA_model_for_NEMO2 (EMC Update) v0.20_NRA_model_for_NEMO2 (EMC Update) v0.21_NRA_model_for_NEMO2 (EMC Update) v0.26_NRA_model_for_NEMO2 (EMC Update) v0.29_NRA_model_for_NEMO2 (EMC Update) v0 30 1" xfId="821" xr:uid="{00000000-0005-0000-0000-0000E0020000}"/>
    <cellStyle name="%_NRA_model_for_NEMO2 (EMC Update) v0.20_NRA_model_for_NEMO2 (EMC Update) v0.21_NRA_model_for_NEMO2 (EMC Update) v0.26_NRA_model_for_NEMO2 (EMC Update) v0.29_NRA_model_for_NEMO2 (EMC Update) v0.29.2" xfId="822" xr:uid="{00000000-0005-0000-0000-0000E1020000}"/>
    <cellStyle name="%_NRA_model_for_NEMO2 (EMC Update) v0.20_NRA_model_for_NEMO2 (EMC Update) v0.21_NRA_model_for_NEMO2 (EMC Update) v0.26_NRA_model_for_NEMO2 (EMC Update) v0.29_NRA_model_for_NEMO2 (EMC Update) v0.29.2_NRA_model_for_NEMO2 (EMC Update) v0 30 1" xfId="823" xr:uid="{00000000-0005-0000-0000-0000E2020000}"/>
    <cellStyle name="%_NRA_model_for_NEMO2 (EMC Update) v0.20_NRA_model_for_NEMO2 (EMC Update) v0.21_NRA_model_for_NEMO2 (EMC Update) v0.26_NRA_model_for_NEMO2 (EMC Update) v0.29_NRA_model_for_NEMO2 (EMC Update) v0.29.2_NRA_model_for_NEMO2 (EMC Update) v0.29.3" xfId="824" xr:uid="{00000000-0005-0000-0000-0000E3020000}"/>
    <cellStyle name="%_NRA_model_for_NEMO2 (EMC Update) v0.20_NRA_model_for_NEMO2 (EMC Update) v0.21_NRA_model_for_NEMO2 (EMC Update) v0.26_NRA_model_for_NEMO2 (EMC Update) v0.29_NRA_model_for_NEMO2 (EMC Update) v0.29.2_NRA_model_for_NEMO2 (EMC Update) v0.29.4" xfId="825" xr:uid="{00000000-0005-0000-0000-0000E4020000}"/>
    <cellStyle name="%_NRA_model_for_NEMO2 (EMC Update) v0.20_NRA_model_for_NEMO2 (EMC Update) v0.21_NRA_model_for_NEMO2 (EMC Update) v0.26_NRA_model_for_NEMO2 (EMC Update) v0.29_NRA_model_for_NEMO2 (EMC Update) v0.29.2_NRA_model_for_NEMO2 (EMC Update) v0.29.5" xfId="826" xr:uid="{00000000-0005-0000-0000-0000E5020000}"/>
    <cellStyle name="%_NRA_model_for_NEMO2 (EMC Update) v0.20_NRA_model_for_NEMO2 (EMC Update) v0.21_NRA_model_for_NEMO2 (EMC Update) v0.26_NRA_model_for_NEMO2 (EMC Update) v0.29_NRA_model_for_NEMO2 (EMC Update) v0.29.3" xfId="827" xr:uid="{00000000-0005-0000-0000-0000E6020000}"/>
    <cellStyle name="%_NRA_model_for_NEMO2 (EMC Update) v0.20_NRA_model_for_NEMO2 (EMC Update) v0.21_NRA_model_for_NEMO2 (EMC Update) v0.26_NRA_model_for_NEMO2 (EMC Update) v0.29_NRA_model_for_NEMO2 (EMC Update) v0.29.3_NRA_model_for_NEMO2 (EMC Update) v0 30 1" xfId="828" xr:uid="{00000000-0005-0000-0000-0000E7020000}"/>
    <cellStyle name="%_NRA_model_for_NEMO2 (EMC Update) v0.20_NRA_model_for_NEMO2 (EMC Update) v0.21_NRA_model_for_NEMO2 (EMC Update) v0.26_NRA_model_for_NEMO2 (EMC Update) v0.29_NRA_model_for_NEMO2 (EMC Update) v0.29.3_NRA_model_for_NEMO2 (EMC Update) v0.29.5" xfId="829" xr:uid="{00000000-0005-0000-0000-0000E8020000}"/>
    <cellStyle name="%_NRA_model_for_NEMO2 (EMC Update) v0.20_NRA_model_for_NEMO2 (EMC Update) v0.21_NRA_model_for_NEMO2 (EMC Update) v0.26_NRA_model_for_NEMO2 (EMC Update) v0.29_NRA_model_for_NEMO2 (EMC Update) v0.29.4" xfId="830" xr:uid="{00000000-0005-0000-0000-0000E9020000}"/>
    <cellStyle name="%_NRA_model_for_NEMO2 (EMC Update) v0.20_NRA_model_for_NEMO2 (EMC Update) v0.21_NRA_model_for_NEMO2 (EMC Update) v0.26_NRA_model_for_NEMO2 (EMC Update) v0.29_NRA_model_for_NEMO2 (EMC Update) v0.29.4_NRA_model_for_NEMO2 (EMC Update) v0 30 1" xfId="831" xr:uid="{00000000-0005-0000-0000-0000EA020000}"/>
    <cellStyle name="%_NRA_model_for_NEMO2 (EMC Update) v0.20_NRA_model_for_NEMO2 (EMC Update) v0.21_NRA_model_for_NEMO2 (EMC Update) v0.26_NRA_model_for_NEMO2 (EMC Update) v0.29_NRA_model_for_NEMO2 (EMC Update) v0.29.4_NRA_model_for_NEMO2 (EMC Update) v0.29.5" xfId="832" xr:uid="{00000000-0005-0000-0000-0000EB020000}"/>
    <cellStyle name="%_NRA_model_for_NEMO2 (EMC Update) v0.20_NRA_model_for_NEMO2 (EMC Update) v0.21_NRA_model_for_NEMO2 (EMC Update) v0.26_NRA_model_for_NEMO2 (EMC Update) v0.29_NRA_model_for_NEMO2 (EMC Update) v0.29.5" xfId="833" xr:uid="{00000000-0005-0000-0000-0000EC020000}"/>
    <cellStyle name="%_NRA_model_for_NEMO2 (EMC Update) v0.20_NRA_model_for_NEMO2 (EMC Update) v0.21_NRA_model_for_NEMO2 (EMC Update) v0.26_NRA_model_for_NEMO2 (EMC Update) v0.29_NRA_model_for_NEMO2 (EMC Update) v0.29.5_NRA_model_for_NEMO2 (EMC Update) v0 30 1" xfId="834" xr:uid="{00000000-0005-0000-0000-0000ED020000}"/>
    <cellStyle name="%_NRA_model_for_NEMO2 (EMC Update) v0.20_NRA_model_for_NEMO2 (EMC Update) v0.21_NRA_model_for_NEMO2 (EMC Update) v0.29" xfId="835" xr:uid="{00000000-0005-0000-0000-0000EE020000}"/>
    <cellStyle name="%_NRA_model_for_NEMO2 (EMC Update) v0.20_NRA_model_for_NEMO2 (EMC Update) v0.21_NRA_model_for_NEMO2 (EMC Update) v0.29.2" xfId="836" xr:uid="{00000000-0005-0000-0000-0000EF020000}"/>
    <cellStyle name="%_NRA_model_for_NEMO2 (EMC Update) v0.20_NRA_model_for_NEMO2 (EMC Update) v0.21_NRA_model_for_NEMO2 (EMC Update) v0.29.2_NRA_model_for_NEMO2 (EMC Update) v0 30 1" xfId="837" xr:uid="{00000000-0005-0000-0000-0000F0020000}"/>
    <cellStyle name="%_NRA_model_for_NEMO2 (EMC Update) v0.20_NRA_model_for_NEMO2 (EMC Update) v0.21_NRA_model_for_NEMO2 (EMC Update) v0.29.2_NRA_model_for_NEMO2 (EMC Update) v0.29.3" xfId="838" xr:uid="{00000000-0005-0000-0000-0000F1020000}"/>
    <cellStyle name="%_NRA_model_for_NEMO2 (EMC Update) v0.20_NRA_model_for_NEMO2 (EMC Update) v0.21_NRA_model_for_NEMO2 (EMC Update) v0.29.2_NRA_model_for_NEMO2 (EMC Update) v0.29.3_NRA_model_for_NEMO2 (EMC Update) v0 30 1" xfId="839" xr:uid="{00000000-0005-0000-0000-0000F2020000}"/>
    <cellStyle name="%_NRA_model_for_NEMO2 (EMC Update) v0.20_NRA_model_for_NEMO2 (EMC Update) v0.21_NRA_model_for_NEMO2 (EMC Update) v0.29.2_NRA_model_for_NEMO2 (EMC Update) v0.29.3_NRA_model_for_NEMO2 (EMC Update) v0.29.5" xfId="840" xr:uid="{00000000-0005-0000-0000-0000F3020000}"/>
    <cellStyle name="%_NRA_model_for_NEMO2 (EMC Update) v0.20_NRA_model_for_NEMO2 (EMC Update) v0.21_NRA_model_for_NEMO2 (EMC Update) v0.29.2_NRA_model_for_NEMO2 (EMC Update) v0.29.3_NRA_model_for_NEMO2 (EMC Update) v0.29.5_NRA_model_for_NEMO2 (EMC Update) v0 30 1" xfId="841" xr:uid="{00000000-0005-0000-0000-0000F4020000}"/>
    <cellStyle name="%_NRA_model_for_NEMO2 (EMC Update) v0.20_NRA_model_for_NEMO2 (EMC Update) v0.21_NRA_model_for_NEMO2 (EMC Update) v0.29.2_NRA_model_for_NEMO2 (EMC Update) v0.29.4" xfId="842" xr:uid="{00000000-0005-0000-0000-0000F5020000}"/>
    <cellStyle name="%_NRA_model_for_NEMO2 (EMC Update) v0.20_NRA_model_for_NEMO2 (EMC Update) v0.21_NRA_model_for_NEMO2 (EMC Update) v0.29.2_NRA_model_for_NEMO2 (EMC Update) v0.29.4_NRA_model_for_NEMO2 (EMC Update) v0 30 1" xfId="843" xr:uid="{00000000-0005-0000-0000-0000F6020000}"/>
    <cellStyle name="%_NRA_model_for_NEMO2 (EMC Update) v0.20_NRA_model_for_NEMO2 (EMC Update) v0.21_NRA_model_for_NEMO2 (EMC Update) v0.29.2_NRA_model_for_NEMO2 (EMC Update) v0.29.4_NRA_model_for_NEMO2 (EMC Update) v0.29.5" xfId="844" xr:uid="{00000000-0005-0000-0000-0000F7020000}"/>
    <cellStyle name="%_NRA_model_for_NEMO2 (EMC Update) v0.20_NRA_model_for_NEMO2 (EMC Update) v0.21_NRA_model_for_NEMO2 (EMC Update) v0.29.2_NRA_model_for_NEMO2 (EMC Update) v0.29.4_NRA_model_for_NEMO2 (EMC Update) v0.29.5_NRA_model_for_NEMO2 (EMC Update) v0 30 1" xfId="845" xr:uid="{00000000-0005-0000-0000-0000F8020000}"/>
    <cellStyle name="%_NRA_model_for_NEMO2 (EMC Update) v0.20_NRA_model_for_NEMO2 (EMC Update) v0.21_NRA_model_for_NEMO2 (EMC Update) v0.29.2_NRA_model_for_NEMO2 (EMC Update) v0.29.5" xfId="846" xr:uid="{00000000-0005-0000-0000-0000F9020000}"/>
    <cellStyle name="%_NRA_model_for_NEMO2 (EMC Update) v0.20_NRA_model_for_NEMO2 (EMC Update) v0.21_NRA_model_for_NEMO2 (EMC Update) v0.29.2_NRA_model_for_NEMO2 (EMC Update) v0.29.5_NRA_model_for_NEMO2 (EMC Update) v0 30 1" xfId="847" xr:uid="{00000000-0005-0000-0000-0000FA020000}"/>
    <cellStyle name="%_NRA_model_for_NEMO2 (EMC Update) v0.20_NRA_model_for_NEMO2 (EMC Update) v0.21_NRA_model_for_NEMO2 (EMC Update) v0.29.3" xfId="848" xr:uid="{00000000-0005-0000-0000-0000FB020000}"/>
    <cellStyle name="%_NRA_model_for_NEMO2 (EMC Update) v0.20_NRA_model_for_NEMO2 (EMC Update) v0.21_NRA_model_for_NEMO2 (EMC Update) v0.29.3_NRA_model_for_NEMO2 (EMC Update) v0 30 1" xfId="849" xr:uid="{00000000-0005-0000-0000-0000FC020000}"/>
    <cellStyle name="%_NRA_model_for_NEMO2 (EMC Update) v0.20_NRA_model_for_NEMO2 (EMC Update) v0.21_NRA_model_for_NEMO2 (EMC Update) v0.29.3_NRA_model_for_NEMO2 (EMC Update) v0.29.5" xfId="850" xr:uid="{00000000-0005-0000-0000-0000FD020000}"/>
    <cellStyle name="%_NRA_model_for_NEMO2 (EMC Update) v0.20_NRA_model_for_NEMO2 (EMC Update) v0.21_NRA_model_for_NEMO2 (EMC Update) v0.29.3_NRA_model_for_NEMO2 (EMC Update) v0.29.5_NRA_model_for_NEMO2 (EMC Update) v0 30 1" xfId="851" xr:uid="{00000000-0005-0000-0000-0000FE020000}"/>
    <cellStyle name="%_NRA_model_for_NEMO2 (EMC Update) v0.20_NRA_model_for_NEMO2 (EMC Update) v0.21_NRA_model_for_NEMO2 (EMC Update) v0.29.4" xfId="852" xr:uid="{00000000-0005-0000-0000-0000FF020000}"/>
    <cellStyle name="%_NRA_model_for_NEMO2 (EMC Update) v0.20_NRA_model_for_NEMO2 (EMC Update) v0.21_NRA_model_for_NEMO2 (EMC Update) v0.29.4_NRA_model_for_NEMO2 (EMC Update) v0 30 1" xfId="853" xr:uid="{00000000-0005-0000-0000-000000030000}"/>
    <cellStyle name="%_NRA_model_for_NEMO2 (EMC Update) v0.20_NRA_model_for_NEMO2 (EMC Update) v0.21_NRA_model_for_NEMO2 (EMC Update) v0.29.4_NRA_model_for_NEMO2 (EMC Update) v0.29.5" xfId="854" xr:uid="{00000000-0005-0000-0000-000001030000}"/>
    <cellStyle name="%_NRA_model_for_NEMO2 (EMC Update) v0.20_NRA_model_for_NEMO2 (EMC Update) v0.21_NRA_model_for_NEMO2 (EMC Update) v0.29.4_NRA_model_for_NEMO2 (EMC Update) v0.29.5_NRA_model_for_NEMO2 (EMC Update) v0 30 1" xfId="855" xr:uid="{00000000-0005-0000-0000-000002030000}"/>
    <cellStyle name="%_NRA_model_for_NEMO2 (EMC Update) v0.20_NRA_model_for_NEMO2 (EMC Update) v0.21_NRA_model_for_NEMO2 (EMC Update) v0.29.5" xfId="856" xr:uid="{00000000-0005-0000-0000-000003030000}"/>
    <cellStyle name="%_NRA_model_for_NEMO2 (EMC Update) v0.20_NRA_model_for_NEMO2 (EMC Update) v0.21_NRA_model_for_NEMO2 (EMC Update) v0.29.5_NRA_model_for_NEMO2 (EMC Update) v0 30 1" xfId="857" xr:uid="{00000000-0005-0000-0000-000004030000}"/>
    <cellStyle name="%_NRA_model_for_NEMO2 (EMC Update) v0.20_NRA_model_for_NEMO2 (EMC Update) v0.21_NRA_model_for_NEMO2 (EMC Update) v0.29_NRA_model_for_NEMO2 (EMC Update) v0 30 1" xfId="858" xr:uid="{00000000-0005-0000-0000-000005030000}"/>
    <cellStyle name="%_NRA_model_for_NEMO2 (EMC Update) v0.20_NRA_model_for_NEMO2 (EMC Update) v0.21_NRA_model_for_NEMO2 (EMC Update) v0.29_NRA_model_for_NEMO2 (EMC Update) v0.29.2" xfId="859" xr:uid="{00000000-0005-0000-0000-000006030000}"/>
    <cellStyle name="%_NRA_model_for_NEMO2 (EMC Update) v0.20_NRA_model_for_NEMO2 (EMC Update) v0.21_NRA_model_for_NEMO2 (EMC Update) v0.29_NRA_model_for_NEMO2 (EMC Update) v0.29.2_NRA_model_for_NEMO2 (EMC Update) v0 30 1" xfId="860" xr:uid="{00000000-0005-0000-0000-000007030000}"/>
    <cellStyle name="%_NRA_model_for_NEMO2 (EMC Update) v0.20_NRA_model_for_NEMO2 (EMC Update) v0.21_NRA_model_for_NEMO2 (EMC Update) v0.29_NRA_model_for_NEMO2 (EMC Update) v0.29.2_NRA_model_for_NEMO2 (EMC Update) v0.29.3" xfId="861" xr:uid="{00000000-0005-0000-0000-000008030000}"/>
    <cellStyle name="%_NRA_model_for_NEMO2 (EMC Update) v0.20_NRA_model_for_NEMO2 (EMC Update) v0.21_NRA_model_for_NEMO2 (EMC Update) v0.29_NRA_model_for_NEMO2 (EMC Update) v0.29.2_NRA_model_for_NEMO2 (EMC Update) v0.29.3_NRA_model_for_NEMO2 (EMC Update) v0 30 1" xfId="862" xr:uid="{00000000-0005-0000-0000-000009030000}"/>
    <cellStyle name="%_NRA_model_for_NEMO2 (EMC Update) v0.20_NRA_model_for_NEMO2 (EMC Update) v0.21_NRA_model_for_NEMO2 (EMC Update) v0.29_NRA_model_for_NEMO2 (EMC Update) v0.29.2_NRA_model_for_NEMO2 (EMC Update) v0.29.3_NRA_model_for_NEMO2 (EMC Update) v0.29.5" xfId="863" xr:uid="{00000000-0005-0000-0000-00000A030000}"/>
    <cellStyle name="%_NRA_model_for_NEMO2 (EMC Update) v0.20_NRA_model_for_NEMO2 (EMC Update) v0.21_NRA_model_for_NEMO2 (EMC Update) v0.29_NRA_model_for_NEMO2 (EMC Update) v0.29.2_NRA_model_for_NEMO2 (EMC Update) v0.29.4" xfId="864" xr:uid="{00000000-0005-0000-0000-00000B030000}"/>
    <cellStyle name="%_NRA_model_for_NEMO2 (EMC Update) v0.20_NRA_model_for_NEMO2 (EMC Update) v0.21_NRA_model_for_NEMO2 (EMC Update) v0.29_NRA_model_for_NEMO2 (EMC Update) v0.29.2_NRA_model_for_NEMO2 (EMC Update) v0.29.4_NRA_model_for_NEMO2 (EMC Update) v0 30 1" xfId="865" xr:uid="{00000000-0005-0000-0000-00000C030000}"/>
    <cellStyle name="%_NRA_model_for_NEMO2 (EMC Update) v0.20_NRA_model_for_NEMO2 (EMC Update) v0.21_NRA_model_for_NEMO2 (EMC Update) v0.29_NRA_model_for_NEMO2 (EMC Update) v0.29.2_NRA_model_for_NEMO2 (EMC Update) v0.29.4_NRA_model_for_NEMO2 (EMC Update) v0.29.5" xfId="866" xr:uid="{00000000-0005-0000-0000-00000D030000}"/>
    <cellStyle name="%_NRA_model_for_NEMO2 (EMC Update) v0.20_NRA_model_for_NEMO2 (EMC Update) v0.21_NRA_model_for_NEMO2 (EMC Update) v0.29_NRA_model_for_NEMO2 (EMC Update) v0.29.2_NRA_model_for_NEMO2 (EMC Update) v0.29.5" xfId="867" xr:uid="{00000000-0005-0000-0000-00000E030000}"/>
    <cellStyle name="%_NRA_model_for_NEMO2 (EMC Update) v0.20_NRA_model_for_NEMO2 (EMC Update) v0.21_NRA_model_for_NEMO2 (EMC Update) v0.29_NRA_model_for_NEMO2 (EMC Update) v0.29.2_NRA_model_for_NEMO2 (EMC Update) v0.29.5_NRA_model_for_NEMO2 (EMC Update) v0 30 1" xfId="868" xr:uid="{00000000-0005-0000-0000-00000F030000}"/>
    <cellStyle name="%_NRA_model_for_NEMO2 (EMC Update) v0.20_NRA_model_for_NEMO2 (EMC Update) v0.21_NRA_model_for_NEMO2 (EMC Update) v0.29_NRA_model_for_NEMO2 (EMC Update) v0.29.3" xfId="869" xr:uid="{00000000-0005-0000-0000-000010030000}"/>
    <cellStyle name="%_NRA_model_for_NEMO2 (EMC Update) v0.20_NRA_model_for_NEMO2 (EMC Update) v0.21_NRA_model_for_NEMO2 (EMC Update) v0.29_NRA_model_for_NEMO2 (EMC Update) v0.29.3_NRA_model_for_NEMO2 (EMC Update) v0 30 1" xfId="870" xr:uid="{00000000-0005-0000-0000-000011030000}"/>
    <cellStyle name="%_NRA_model_for_NEMO2 (EMC Update) v0.20_NRA_model_for_NEMO2 (EMC Update) v0.21_NRA_model_for_NEMO2 (EMC Update) v0.29_NRA_model_for_NEMO2 (EMC Update) v0.29.3_NRA_model_for_NEMO2 (EMC Update) v0.29.5" xfId="871" xr:uid="{00000000-0005-0000-0000-000012030000}"/>
    <cellStyle name="%_NRA_model_for_NEMO2 (EMC Update) v0.20_NRA_model_for_NEMO2 (EMC Update) v0.21_NRA_model_for_NEMO2 (EMC Update) v0.29_NRA_model_for_NEMO2 (EMC Update) v0.29.3_NRA_model_for_NEMO2 (EMC Update) v0.29.5_NRA_model_for_NEMO2 (EMC Update) v0 30 1" xfId="872" xr:uid="{00000000-0005-0000-0000-000013030000}"/>
    <cellStyle name="%_NRA_model_for_NEMO2 (EMC Update) v0.20_NRA_model_for_NEMO2 (EMC Update) v0.21_NRA_model_for_NEMO2 (EMC Update) v0.29_NRA_model_for_NEMO2 (EMC Update) v0.29.4" xfId="873" xr:uid="{00000000-0005-0000-0000-000014030000}"/>
    <cellStyle name="%_NRA_model_for_NEMO2 (EMC Update) v0.20_NRA_model_for_NEMO2 (EMC Update) v0.21_NRA_model_for_NEMO2 (EMC Update) v0.29_NRA_model_for_NEMO2 (EMC Update) v0.29.4_NRA_model_for_NEMO2 (EMC Update) v0 30 1" xfId="874" xr:uid="{00000000-0005-0000-0000-000015030000}"/>
    <cellStyle name="%_NRA_model_for_NEMO2 (EMC Update) v0.20_NRA_model_for_NEMO2 (EMC Update) v0.21_NRA_model_for_NEMO2 (EMC Update) v0.29_NRA_model_for_NEMO2 (EMC Update) v0.29.4_NRA_model_for_NEMO2 (EMC Update) v0.29.5" xfId="875" xr:uid="{00000000-0005-0000-0000-000016030000}"/>
    <cellStyle name="%_NRA_model_for_NEMO2 (EMC Update) v0.20_NRA_model_for_NEMO2 (EMC Update) v0.21_NRA_model_for_NEMO2 (EMC Update) v0.29_NRA_model_for_NEMO2 (EMC Update) v0.29.4_NRA_model_for_NEMO2 (EMC Update) v0.29.5_NRA_model_for_NEMO2 (EMC Update) v0 30 1" xfId="876" xr:uid="{00000000-0005-0000-0000-000017030000}"/>
    <cellStyle name="%_NRA_model_for_NEMO2 (EMC Update) v0.20_NRA_model_for_NEMO2 (EMC Update) v0.21_NRA_model_for_NEMO2 (EMC Update) v0.29_NRA_model_for_NEMO2 (EMC Update) v0.29.5" xfId="877" xr:uid="{00000000-0005-0000-0000-000018030000}"/>
    <cellStyle name="%_NRA_model_for_NEMO2 (EMC Update) v0.20_NRA_model_for_NEMO2 (EMC Update) v0.21_NRA_model_for_NEMO2 (EMC Update) v0.29_NRA_model_for_NEMO2 (EMC Update) v0.29.5_NRA_model_for_NEMO2 (EMC Update) v0 30 1" xfId="878" xr:uid="{00000000-0005-0000-0000-000019030000}"/>
    <cellStyle name="%_NRA_model_for_NEMO2 (EMC Update) v0.20_NRA_model_for_NEMO2 (EMC Update) v0.22" xfId="879" xr:uid="{00000000-0005-0000-0000-00001A030000}"/>
    <cellStyle name="%_NRA_model_for_NEMO2 (EMC Update) v0.20_NRA_model_for_NEMO2 (EMC Update) v0.22_NRA_model_for_NEMO2 (EMC Update) v0 30 1" xfId="880" xr:uid="{00000000-0005-0000-0000-00001B030000}"/>
    <cellStyle name="%_NRA_model_for_NEMO2 (EMC Update) v0.20_NRA_model_for_NEMO2 (EMC Update) v0.22_NRA_model_for_NEMO2 (EMC Update) v0.25" xfId="881" xr:uid="{00000000-0005-0000-0000-00001C030000}"/>
    <cellStyle name="%_NRA_model_for_NEMO2 (EMC Update) v0.20_NRA_model_for_NEMO2 (EMC Update) v0.22_NRA_model_for_NEMO2 (EMC Update) v0.25_NRA_model_for_NEMO2 (EMC Update) v0 30 1" xfId="882" xr:uid="{00000000-0005-0000-0000-00001D030000}"/>
    <cellStyle name="%_NRA_model_for_NEMO2 (EMC Update) v0.20_NRA_model_for_NEMO2 (EMC Update) v0.22_NRA_model_for_NEMO2 (EMC Update) v0.25_NRA_model_for_NEMO2 (EMC Update) v0.26" xfId="883" xr:uid="{00000000-0005-0000-0000-00001E030000}"/>
    <cellStyle name="%_NRA_model_for_NEMO2 (EMC Update) v0.20_NRA_model_for_NEMO2 (EMC Update) v0.22_NRA_model_for_NEMO2 (EMC Update) v0.25_NRA_model_for_NEMO2 (EMC Update) v0.26_NRA_model_for_NEMO2 (EMC Update) v0 30 1" xfId="884" xr:uid="{00000000-0005-0000-0000-00001F030000}"/>
    <cellStyle name="%_NRA_model_for_NEMO2 (EMC Update) v0.20_NRA_model_for_NEMO2 (EMC Update) v0.22_NRA_model_for_NEMO2 (EMC Update) v0.25_NRA_model_for_NEMO2 (EMC Update) v0.26_NRA_model_for_NEMO2 (EMC Update) v0.29" xfId="885" xr:uid="{00000000-0005-0000-0000-000020030000}"/>
    <cellStyle name="%_NRA_model_for_NEMO2 (EMC Update) v0.20_NRA_model_for_NEMO2 (EMC Update) v0.22_NRA_model_for_NEMO2 (EMC Update) v0.25_NRA_model_for_NEMO2 (EMC Update) v0.26_NRA_model_for_NEMO2 (EMC Update) v0.29.2" xfId="886" xr:uid="{00000000-0005-0000-0000-000021030000}"/>
    <cellStyle name="%_NRA_model_for_NEMO2 (EMC Update) v0.20_NRA_model_for_NEMO2 (EMC Update) v0.22_NRA_model_for_NEMO2 (EMC Update) v0.25_NRA_model_for_NEMO2 (EMC Update) v0.26_NRA_model_for_NEMO2 (EMC Update) v0.29.2_NRA_model_for_NEMO2 (EMC Update) v0 30 1" xfId="887" xr:uid="{00000000-0005-0000-0000-000022030000}"/>
    <cellStyle name="%_NRA_model_for_NEMO2 (EMC Update) v0.20_NRA_model_for_NEMO2 (EMC Update) v0.22_NRA_model_for_NEMO2 (EMC Update) v0.25_NRA_model_for_NEMO2 (EMC Update) v0.26_NRA_model_for_NEMO2 (EMC Update) v0.29.2_NRA_model_for_NEMO2 (EMC Update) v0.29.3" xfId="888" xr:uid="{00000000-0005-0000-0000-000023030000}"/>
    <cellStyle name="%_NRA_model_for_NEMO2 (EMC Update) v0.20_NRA_model_for_NEMO2 (EMC Update) v0.22_NRA_model_for_NEMO2 (EMC Update) v0.25_NRA_model_for_NEMO2 (EMC Update) v0.26_NRA_model_for_NEMO2 (EMC Update) v0.29.2_NRA_model_for_NEMO2 (EMC Update) v0.29.4" xfId="889" xr:uid="{00000000-0005-0000-0000-000024030000}"/>
    <cellStyle name="%_NRA_model_for_NEMO2 (EMC Update) v0.20_NRA_model_for_NEMO2 (EMC Update) v0.22_NRA_model_for_NEMO2 (EMC Update) v0.25_NRA_model_for_NEMO2 (EMC Update) v0.26_NRA_model_for_NEMO2 (EMC Update) v0.29.2_NRA_model_for_NEMO2 (EMC Update) v0.29.5" xfId="890" xr:uid="{00000000-0005-0000-0000-000025030000}"/>
    <cellStyle name="%_NRA_model_for_NEMO2 (EMC Update) v0.20_NRA_model_for_NEMO2 (EMC Update) v0.22_NRA_model_for_NEMO2 (EMC Update) v0.25_NRA_model_for_NEMO2 (EMC Update) v0.26_NRA_model_for_NEMO2 (EMC Update) v0.29.3" xfId="891" xr:uid="{00000000-0005-0000-0000-000026030000}"/>
    <cellStyle name="%_NRA_model_for_NEMO2 (EMC Update) v0.20_NRA_model_for_NEMO2 (EMC Update) v0.22_NRA_model_for_NEMO2 (EMC Update) v0.25_NRA_model_for_NEMO2 (EMC Update) v0.26_NRA_model_for_NEMO2 (EMC Update) v0.29.3_NRA_model_for_NEMO2 (EMC Update) v0 30 1" xfId="892" xr:uid="{00000000-0005-0000-0000-000027030000}"/>
    <cellStyle name="%_NRA_model_for_NEMO2 (EMC Update) v0.20_NRA_model_for_NEMO2 (EMC Update) v0.22_NRA_model_for_NEMO2 (EMC Update) v0.25_NRA_model_for_NEMO2 (EMC Update) v0.26_NRA_model_for_NEMO2 (EMC Update) v0.29.3_NRA_model_for_NEMO2 (EMC Update) v0.29.5" xfId="893" xr:uid="{00000000-0005-0000-0000-000028030000}"/>
    <cellStyle name="%_NRA_model_for_NEMO2 (EMC Update) v0.20_NRA_model_for_NEMO2 (EMC Update) v0.22_NRA_model_for_NEMO2 (EMC Update) v0.25_NRA_model_for_NEMO2 (EMC Update) v0.26_NRA_model_for_NEMO2 (EMC Update) v0.29.4" xfId="894" xr:uid="{00000000-0005-0000-0000-000029030000}"/>
    <cellStyle name="%_NRA_model_for_NEMO2 (EMC Update) v0.20_NRA_model_for_NEMO2 (EMC Update) v0.22_NRA_model_for_NEMO2 (EMC Update) v0.25_NRA_model_for_NEMO2 (EMC Update) v0.26_NRA_model_for_NEMO2 (EMC Update) v0.29.4_NRA_model_for_NEMO2 (EMC Update) v0 30 1" xfId="895" xr:uid="{00000000-0005-0000-0000-00002A030000}"/>
    <cellStyle name="%_NRA_model_for_NEMO2 (EMC Update) v0.20_NRA_model_for_NEMO2 (EMC Update) v0.22_NRA_model_for_NEMO2 (EMC Update) v0.25_NRA_model_for_NEMO2 (EMC Update) v0.26_NRA_model_for_NEMO2 (EMC Update) v0.29.4_NRA_model_for_NEMO2 (EMC Update) v0.29.5" xfId="896" xr:uid="{00000000-0005-0000-0000-00002B030000}"/>
    <cellStyle name="%_NRA_model_for_NEMO2 (EMC Update) v0.20_NRA_model_for_NEMO2 (EMC Update) v0.22_NRA_model_for_NEMO2 (EMC Update) v0.25_NRA_model_for_NEMO2 (EMC Update) v0.26_NRA_model_for_NEMO2 (EMC Update) v0.29.5" xfId="897" xr:uid="{00000000-0005-0000-0000-00002C030000}"/>
    <cellStyle name="%_NRA_model_for_NEMO2 (EMC Update) v0.20_NRA_model_for_NEMO2 (EMC Update) v0.22_NRA_model_for_NEMO2 (EMC Update) v0.25_NRA_model_for_NEMO2 (EMC Update) v0.26_NRA_model_for_NEMO2 (EMC Update) v0.29.5_NRA_model_for_NEMO2 (EMC Update) v0 30 1" xfId="898" xr:uid="{00000000-0005-0000-0000-00002D030000}"/>
    <cellStyle name="%_NRA_model_for_NEMO2 (EMC Update) v0.20_NRA_model_for_NEMO2 (EMC Update) v0.22_NRA_model_for_NEMO2 (EMC Update) v0.25_NRA_model_for_NEMO2 (EMC Update) v0.26_NRA_model_for_NEMO2 (EMC Update) v0.29_NRA_model_for_NEMO2 (EMC Update) v0 30 1" xfId="899" xr:uid="{00000000-0005-0000-0000-00002E030000}"/>
    <cellStyle name="%_NRA_model_for_NEMO2 (EMC Update) v0.20_NRA_model_for_NEMO2 (EMC Update) v0.22_NRA_model_for_NEMO2 (EMC Update) v0.25_NRA_model_for_NEMO2 (EMC Update) v0.26_NRA_model_for_NEMO2 (EMC Update) v0.29_NRA_model_for_NEMO2 (EMC Update) v0.29.2" xfId="900" xr:uid="{00000000-0005-0000-0000-00002F030000}"/>
    <cellStyle name="%_NRA_model_for_NEMO2 (EMC Update) v0.20_NRA_model_for_NEMO2 (EMC Update) v0.22_NRA_model_for_NEMO2 (EMC Update) v0.25_NRA_model_for_NEMO2 (EMC Update) v0.26_NRA_model_for_NEMO2 (EMC Update) v0.29_NRA_model_for_NEMO2 (EMC Update) v0.29.3" xfId="901" xr:uid="{00000000-0005-0000-0000-000030030000}"/>
    <cellStyle name="%_NRA_model_for_NEMO2 (EMC Update) v0.20_NRA_model_for_NEMO2 (EMC Update) v0.22_NRA_model_for_NEMO2 (EMC Update) v0.25_NRA_model_for_NEMO2 (EMC Update) v0.26_NRA_model_for_NEMO2 (EMC Update) v0.29_NRA_model_for_NEMO2 (EMC Update) v0.29.4" xfId="902" xr:uid="{00000000-0005-0000-0000-000031030000}"/>
    <cellStyle name="%_NRA_model_for_NEMO2 (EMC Update) v0.20_NRA_model_for_NEMO2 (EMC Update) v0.22_NRA_model_for_NEMO2 (EMC Update) v0.25_NRA_model_for_NEMO2 (EMC Update) v0.26_NRA_model_for_NEMO2 (EMC Update) v0.29_NRA_model_for_NEMO2 (EMC Update) v0.29.5" xfId="903" xr:uid="{00000000-0005-0000-0000-000032030000}"/>
    <cellStyle name="%_NRA_model_for_NEMO2 (EMC Update) v0.20_NRA_model_for_NEMO2 (EMC Update) v0.22_NRA_model_for_NEMO2 (EMC Update) v0.25_NRA_model_for_NEMO2 (EMC Update) v0.29" xfId="904" xr:uid="{00000000-0005-0000-0000-000033030000}"/>
    <cellStyle name="%_NRA_model_for_NEMO2 (EMC Update) v0.20_NRA_model_for_NEMO2 (EMC Update) v0.22_NRA_model_for_NEMO2 (EMC Update) v0.25_NRA_model_for_NEMO2 (EMC Update) v0.29.2" xfId="905" xr:uid="{00000000-0005-0000-0000-000034030000}"/>
    <cellStyle name="%_NRA_model_for_NEMO2 (EMC Update) v0.20_NRA_model_for_NEMO2 (EMC Update) v0.22_NRA_model_for_NEMO2 (EMC Update) v0.25_NRA_model_for_NEMO2 (EMC Update) v0.29.2_NRA_model_for_NEMO2 (EMC Update) v0 30 1" xfId="906" xr:uid="{00000000-0005-0000-0000-000035030000}"/>
    <cellStyle name="%_NRA_model_for_NEMO2 (EMC Update) v0.20_NRA_model_for_NEMO2 (EMC Update) v0.22_NRA_model_for_NEMO2 (EMC Update) v0.25_NRA_model_for_NEMO2 (EMC Update) v0.29.2_NRA_model_for_NEMO2 (EMC Update) v0.29.3" xfId="907" xr:uid="{00000000-0005-0000-0000-000036030000}"/>
    <cellStyle name="%_NRA_model_for_NEMO2 (EMC Update) v0.20_NRA_model_for_NEMO2 (EMC Update) v0.22_NRA_model_for_NEMO2 (EMC Update) v0.25_NRA_model_for_NEMO2 (EMC Update) v0.29.2_NRA_model_for_NEMO2 (EMC Update) v0.29.3_NRA_model_for_NEMO2 (EMC Update) v0 30 1" xfId="908" xr:uid="{00000000-0005-0000-0000-000037030000}"/>
    <cellStyle name="%_NRA_model_for_NEMO2 (EMC Update) v0.20_NRA_model_for_NEMO2 (EMC Update) v0.22_NRA_model_for_NEMO2 (EMC Update) v0.25_NRA_model_for_NEMO2 (EMC Update) v0.29.2_NRA_model_for_NEMO2 (EMC Update) v0.29.3_NRA_model_for_NEMO2 (EMC Update) v0.29.5" xfId="909" xr:uid="{00000000-0005-0000-0000-000038030000}"/>
    <cellStyle name="%_NRA_model_for_NEMO2 (EMC Update) v0.20_NRA_model_for_NEMO2 (EMC Update) v0.22_NRA_model_for_NEMO2 (EMC Update) v0.25_NRA_model_for_NEMO2 (EMC Update) v0.29.2_NRA_model_for_NEMO2 (EMC Update) v0.29.4" xfId="910" xr:uid="{00000000-0005-0000-0000-000039030000}"/>
    <cellStyle name="%_NRA_model_for_NEMO2 (EMC Update) v0.20_NRA_model_for_NEMO2 (EMC Update) v0.22_NRA_model_for_NEMO2 (EMC Update) v0.25_NRA_model_for_NEMO2 (EMC Update) v0.29.2_NRA_model_for_NEMO2 (EMC Update) v0.29.4_NRA_model_for_NEMO2 (EMC Update) v0 30 1" xfId="911" xr:uid="{00000000-0005-0000-0000-00003A030000}"/>
    <cellStyle name="%_NRA_model_for_NEMO2 (EMC Update) v0.20_NRA_model_for_NEMO2 (EMC Update) v0.22_NRA_model_for_NEMO2 (EMC Update) v0.25_NRA_model_for_NEMO2 (EMC Update) v0.29.2_NRA_model_for_NEMO2 (EMC Update) v0.29.4_NRA_model_for_NEMO2 (EMC Update) v0.29.5" xfId="912" xr:uid="{00000000-0005-0000-0000-00003B030000}"/>
    <cellStyle name="%_NRA_model_for_NEMO2 (EMC Update) v0.20_NRA_model_for_NEMO2 (EMC Update) v0.22_NRA_model_for_NEMO2 (EMC Update) v0.25_NRA_model_for_NEMO2 (EMC Update) v0.29.2_NRA_model_for_NEMO2 (EMC Update) v0.29.5" xfId="913" xr:uid="{00000000-0005-0000-0000-00003C030000}"/>
    <cellStyle name="%_NRA_model_for_NEMO2 (EMC Update) v0.20_NRA_model_for_NEMO2 (EMC Update) v0.22_NRA_model_for_NEMO2 (EMC Update) v0.25_NRA_model_for_NEMO2 (EMC Update) v0.29.2_NRA_model_for_NEMO2 (EMC Update) v0.29.5_NRA_model_for_NEMO2 (EMC Update) v0 30 1" xfId="914" xr:uid="{00000000-0005-0000-0000-00003D030000}"/>
    <cellStyle name="%_NRA_model_for_NEMO2 (EMC Update) v0.20_NRA_model_for_NEMO2 (EMC Update) v0.22_NRA_model_for_NEMO2 (EMC Update) v0.25_NRA_model_for_NEMO2 (EMC Update) v0.29.3" xfId="915" xr:uid="{00000000-0005-0000-0000-00003E030000}"/>
    <cellStyle name="%_NRA_model_for_NEMO2 (EMC Update) v0.20_NRA_model_for_NEMO2 (EMC Update) v0.22_NRA_model_for_NEMO2 (EMC Update) v0.25_NRA_model_for_NEMO2 (EMC Update) v0.29.3_NRA_model_for_NEMO2 (EMC Update) v0 30 1" xfId="916" xr:uid="{00000000-0005-0000-0000-00003F030000}"/>
    <cellStyle name="%_NRA_model_for_NEMO2 (EMC Update) v0.20_NRA_model_for_NEMO2 (EMC Update) v0.22_NRA_model_for_NEMO2 (EMC Update) v0.25_NRA_model_for_NEMO2 (EMC Update) v0.29.3_NRA_model_for_NEMO2 (EMC Update) v0.29.5" xfId="917" xr:uid="{00000000-0005-0000-0000-000040030000}"/>
    <cellStyle name="%_NRA_model_for_NEMO2 (EMC Update) v0.20_NRA_model_for_NEMO2 (EMC Update) v0.22_NRA_model_for_NEMO2 (EMC Update) v0.25_NRA_model_for_NEMO2 (EMC Update) v0.29.3_NRA_model_for_NEMO2 (EMC Update) v0.29.5_NRA_model_for_NEMO2 (EMC Update) v0 30 1" xfId="918" xr:uid="{00000000-0005-0000-0000-000041030000}"/>
    <cellStyle name="%_NRA_model_for_NEMO2 (EMC Update) v0.20_NRA_model_for_NEMO2 (EMC Update) v0.22_NRA_model_for_NEMO2 (EMC Update) v0.25_NRA_model_for_NEMO2 (EMC Update) v0.29.4" xfId="919" xr:uid="{00000000-0005-0000-0000-000042030000}"/>
    <cellStyle name="%_NRA_model_for_NEMO2 (EMC Update) v0.20_NRA_model_for_NEMO2 (EMC Update) v0.22_NRA_model_for_NEMO2 (EMC Update) v0.25_NRA_model_for_NEMO2 (EMC Update) v0.29.4_NRA_model_for_NEMO2 (EMC Update) v0 30 1" xfId="920" xr:uid="{00000000-0005-0000-0000-000043030000}"/>
    <cellStyle name="%_NRA_model_for_NEMO2 (EMC Update) v0.20_NRA_model_for_NEMO2 (EMC Update) v0.22_NRA_model_for_NEMO2 (EMC Update) v0.25_NRA_model_for_NEMO2 (EMC Update) v0.29.4_NRA_model_for_NEMO2 (EMC Update) v0.29.5" xfId="921" xr:uid="{00000000-0005-0000-0000-000044030000}"/>
    <cellStyle name="%_NRA_model_for_NEMO2 (EMC Update) v0.20_NRA_model_for_NEMO2 (EMC Update) v0.22_NRA_model_for_NEMO2 (EMC Update) v0.25_NRA_model_for_NEMO2 (EMC Update) v0.29.4_NRA_model_for_NEMO2 (EMC Update) v0.29.5_NRA_model_for_NEMO2 (EMC Update) v0 30 1" xfId="922" xr:uid="{00000000-0005-0000-0000-000045030000}"/>
    <cellStyle name="%_NRA_model_for_NEMO2 (EMC Update) v0.20_NRA_model_for_NEMO2 (EMC Update) v0.22_NRA_model_for_NEMO2 (EMC Update) v0.25_NRA_model_for_NEMO2 (EMC Update) v0.29.5" xfId="923" xr:uid="{00000000-0005-0000-0000-000046030000}"/>
    <cellStyle name="%_NRA_model_for_NEMO2 (EMC Update) v0.20_NRA_model_for_NEMO2 (EMC Update) v0.22_NRA_model_for_NEMO2 (EMC Update) v0.25_NRA_model_for_NEMO2 (EMC Update) v0.29.5_NRA_model_for_NEMO2 (EMC Update) v0 30 1" xfId="924" xr:uid="{00000000-0005-0000-0000-000047030000}"/>
    <cellStyle name="%_NRA_model_for_NEMO2 (EMC Update) v0.20_NRA_model_for_NEMO2 (EMC Update) v0.22_NRA_model_for_NEMO2 (EMC Update) v0.25_NRA_model_for_NEMO2 (EMC Update) v0.29_NRA_model_for_NEMO2 (EMC Update) v0 30 1" xfId="925" xr:uid="{00000000-0005-0000-0000-000048030000}"/>
    <cellStyle name="%_NRA_model_for_NEMO2 (EMC Update) v0.20_NRA_model_for_NEMO2 (EMC Update) v0.22_NRA_model_for_NEMO2 (EMC Update) v0.25_NRA_model_for_NEMO2 (EMC Update) v0.29_NRA_model_for_NEMO2 (EMC Update) v0.29.2" xfId="926" xr:uid="{00000000-0005-0000-0000-000049030000}"/>
    <cellStyle name="%_NRA_model_for_NEMO2 (EMC Update) v0.20_NRA_model_for_NEMO2 (EMC Update) v0.22_NRA_model_for_NEMO2 (EMC Update) v0.25_NRA_model_for_NEMO2 (EMC Update) v0.29_NRA_model_for_NEMO2 (EMC Update) v0.29.2_NRA_model_for_NEMO2 (EMC Update) v0 30 1" xfId="927" xr:uid="{00000000-0005-0000-0000-00004A030000}"/>
    <cellStyle name="%_NRA_model_for_NEMO2 (EMC Update) v0.20_NRA_model_for_NEMO2 (EMC Update) v0.22_NRA_model_for_NEMO2 (EMC Update) v0.25_NRA_model_for_NEMO2 (EMC Update) v0.29_NRA_model_for_NEMO2 (EMC Update) v0.29.2_NRA_model_for_NEMO2 (EMC Update) v0.29.3" xfId="928" xr:uid="{00000000-0005-0000-0000-00004B030000}"/>
    <cellStyle name="%_NRA_model_for_NEMO2 (EMC Update) v0.20_NRA_model_for_NEMO2 (EMC Update) v0.22_NRA_model_for_NEMO2 (EMC Update) v0.25_NRA_model_for_NEMO2 (EMC Update) v0.29_NRA_model_for_NEMO2 (EMC Update) v0.29.2_NRA_model_for_NEMO2 (EMC Update) v0.29.4" xfId="929" xr:uid="{00000000-0005-0000-0000-00004C030000}"/>
    <cellStyle name="%_NRA_model_for_NEMO2 (EMC Update) v0.20_NRA_model_for_NEMO2 (EMC Update) v0.22_NRA_model_for_NEMO2 (EMC Update) v0.25_NRA_model_for_NEMO2 (EMC Update) v0.29_NRA_model_for_NEMO2 (EMC Update) v0.29.2_NRA_model_for_NEMO2 (EMC Update) v0.29.5" xfId="930" xr:uid="{00000000-0005-0000-0000-00004D030000}"/>
    <cellStyle name="%_NRA_model_for_NEMO2 (EMC Update) v0.20_NRA_model_for_NEMO2 (EMC Update) v0.22_NRA_model_for_NEMO2 (EMC Update) v0.25_NRA_model_for_NEMO2 (EMC Update) v0.29_NRA_model_for_NEMO2 (EMC Update) v0.29.3" xfId="931" xr:uid="{00000000-0005-0000-0000-00004E030000}"/>
    <cellStyle name="%_NRA_model_for_NEMO2 (EMC Update) v0.20_NRA_model_for_NEMO2 (EMC Update) v0.22_NRA_model_for_NEMO2 (EMC Update) v0.25_NRA_model_for_NEMO2 (EMC Update) v0.29_NRA_model_for_NEMO2 (EMC Update) v0.29.3_NRA_model_for_NEMO2 (EMC Update) v0 30 1" xfId="932" xr:uid="{00000000-0005-0000-0000-00004F030000}"/>
    <cellStyle name="%_NRA_model_for_NEMO2 (EMC Update) v0.20_NRA_model_for_NEMO2 (EMC Update) v0.22_NRA_model_for_NEMO2 (EMC Update) v0.25_NRA_model_for_NEMO2 (EMC Update) v0.29_NRA_model_for_NEMO2 (EMC Update) v0.29.3_NRA_model_for_NEMO2 (EMC Update) v0.29.5" xfId="933" xr:uid="{00000000-0005-0000-0000-000050030000}"/>
    <cellStyle name="%_NRA_model_for_NEMO2 (EMC Update) v0.20_NRA_model_for_NEMO2 (EMC Update) v0.22_NRA_model_for_NEMO2 (EMC Update) v0.25_NRA_model_for_NEMO2 (EMC Update) v0.29_NRA_model_for_NEMO2 (EMC Update) v0.29.4" xfId="934" xr:uid="{00000000-0005-0000-0000-000051030000}"/>
    <cellStyle name="%_NRA_model_for_NEMO2 (EMC Update) v0.20_NRA_model_for_NEMO2 (EMC Update) v0.22_NRA_model_for_NEMO2 (EMC Update) v0.25_NRA_model_for_NEMO2 (EMC Update) v0.29_NRA_model_for_NEMO2 (EMC Update) v0.29.4_NRA_model_for_NEMO2 (EMC Update) v0 30 1" xfId="935" xr:uid="{00000000-0005-0000-0000-000052030000}"/>
    <cellStyle name="%_NRA_model_for_NEMO2 (EMC Update) v0.20_NRA_model_for_NEMO2 (EMC Update) v0.22_NRA_model_for_NEMO2 (EMC Update) v0.25_NRA_model_for_NEMO2 (EMC Update) v0.29_NRA_model_for_NEMO2 (EMC Update) v0.29.4_NRA_model_for_NEMO2 (EMC Update) v0.29.5" xfId="936" xr:uid="{00000000-0005-0000-0000-000053030000}"/>
    <cellStyle name="%_NRA_model_for_NEMO2 (EMC Update) v0.20_NRA_model_for_NEMO2 (EMC Update) v0.22_NRA_model_for_NEMO2 (EMC Update) v0.25_NRA_model_for_NEMO2 (EMC Update) v0.29_NRA_model_for_NEMO2 (EMC Update) v0.29.5" xfId="937" xr:uid="{00000000-0005-0000-0000-000054030000}"/>
    <cellStyle name="%_NRA_model_for_NEMO2 (EMC Update) v0.20_NRA_model_for_NEMO2 (EMC Update) v0.22_NRA_model_for_NEMO2 (EMC Update) v0.25_NRA_model_for_NEMO2 (EMC Update) v0.29_NRA_model_for_NEMO2 (EMC Update) v0.29.5_NRA_model_for_NEMO2 (EMC Update) v0 30 1" xfId="938" xr:uid="{00000000-0005-0000-0000-000055030000}"/>
    <cellStyle name="%_NRA_model_for_NEMO2 (EMC Update) v0.20_NRA_model_for_NEMO2 (EMC Update) v0.22_NRA_model_for_NEMO2 (EMC Update) v0.26" xfId="939" xr:uid="{00000000-0005-0000-0000-000056030000}"/>
    <cellStyle name="%_NRA_model_for_NEMO2 (EMC Update) v0.20_NRA_model_for_NEMO2 (EMC Update) v0.22_NRA_model_for_NEMO2 (EMC Update) v0.26_NRA_model_for_NEMO2 (EMC Update) v0 30 1" xfId="940" xr:uid="{00000000-0005-0000-0000-000057030000}"/>
    <cellStyle name="%_NRA_model_for_NEMO2 (EMC Update) v0.20_NRA_model_for_NEMO2 (EMC Update) v0.22_NRA_model_for_NEMO2 (EMC Update) v0.26_NRA_model_for_NEMO2 (EMC Update) v0.29" xfId="941" xr:uid="{00000000-0005-0000-0000-000058030000}"/>
    <cellStyle name="%_NRA_model_for_NEMO2 (EMC Update) v0.20_NRA_model_for_NEMO2 (EMC Update) v0.22_NRA_model_for_NEMO2 (EMC Update) v0.26_NRA_model_for_NEMO2 (EMC Update) v0.29.2" xfId="942" xr:uid="{00000000-0005-0000-0000-000059030000}"/>
    <cellStyle name="%_NRA_model_for_NEMO2 (EMC Update) v0.20_NRA_model_for_NEMO2 (EMC Update) v0.22_NRA_model_for_NEMO2 (EMC Update) v0.26_NRA_model_for_NEMO2 (EMC Update) v0.29.2_NRA_model_for_NEMO2 (EMC Update) v0 30 1" xfId="943" xr:uid="{00000000-0005-0000-0000-00005A030000}"/>
    <cellStyle name="%_NRA_model_for_NEMO2 (EMC Update) v0.20_NRA_model_for_NEMO2 (EMC Update) v0.22_NRA_model_for_NEMO2 (EMC Update) v0.26_NRA_model_for_NEMO2 (EMC Update) v0.29.2_NRA_model_for_NEMO2 (EMC Update) v0.29.3" xfId="944" xr:uid="{00000000-0005-0000-0000-00005B030000}"/>
    <cellStyle name="%_NRA_model_for_NEMO2 (EMC Update) v0.20_NRA_model_for_NEMO2 (EMC Update) v0.22_NRA_model_for_NEMO2 (EMC Update) v0.26_NRA_model_for_NEMO2 (EMC Update) v0.29.2_NRA_model_for_NEMO2 (EMC Update) v0.29.3_NRA_model_for_NEMO2 (EMC Update) v0 30 1" xfId="945" xr:uid="{00000000-0005-0000-0000-00005C030000}"/>
    <cellStyle name="%_NRA_model_for_NEMO2 (EMC Update) v0.20_NRA_model_for_NEMO2 (EMC Update) v0.22_NRA_model_for_NEMO2 (EMC Update) v0.26_NRA_model_for_NEMO2 (EMC Update) v0.29.2_NRA_model_for_NEMO2 (EMC Update) v0.29.3_NRA_model_for_NEMO2 (EMC Update) v0.29.5" xfId="946" xr:uid="{00000000-0005-0000-0000-00005D030000}"/>
    <cellStyle name="%_NRA_model_for_NEMO2 (EMC Update) v0.20_NRA_model_for_NEMO2 (EMC Update) v0.22_NRA_model_for_NEMO2 (EMC Update) v0.26_NRA_model_for_NEMO2 (EMC Update) v0.29.2_NRA_model_for_NEMO2 (EMC Update) v0.29.4" xfId="947" xr:uid="{00000000-0005-0000-0000-00005E030000}"/>
    <cellStyle name="%_NRA_model_for_NEMO2 (EMC Update) v0.20_NRA_model_for_NEMO2 (EMC Update) v0.22_NRA_model_for_NEMO2 (EMC Update) v0.26_NRA_model_for_NEMO2 (EMC Update) v0.29.2_NRA_model_for_NEMO2 (EMC Update) v0.29.4_NRA_model_for_NEMO2 (EMC Update) v0 30 1" xfId="948" xr:uid="{00000000-0005-0000-0000-00005F030000}"/>
    <cellStyle name="%_NRA_model_for_NEMO2 (EMC Update) v0.20_NRA_model_for_NEMO2 (EMC Update) v0.22_NRA_model_for_NEMO2 (EMC Update) v0.26_NRA_model_for_NEMO2 (EMC Update) v0.29.2_NRA_model_for_NEMO2 (EMC Update) v0.29.4_NRA_model_for_NEMO2 (EMC Update) v0.29.5" xfId="949" xr:uid="{00000000-0005-0000-0000-000060030000}"/>
    <cellStyle name="%_NRA_model_for_NEMO2 (EMC Update) v0.20_NRA_model_for_NEMO2 (EMC Update) v0.22_NRA_model_for_NEMO2 (EMC Update) v0.26_NRA_model_for_NEMO2 (EMC Update) v0.29.2_NRA_model_for_NEMO2 (EMC Update) v0.29.5" xfId="950" xr:uid="{00000000-0005-0000-0000-000061030000}"/>
    <cellStyle name="%_NRA_model_for_NEMO2 (EMC Update) v0.20_NRA_model_for_NEMO2 (EMC Update) v0.22_NRA_model_for_NEMO2 (EMC Update) v0.26_NRA_model_for_NEMO2 (EMC Update) v0.29.2_NRA_model_for_NEMO2 (EMC Update) v0.29.5_NRA_model_for_NEMO2 (EMC Update) v0 30 1" xfId="951" xr:uid="{00000000-0005-0000-0000-000062030000}"/>
    <cellStyle name="%_NRA_model_for_NEMO2 (EMC Update) v0.20_NRA_model_for_NEMO2 (EMC Update) v0.22_NRA_model_for_NEMO2 (EMC Update) v0.26_NRA_model_for_NEMO2 (EMC Update) v0.29.3" xfId="952" xr:uid="{00000000-0005-0000-0000-000063030000}"/>
    <cellStyle name="%_NRA_model_for_NEMO2 (EMC Update) v0.20_NRA_model_for_NEMO2 (EMC Update) v0.22_NRA_model_for_NEMO2 (EMC Update) v0.26_NRA_model_for_NEMO2 (EMC Update) v0.29.3_NRA_model_for_NEMO2 (EMC Update) v0 30 1" xfId="953" xr:uid="{00000000-0005-0000-0000-000064030000}"/>
    <cellStyle name="%_NRA_model_for_NEMO2 (EMC Update) v0.20_NRA_model_for_NEMO2 (EMC Update) v0.22_NRA_model_for_NEMO2 (EMC Update) v0.26_NRA_model_for_NEMO2 (EMC Update) v0.29.3_NRA_model_for_NEMO2 (EMC Update) v0.29.5" xfId="954" xr:uid="{00000000-0005-0000-0000-000065030000}"/>
    <cellStyle name="%_NRA_model_for_NEMO2 (EMC Update) v0.20_NRA_model_for_NEMO2 (EMC Update) v0.22_NRA_model_for_NEMO2 (EMC Update) v0.26_NRA_model_for_NEMO2 (EMC Update) v0.29.3_NRA_model_for_NEMO2 (EMC Update) v0.29.5_NRA_model_for_NEMO2 (EMC Update) v0 30 1" xfId="955" xr:uid="{00000000-0005-0000-0000-000066030000}"/>
    <cellStyle name="%_NRA_model_for_NEMO2 (EMC Update) v0.20_NRA_model_for_NEMO2 (EMC Update) v0.22_NRA_model_for_NEMO2 (EMC Update) v0.26_NRA_model_for_NEMO2 (EMC Update) v0.29.4" xfId="956" xr:uid="{00000000-0005-0000-0000-000067030000}"/>
    <cellStyle name="%_NRA_model_for_NEMO2 (EMC Update) v0.20_NRA_model_for_NEMO2 (EMC Update) v0.22_NRA_model_for_NEMO2 (EMC Update) v0.26_NRA_model_for_NEMO2 (EMC Update) v0.29.4_NRA_model_for_NEMO2 (EMC Update) v0 30 1" xfId="957" xr:uid="{00000000-0005-0000-0000-000068030000}"/>
    <cellStyle name="%_NRA_model_for_NEMO2 (EMC Update) v0.20_NRA_model_for_NEMO2 (EMC Update) v0.22_NRA_model_for_NEMO2 (EMC Update) v0.26_NRA_model_for_NEMO2 (EMC Update) v0.29.4_NRA_model_for_NEMO2 (EMC Update) v0.29.5" xfId="958" xr:uid="{00000000-0005-0000-0000-000069030000}"/>
    <cellStyle name="%_NRA_model_for_NEMO2 (EMC Update) v0.20_NRA_model_for_NEMO2 (EMC Update) v0.22_NRA_model_for_NEMO2 (EMC Update) v0.26_NRA_model_for_NEMO2 (EMC Update) v0.29.4_NRA_model_for_NEMO2 (EMC Update) v0.29.5_NRA_model_for_NEMO2 (EMC Update) v0 30 1" xfId="959" xr:uid="{00000000-0005-0000-0000-00006A030000}"/>
    <cellStyle name="%_NRA_model_for_NEMO2 (EMC Update) v0.20_NRA_model_for_NEMO2 (EMC Update) v0.22_NRA_model_for_NEMO2 (EMC Update) v0.26_NRA_model_for_NEMO2 (EMC Update) v0.29.5" xfId="960" xr:uid="{00000000-0005-0000-0000-00006B030000}"/>
    <cellStyle name="%_NRA_model_for_NEMO2 (EMC Update) v0.20_NRA_model_for_NEMO2 (EMC Update) v0.22_NRA_model_for_NEMO2 (EMC Update) v0.26_NRA_model_for_NEMO2 (EMC Update) v0.29.5_NRA_model_for_NEMO2 (EMC Update) v0 30 1" xfId="961" xr:uid="{00000000-0005-0000-0000-00006C030000}"/>
    <cellStyle name="%_NRA_model_for_NEMO2 (EMC Update) v0.20_NRA_model_for_NEMO2 (EMC Update) v0.22_NRA_model_for_NEMO2 (EMC Update) v0.26_NRA_model_for_NEMO2 (EMC Update) v0.29_NRA_model_for_NEMO2 (EMC Update) v0 30 1" xfId="962" xr:uid="{00000000-0005-0000-0000-00006D030000}"/>
    <cellStyle name="%_NRA_model_for_NEMO2 (EMC Update) v0.20_NRA_model_for_NEMO2 (EMC Update) v0.22_NRA_model_for_NEMO2 (EMC Update) v0.26_NRA_model_for_NEMO2 (EMC Update) v0.29_NRA_model_for_NEMO2 (EMC Update) v0.29.2" xfId="963" xr:uid="{00000000-0005-0000-0000-00006E030000}"/>
    <cellStyle name="%_NRA_model_for_NEMO2 (EMC Update) v0.20_NRA_model_for_NEMO2 (EMC Update) v0.22_NRA_model_for_NEMO2 (EMC Update) v0.26_NRA_model_for_NEMO2 (EMC Update) v0.29_NRA_model_for_NEMO2 (EMC Update) v0.29.2_NRA_model_for_NEMO2 (EMC Update) v0 30 1" xfId="964" xr:uid="{00000000-0005-0000-0000-00006F030000}"/>
    <cellStyle name="%_NRA_model_for_NEMO2 (EMC Update) v0.20_NRA_model_for_NEMO2 (EMC Update) v0.22_NRA_model_for_NEMO2 (EMC Update) v0.26_NRA_model_for_NEMO2 (EMC Update) v0.29_NRA_model_for_NEMO2 (EMC Update) v0.29.2_NRA_model_for_NEMO2 (EMC Update) v0.29.3" xfId="965" xr:uid="{00000000-0005-0000-0000-000070030000}"/>
    <cellStyle name="%_NRA_model_for_NEMO2 (EMC Update) v0.20_NRA_model_for_NEMO2 (EMC Update) v0.22_NRA_model_for_NEMO2 (EMC Update) v0.26_NRA_model_for_NEMO2 (EMC Update) v0.29_NRA_model_for_NEMO2 (EMC Update) v0.29.2_NRA_model_for_NEMO2 (EMC Update) v0.29.4" xfId="966" xr:uid="{00000000-0005-0000-0000-000071030000}"/>
    <cellStyle name="%_NRA_model_for_NEMO2 (EMC Update) v0.20_NRA_model_for_NEMO2 (EMC Update) v0.22_NRA_model_for_NEMO2 (EMC Update) v0.26_NRA_model_for_NEMO2 (EMC Update) v0.29_NRA_model_for_NEMO2 (EMC Update) v0.29.2_NRA_model_for_NEMO2 (EMC Update) v0.29.5" xfId="967" xr:uid="{00000000-0005-0000-0000-000072030000}"/>
    <cellStyle name="%_NRA_model_for_NEMO2 (EMC Update) v0.20_NRA_model_for_NEMO2 (EMC Update) v0.22_NRA_model_for_NEMO2 (EMC Update) v0.26_NRA_model_for_NEMO2 (EMC Update) v0.29_NRA_model_for_NEMO2 (EMC Update) v0.29.3" xfId="968" xr:uid="{00000000-0005-0000-0000-000073030000}"/>
    <cellStyle name="%_NRA_model_for_NEMO2 (EMC Update) v0.20_NRA_model_for_NEMO2 (EMC Update) v0.22_NRA_model_for_NEMO2 (EMC Update) v0.26_NRA_model_for_NEMO2 (EMC Update) v0.29_NRA_model_for_NEMO2 (EMC Update) v0.29.3_NRA_model_for_NEMO2 (EMC Update) v0 30 1" xfId="969" xr:uid="{00000000-0005-0000-0000-000074030000}"/>
    <cellStyle name="%_NRA_model_for_NEMO2 (EMC Update) v0.20_NRA_model_for_NEMO2 (EMC Update) v0.22_NRA_model_for_NEMO2 (EMC Update) v0.26_NRA_model_for_NEMO2 (EMC Update) v0.29_NRA_model_for_NEMO2 (EMC Update) v0.29.3_NRA_model_for_NEMO2 (EMC Update) v0.29.5" xfId="970" xr:uid="{00000000-0005-0000-0000-000075030000}"/>
    <cellStyle name="%_NRA_model_for_NEMO2 (EMC Update) v0.20_NRA_model_for_NEMO2 (EMC Update) v0.22_NRA_model_for_NEMO2 (EMC Update) v0.26_NRA_model_for_NEMO2 (EMC Update) v0.29_NRA_model_for_NEMO2 (EMC Update) v0.29.4" xfId="971" xr:uid="{00000000-0005-0000-0000-000076030000}"/>
    <cellStyle name="%_NRA_model_for_NEMO2 (EMC Update) v0.20_NRA_model_for_NEMO2 (EMC Update) v0.22_NRA_model_for_NEMO2 (EMC Update) v0.26_NRA_model_for_NEMO2 (EMC Update) v0.29_NRA_model_for_NEMO2 (EMC Update) v0.29.4_NRA_model_for_NEMO2 (EMC Update) v0 30 1" xfId="972" xr:uid="{00000000-0005-0000-0000-000077030000}"/>
    <cellStyle name="%_NRA_model_for_NEMO2 (EMC Update) v0.20_NRA_model_for_NEMO2 (EMC Update) v0.22_NRA_model_for_NEMO2 (EMC Update) v0.26_NRA_model_for_NEMO2 (EMC Update) v0.29_NRA_model_for_NEMO2 (EMC Update) v0.29.4_NRA_model_for_NEMO2 (EMC Update) v0.29.5" xfId="973" xr:uid="{00000000-0005-0000-0000-000078030000}"/>
    <cellStyle name="%_NRA_model_for_NEMO2 (EMC Update) v0.20_NRA_model_for_NEMO2 (EMC Update) v0.22_NRA_model_for_NEMO2 (EMC Update) v0.26_NRA_model_for_NEMO2 (EMC Update) v0.29_NRA_model_for_NEMO2 (EMC Update) v0.29.5" xfId="974" xr:uid="{00000000-0005-0000-0000-000079030000}"/>
    <cellStyle name="%_NRA_model_for_NEMO2 (EMC Update) v0.20_NRA_model_for_NEMO2 (EMC Update) v0.22_NRA_model_for_NEMO2 (EMC Update) v0.26_NRA_model_for_NEMO2 (EMC Update) v0.29_NRA_model_for_NEMO2 (EMC Update) v0.29.5_NRA_model_for_NEMO2 (EMC Update) v0 30 1" xfId="975" xr:uid="{00000000-0005-0000-0000-00007A030000}"/>
    <cellStyle name="%_NRA_model_for_NEMO2 (EMC Update) v0.20_NRA_model_for_NEMO2 (EMC Update) v0.22_NRA_model_for_NEMO2 (EMC Update) v0.29" xfId="976" xr:uid="{00000000-0005-0000-0000-00007B030000}"/>
    <cellStyle name="%_NRA_model_for_NEMO2 (EMC Update) v0.20_NRA_model_for_NEMO2 (EMC Update) v0.22_NRA_model_for_NEMO2 (EMC Update) v0.29.2" xfId="977" xr:uid="{00000000-0005-0000-0000-00007C030000}"/>
    <cellStyle name="%_NRA_model_for_NEMO2 (EMC Update) v0.20_NRA_model_for_NEMO2 (EMC Update) v0.22_NRA_model_for_NEMO2 (EMC Update) v0.29.2_NRA_model_for_NEMO2 (EMC Update) v0 30 1" xfId="978" xr:uid="{00000000-0005-0000-0000-00007D030000}"/>
    <cellStyle name="%_NRA_model_for_NEMO2 (EMC Update) v0.20_NRA_model_for_NEMO2 (EMC Update) v0.22_NRA_model_for_NEMO2 (EMC Update) v0.29.2_NRA_model_for_NEMO2 (EMC Update) v0.29.3" xfId="979" xr:uid="{00000000-0005-0000-0000-00007E030000}"/>
    <cellStyle name="%_NRA_model_for_NEMO2 (EMC Update) v0.20_NRA_model_for_NEMO2 (EMC Update) v0.22_NRA_model_for_NEMO2 (EMC Update) v0.29.2_NRA_model_for_NEMO2 (EMC Update) v0.29.3_NRA_model_for_NEMO2 (EMC Update) v0 30 1" xfId="980" xr:uid="{00000000-0005-0000-0000-00007F030000}"/>
    <cellStyle name="%_NRA_model_for_NEMO2 (EMC Update) v0.20_NRA_model_for_NEMO2 (EMC Update) v0.22_NRA_model_for_NEMO2 (EMC Update) v0.29.2_NRA_model_for_NEMO2 (EMC Update) v0.29.3_NRA_model_for_NEMO2 (EMC Update) v0.29.5" xfId="981" xr:uid="{00000000-0005-0000-0000-000080030000}"/>
    <cellStyle name="%_NRA_model_for_NEMO2 (EMC Update) v0.20_NRA_model_for_NEMO2 (EMC Update) v0.22_NRA_model_for_NEMO2 (EMC Update) v0.29.2_NRA_model_for_NEMO2 (EMC Update) v0.29.3_NRA_model_for_NEMO2 (EMC Update) v0.29.5_NRA_model_for_NEMO2 (EMC Update) v0 30 1" xfId="982" xr:uid="{00000000-0005-0000-0000-000081030000}"/>
    <cellStyle name="%_NRA_model_for_NEMO2 (EMC Update) v0.20_NRA_model_for_NEMO2 (EMC Update) v0.22_NRA_model_for_NEMO2 (EMC Update) v0.29.2_NRA_model_for_NEMO2 (EMC Update) v0.29.4" xfId="983" xr:uid="{00000000-0005-0000-0000-000082030000}"/>
    <cellStyle name="%_NRA_model_for_NEMO2 (EMC Update) v0.20_NRA_model_for_NEMO2 (EMC Update) v0.22_NRA_model_for_NEMO2 (EMC Update) v0.29.2_NRA_model_for_NEMO2 (EMC Update) v0.29.4_NRA_model_for_NEMO2 (EMC Update) v0 30 1" xfId="984" xr:uid="{00000000-0005-0000-0000-000083030000}"/>
    <cellStyle name="%_NRA_model_for_NEMO2 (EMC Update) v0.20_NRA_model_for_NEMO2 (EMC Update) v0.22_NRA_model_for_NEMO2 (EMC Update) v0.29.2_NRA_model_for_NEMO2 (EMC Update) v0.29.4_NRA_model_for_NEMO2 (EMC Update) v0.29.5" xfId="985" xr:uid="{00000000-0005-0000-0000-000084030000}"/>
    <cellStyle name="%_NRA_model_for_NEMO2 (EMC Update) v0.20_NRA_model_for_NEMO2 (EMC Update) v0.22_NRA_model_for_NEMO2 (EMC Update) v0.29.2_NRA_model_for_NEMO2 (EMC Update) v0.29.4_NRA_model_for_NEMO2 (EMC Update) v0.29.5_NRA_model_for_NEMO2 (EMC Update) v0 30 1" xfId="986" xr:uid="{00000000-0005-0000-0000-000085030000}"/>
    <cellStyle name="%_NRA_model_for_NEMO2 (EMC Update) v0.20_NRA_model_for_NEMO2 (EMC Update) v0.22_NRA_model_for_NEMO2 (EMC Update) v0.29.2_NRA_model_for_NEMO2 (EMC Update) v0.29.5" xfId="987" xr:uid="{00000000-0005-0000-0000-000086030000}"/>
    <cellStyle name="%_NRA_model_for_NEMO2 (EMC Update) v0.20_NRA_model_for_NEMO2 (EMC Update) v0.22_NRA_model_for_NEMO2 (EMC Update) v0.29.2_NRA_model_for_NEMO2 (EMC Update) v0.29.5_NRA_model_for_NEMO2 (EMC Update) v0 30 1" xfId="988" xr:uid="{00000000-0005-0000-0000-000087030000}"/>
    <cellStyle name="%_NRA_model_for_NEMO2 (EMC Update) v0.20_NRA_model_for_NEMO2 (EMC Update) v0.22_NRA_model_for_NEMO2 (EMC Update) v0.29.3" xfId="989" xr:uid="{00000000-0005-0000-0000-000088030000}"/>
    <cellStyle name="%_NRA_model_for_NEMO2 (EMC Update) v0.20_NRA_model_for_NEMO2 (EMC Update) v0.22_NRA_model_for_NEMO2 (EMC Update) v0.29.3_NRA_model_for_NEMO2 (EMC Update) v0 30 1" xfId="990" xr:uid="{00000000-0005-0000-0000-000089030000}"/>
    <cellStyle name="%_NRA_model_for_NEMO2 (EMC Update) v0.20_NRA_model_for_NEMO2 (EMC Update) v0.22_NRA_model_for_NEMO2 (EMC Update) v0.29.3_NRA_model_for_NEMO2 (EMC Update) v0.29.5" xfId="991" xr:uid="{00000000-0005-0000-0000-00008A030000}"/>
    <cellStyle name="%_NRA_model_for_NEMO2 (EMC Update) v0.20_NRA_model_for_NEMO2 (EMC Update) v0.22_NRA_model_for_NEMO2 (EMC Update) v0.29.3_NRA_model_for_NEMO2 (EMC Update) v0.29.5_NRA_model_for_NEMO2 (EMC Update) v0 30 1" xfId="992" xr:uid="{00000000-0005-0000-0000-00008B030000}"/>
    <cellStyle name="%_NRA_model_for_NEMO2 (EMC Update) v0.20_NRA_model_for_NEMO2 (EMC Update) v0.22_NRA_model_for_NEMO2 (EMC Update) v0.29.4" xfId="993" xr:uid="{00000000-0005-0000-0000-00008C030000}"/>
    <cellStyle name="%_NRA_model_for_NEMO2 (EMC Update) v0.20_NRA_model_for_NEMO2 (EMC Update) v0.22_NRA_model_for_NEMO2 (EMC Update) v0.29.4_NRA_model_for_NEMO2 (EMC Update) v0 30 1" xfId="994" xr:uid="{00000000-0005-0000-0000-00008D030000}"/>
    <cellStyle name="%_NRA_model_for_NEMO2 (EMC Update) v0.20_NRA_model_for_NEMO2 (EMC Update) v0.22_NRA_model_for_NEMO2 (EMC Update) v0.29.4_NRA_model_for_NEMO2 (EMC Update) v0.29.5" xfId="995" xr:uid="{00000000-0005-0000-0000-00008E030000}"/>
    <cellStyle name="%_NRA_model_for_NEMO2 (EMC Update) v0.20_NRA_model_for_NEMO2 (EMC Update) v0.22_NRA_model_for_NEMO2 (EMC Update) v0.29.4_NRA_model_for_NEMO2 (EMC Update) v0.29.5_NRA_model_for_NEMO2 (EMC Update) v0 30 1" xfId="996" xr:uid="{00000000-0005-0000-0000-00008F030000}"/>
    <cellStyle name="%_NRA_model_for_NEMO2 (EMC Update) v0.20_NRA_model_for_NEMO2 (EMC Update) v0.22_NRA_model_for_NEMO2 (EMC Update) v0.29.5" xfId="997" xr:uid="{00000000-0005-0000-0000-000090030000}"/>
    <cellStyle name="%_NRA_model_for_NEMO2 (EMC Update) v0.20_NRA_model_for_NEMO2 (EMC Update) v0.22_NRA_model_for_NEMO2 (EMC Update) v0.29.5_NRA_model_for_NEMO2 (EMC Update) v0 30 1" xfId="998" xr:uid="{00000000-0005-0000-0000-000091030000}"/>
    <cellStyle name="%_NRA_model_for_NEMO2 (EMC Update) v0.20_NRA_model_for_NEMO2 (EMC Update) v0.22_NRA_model_for_NEMO2 (EMC Update) v0.29_NRA_model_for_NEMO2 (EMC Update) v0 30 1" xfId="999" xr:uid="{00000000-0005-0000-0000-000092030000}"/>
    <cellStyle name="%_NRA_model_for_NEMO2 (EMC Update) v0.20_NRA_model_for_NEMO2 (EMC Update) v0.22_NRA_model_for_NEMO2 (EMC Update) v0.29_NRA_model_for_NEMO2 (EMC Update) v0.29.2" xfId="1000" xr:uid="{00000000-0005-0000-0000-000093030000}"/>
    <cellStyle name="%_NRA_model_for_NEMO2 (EMC Update) v0.20_NRA_model_for_NEMO2 (EMC Update) v0.22_NRA_model_for_NEMO2 (EMC Update) v0.29_NRA_model_for_NEMO2 (EMC Update) v0.29.2_NRA_model_for_NEMO2 (EMC Update) v0 30 1" xfId="1001" xr:uid="{00000000-0005-0000-0000-000094030000}"/>
    <cellStyle name="%_NRA_model_for_NEMO2 (EMC Update) v0.20_NRA_model_for_NEMO2 (EMC Update) v0.22_NRA_model_for_NEMO2 (EMC Update) v0.29_NRA_model_for_NEMO2 (EMC Update) v0.29.2_NRA_model_for_NEMO2 (EMC Update) v0.29.3" xfId="1002" xr:uid="{00000000-0005-0000-0000-000095030000}"/>
    <cellStyle name="%_NRA_model_for_NEMO2 (EMC Update) v0.20_NRA_model_for_NEMO2 (EMC Update) v0.22_NRA_model_for_NEMO2 (EMC Update) v0.29_NRA_model_for_NEMO2 (EMC Update) v0.29.2_NRA_model_for_NEMO2 (EMC Update) v0.29.3_NRA_model_for_NEMO2 (EMC Update) v0 30 1" xfId="1003" xr:uid="{00000000-0005-0000-0000-000096030000}"/>
    <cellStyle name="%_NRA_model_for_NEMO2 (EMC Update) v0.20_NRA_model_for_NEMO2 (EMC Update) v0.22_NRA_model_for_NEMO2 (EMC Update) v0.29_NRA_model_for_NEMO2 (EMC Update) v0.29.2_NRA_model_for_NEMO2 (EMC Update) v0.29.3_NRA_model_for_NEMO2 (EMC Update) v0.29.5" xfId="1004" xr:uid="{00000000-0005-0000-0000-000097030000}"/>
    <cellStyle name="%_NRA_model_for_NEMO2 (EMC Update) v0.20_NRA_model_for_NEMO2 (EMC Update) v0.22_NRA_model_for_NEMO2 (EMC Update) v0.29_NRA_model_for_NEMO2 (EMC Update) v0.29.2_NRA_model_for_NEMO2 (EMC Update) v0.29.4" xfId="1005" xr:uid="{00000000-0005-0000-0000-000098030000}"/>
    <cellStyle name="%_NRA_model_for_NEMO2 (EMC Update) v0.20_NRA_model_for_NEMO2 (EMC Update) v0.22_NRA_model_for_NEMO2 (EMC Update) v0.29_NRA_model_for_NEMO2 (EMC Update) v0.29.2_NRA_model_for_NEMO2 (EMC Update) v0.29.4_NRA_model_for_NEMO2 (EMC Update) v0 30 1" xfId="1006" xr:uid="{00000000-0005-0000-0000-000099030000}"/>
    <cellStyle name="%_NRA_model_for_NEMO2 (EMC Update) v0.20_NRA_model_for_NEMO2 (EMC Update) v0.22_NRA_model_for_NEMO2 (EMC Update) v0.29_NRA_model_for_NEMO2 (EMC Update) v0.29.2_NRA_model_for_NEMO2 (EMC Update) v0.29.4_NRA_model_for_NEMO2 (EMC Update) v0.29.5" xfId="1007" xr:uid="{00000000-0005-0000-0000-00009A030000}"/>
    <cellStyle name="%_NRA_model_for_NEMO2 (EMC Update) v0.20_NRA_model_for_NEMO2 (EMC Update) v0.22_NRA_model_for_NEMO2 (EMC Update) v0.29_NRA_model_for_NEMO2 (EMC Update) v0.29.2_NRA_model_for_NEMO2 (EMC Update) v0.29.5" xfId="1008" xr:uid="{00000000-0005-0000-0000-00009B030000}"/>
    <cellStyle name="%_NRA_model_for_NEMO2 (EMC Update) v0.20_NRA_model_for_NEMO2 (EMC Update) v0.22_NRA_model_for_NEMO2 (EMC Update) v0.29_NRA_model_for_NEMO2 (EMC Update) v0.29.2_NRA_model_for_NEMO2 (EMC Update) v0.29.5_NRA_model_for_NEMO2 (EMC Update) v0 30 1" xfId="1009" xr:uid="{00000000-0005-0000-0000-00009C030000}"/>
    <cellStyle name="%_NRA_model_for_NEMO2 (EMC Update) v0.20_NRA_model_for_NEMO2 (EMC Update) v0.22_NRA_model_for_NEMO2 (EMC Update) v0.29_NRA_model_for_NEMO2 (EMC Update) v0.29.3" xfId="1010" xr:uid="{00000000-0005-0000-0000-00009D030000}"/>
    <cellStyle name="%_NRA_model_for_NEMO2 (EMC Update) v0.20_NRA_model_for_NEMO2 (EMC Update) v0.22_NRA_model_for_NEMO2 (EMC Update) v0.29_NRA_model_for_NEMO2 (EMC Update) v0.29.3_NRA_model_for_NEMO2 (EMC Update) v0 30 1" xfId="1011" xr:uid="{00000000-0005-0000-0000-00009E030000}"/>
    <cellStyle name="%_NRA_model_for_NEMO2 (EMC Update) v0.20_NRA_model_for_NEMO2 (EMC Update) v0.22_NRA_model_for_NEMO2 (EMC Update) v0.29_NRA_model_for_NEMO2 (EMC Update) v0.29.3_NRA_model_for_NEMO2 (EMC Update) v0.29.5" xfId="1012" xr:uid="{00000000-0005-0000-0000-00009F030000}"/>
    <cellStyle name="%_NRA_model_for_NEMO2 (EMC Update) v0.20_NRA_model_for_NEMO2 (EMC Update) v0.22_NRA_model_for_NEMO2 (EMC Update) v0.29_NRA_model_for_NEMO2 (EMC Update) v0.29.3_NRA_model_for_NEMO2 (EMC Update) v0.29.5_NRA_model_for_NEMO2 (EMC Update) v0 30 1" xfId="1013" xr:uid="{00000000-0005-0000-0000-0000A0030000}"/>
    <cellStyle name="%_NRA_model_for_NEMO2 (EMC Update) v0.20_NRA_model_for_NEMO2 (EMC Update) v0.22_NRA_model_for_NEMO2 (EMC Update) v0.29_NRA_model_for_NEMO2 (EMC Update) v0.29.4" xfId="1014" xr:uid="{00000000-0005-0000-0000-0000A1030000}"/>
    <cellStyle name="%_NRA_model_for_NEMO2 (EMC Update) v0.20_NRA_model_for_NEMO2 (EMC Update) v0.22_NRA_model_for_NEMO2 (EMC Update) v0.29_NRA_model_for_NEMO2 (EMC Update) v0.29.4_NRA_model_for_NEMO2 (EMC Update) v0 30 1" xfId="1015" xr:uid="{00000000-0005-0000-0000-0000A2030000}"/>
    <cellStyle name="%_NRA_model_for_NEMO2 (EMC Update) v0.20_NRA_model_for_NEMO2 (EMC Update) v0.22_NRA_model_for_NEMO2 (EMC Update) v0.29_NRA_model_for_NEMO2 (EMC Update) v0.29.4_NRA_model_for_NEMO2 (EMC Update) v0.29.5" xfId="1016" xr:uid="{00000000-0005-0000-0000-0000A3030000}"/>
    <cellStyle name="%_NRA_model_for_NEMO2 (EMC Update) v0.20_NRA_model_for_NEMO2 (EMC Update) v0.22_NRA_model_for_NEMO2 (EMC Update) v0.29_NRA_model_for_NEMO2 (EMC Update) v0.29.4_NRA_model_for_NEMO2 (EMC Update) v0.29.5_NRA_model_for_NEMO2 (EMC Update) v0 30 1" xfId="1017" xr:uid="{00000000-0005-0000-0000-0000A4030000}"/>
    <cellStyle name="%_NRA_model_for_NEMO2 (EMC Update) v0.20_NRA_model_for_NEMO2 (EMC Update) v0.22_NRA_model_for_NEMO2 (EMC Update) v0.29_NRA_model_for_NEMO2 (EMC Update) v0.29.5" xfId="1018" xr:uid="{00000000-0005-0000-0000-0000A5030000}"/>
    <cellStyle name="%_NRA_model_for_NEMO2 (EMC Update) v0.20_NRA_model_for_NEMO2 (EMC Update) v0.22_NRA_model_for_NEMO2 (EMC Update) v0.29_NRA_model_for_NEMO2 (EMC Update) v0.29.5_NRA_model_for_NEMO2 (EMC Update) v0 30 1" xfId="1019" xr:uid="{00000000-0005-0000-0000-0000A6030000}"/>
    <cellStyle name="%_NRA_model_for_NEMO2 (EMC Update) v0.20_NRA_model_for_NEMO2 (EMC Update) v0.25" xfId="1020" xr:uid="{00000000-0005-0000-0000-0000A7030000}"/>
    <cellStyle name="%_NRA_model_for_NEMO2 (EMC Update) v0.20_NRA_model_for_NEMO2 (EMC Update) v0.25_NRA_model_for_NEMO2 (EMC Update) v0 30 1" xfId="1021" xr:uid="{00000000-0005-0000-0000-0000A8030000}"/>
    <cellStyle name="%_NRA_model_for_NEMO2 (EMC Update) v0.20_NRA_model_for_NEMO2 (EMC Update) v0.25_NRA_model_for_NEMO2 (EMC Update) v0.26" xfId="1022" xr:uid="{00000000-0005-0000-0000-0000A9030000}"/>
    <cellStyle name="%_NRA_model_for_NEMO2 (EMC Update) v0.20_NRA_model_for_NEMO2 (EMC Update) v0.25_NRA_model_for_NEMO2 (EMC Update) v0.26_NRA_model_for_NEMO2 (EMC Update) v0 30 1" xfId="1023" xr:uid="{00000000-0005-0000-0000-0000AA030000}"/>
    <cellStyle name="%_NRA_model_for_NEMO2 (EMC Update) v0.20_NRA_model_for_NEMO2 (EMC Update) v0.25_NRA_model_for_NEMO2 (EMC Update) v0.26_NRA_model_for_NEMO2 (EMC Update) v0.29" xfId="1024" xr:uid="{00000000-0005-0000-0000-0000AB030000}"/>
    <cellStyle name="%_NRA_model_for_NEMO2 (EMC Update) v0.20_NRA_model_for_NEMO2 (EMC Update) v0.25_NRA_model_for_NEMO2 (EMC Update) v0.26_NRA_model_for_NEMO2 (EMC Update) v0.29.2" xfId="1025" xr:uid="{00000000-0005-0000-0000-0000AC030000}"/>
    <cellStyle name="%_NRA_model_for_NEMO2 (EMC Update) v0.20_NRA_model_for_NEMO2 (EMC Update) v0.25_NRA_model_for_NEMO2 (EMC Update) v0.26_NRA_model_for_NEMO2 (EMC Update) v0.29.2_NRA_model_for_NEMO2 (EMC Update) v0 30 1" xfId="1026" xr:uid="{00000000-0005-0000-0000-0000AD030000}"/>
    <cellStyle name="%_NRA_model_for_NEMO2 (EMC Update) v0.20_NRA_model_for_NEMO2 (EMC Update) v0.25_NRA_model_for_NEMO2 (EMC Update) v0.26_NRA_model_for_NEMO2 (EMC Update) v0.29.2_NRA_model_for_NEMO2 (EMC Update) v0.29.3" xfId="1027" xr:uid="{00000000-0005-0000-0000-0000AE030000}"/>
    <cellStyle name="%_NRA_model_for_NEMO2 (EMC Update) v0.20_NRA_model_for_NEMO2 (EMC Update) v0.25_NRA_model_for_NEMO2 (EMC Update) v0.26_NRA_model_for_NEMO2 (EMC Update) v0.29.2_NRA_model_for_NEMO2 (EMC Update) v0.29.3_NRA_model_for_NEMO2 (EMC Update) v0 30 1" xfId="1028" xr:uid="{00000000-0005-0000-0000-0000AF030000}"/>
    <cellStyle name="%_NRA_model_for_NEMO2 (EMC Update) v0.20_NRA_model_for_NEMO2 (EMC Update) v0.25_NRA_model_for_NEMO2 (EMC Update) v0.26_NRA_model_for_NEMO2 (EMC Update) v0.29.2_NRA_model_for_NEMO2 (EMC Update) v0.29.3_NRA_model_for_NEMO2 (EMC Update) v0.29.5" xfId="1029" xr:uid="{00000000-0005-0000-0000-0000B0030000}"/>
    <cellStyle name="%_NRA_model_for_NEMO2 (EMC Update) v0.20_NRA_model_for_NEMO2 (EMC Update) v0.25_NRA_model_for_NEMO2 (EMC Update) v0.26_NRA_model_for_NEMO2 (EMC Update) v0.29.2_NRA_model_for_NEMO2 (EMC Update) v0.29.4" xfId="1030" xr:uid="{00000000-0005-0000-0000-0000B1030000}"/>
    <cellStyle name="%_NRA_model_for_NEMO2 (EMC Update) v0.20_NRA_model_for_NEMO2 (EMC Update) v0.25_NRA_model_for_NEMO2 (EMC Update) v0.26_NRA_model_for_NEMO2 (EMC Update) v0.29.2_NRA_model_for_NEMO2 (EMC Update) v0.29.4_NRA_model_for_NEMO2 (EMC Update) v0 30 1" xfId="1031" xr:uid="{00000000-0005-0000-0000-0000B2030000}"/>
    <cellStyle name="%_NRA_model_for_NEMO2 (EMC Update) v0.20_NRA_model_for_NEMO2 (EMC Update) v0.25_NRA_model_for_NEMO2 (EMC Update) v0.26_NRA_model_for_NEMO2 (EMC Update) v0.29.2_NRA_model_for_NEMO2 (EMC Update) v0.29.4_NRA_model_for_NEMO2 (EMC Update) v0.29.5" xfId="1032" xr:uid="{00000000-0005-0000-0000-0000B3030000}"/>
    <cellStyle name="%_NRA_model_for_NEMO2 (EMC Update) v0.20_NRA_model_for_NEMO2 (EMC Update) v0.25_NRA_model_for_NEMO2 (EMC Update) v0.26_NRA_model_for_NEMO2 (EMC Update) v0.29.2_NRA_model_for_NEMO2 (EMC Update) v0.29.5" xfId="1033" xr:uid="{00000000-0005-0000-0000-0000B4030000}"/>
    <cellStyle name="%_NRA_model_for_NEMO2 (EMC Update) v0.20_NRA_model_for_NEMO2 (EMC Update) v0.25_NRA_model_for_NEMO2 (EMC Update) v0.26_NRA_model_for_NEMO2 (EMC Update) v0.29.2_NRA_model_for_NEMO2 (EMC Update) v0.29.5_NRA_model_for_NEMO2 (EMC Update) v0 30 1" xfId="1034" xr:uid="{00000000-0005-0000-0000-0000B5030000}"/>
    <cellStyle name="%_NRA_model_for_NEMO2 (EMC Update) v0.20_NRA_model_for_NEMO2 (EMC Update) v0.25_NRA_model_for_NEMO2 (EMC Update) v0.26_NRA_model_for_NEMO2 (EMC Update) v0.29.3" xfId="1035" xr:uid="{00000000-0005-0000-0000-0000B6030000}"/>
    <cellStyle name="%_NRA_model_for_NEMO2 (EMC Update) v0.20_NRA_model_for_NEMO2 (EMC Update) v0.25_NRA_model_for_NEMO2 (EMC Update) v0.26_NRA_model_for_NEMO2 (EMC Update) v0.29.3_NRA_model_for_NEMO2 (EMC Update) v0 30 1" xfId="1036" xr:uid="{00000000-0005-0000-0000-0000B7030000}"/>
    <cellStyle name="%_NRA_model_for_NEMO2 (EMC Update) v0.20_NRA_model_for_NEMO2 (EMC Update) v0.25_NRA_model_for_NEMO2 (EMC Update) v0.26_NRA_model_for_NEMO2 (EMC Update) v0.29.3_NRA_model_for_NEMO2 (EMC Update) v0.29.5" xfId="1037" xr:uid="{00000000-0005-0000-0000-0000B8030000}"/>
    <cellStyle name="%_NRA_model_for_NEMO2 (EMC Update) v0.20_NRA_model_for_NEMO2 (EMC Update) v0.25_NRA_model_for_NEMO2 (EMC Update) v0.26_NRA_model_for_NEMO2 (EMC Update) v0.29.3_NRA_model_for_NEMO2 (EMC Update) v0.29.5_NRA_model_for_NEMO2 (EMC Update) v0 30 1" xfId="1038" xr:uid="{00000000-0005-0000-0000-0000B9030000}"/>
    <cellStyle name="%_NRA_model_for_NEMO2 (EMC Update) v0.20_NRA_model_for_NEMO2 (EMC Update) v0.25_NRA_model_for_NEMO2 (EMC Update) v0.26_NRA_model_for_NEMO2 (EMC Update) v0.29.4" xfId="1039" xr:uid="{00000000-0005-0000-0000-0000BA030000}"/>
    <cellStyle name="%_NRA_model_for_NEMO2 (EMC Update) v0.20_NRA_model_for_NEMO2 (EMC Update) v0.25_NRA_model_for_NEMO2 (EMC Update) v0.26_NRA_model_for_NEMO2 (EMC Update) v0.29.4_NRA_model_for_NEMO2 (EMC Update) v0 30 1" xfId="1040" xr:uid="{00000000-0005-0000-0000-0000BB030000}"/>
    <cellStyle name="%_NRA_model_for_NEMO2 (EMC Update) v0.20_NRA_model_for_NEMO2 (EMC Update) v0.25_NRA_model_for_NEMO2 (EMC Update) v0.26_NRA_model_for_NEMO2 (EMC Update) v0.29.4_NRA_model_for_NEMO2 (EMC Update) v0.29.5" xfId="1041" xr:uid="{00000000-0005-0000-0000-0000BC030000}"/>
    <cellStyle name="%_NRA_model_for_NEMO2 (EMC Update) v0.20_NRA_model_for_NEMO2 (EMC Update) v0.25_NRA_model_for_NEMO2 (EMC Update) v0.26_NRA_model_for_NEMO2 (EMC Update) v0.29.4_NRA_model_for_NEMO2 (EMC Update) v0.29.5_NRA_model_for_NEMO2 (EMC Update) v0 30 1" xfId="1042" xr:uid="{00000000-0005-0000-0000-0000BD030000}"/>
    <cellStyle name="%_NRA_model_for_NEMO2 (EMC Update) v0.20_NRA_model_for_NEMO2 (EMC Update) v0.25_NRA_model_for_NEMO2 (EMC Update) v0.26_NRA_model_for_NEMO2 (EMC Update) v0.29.5" xfId="1043" xr:uid="{00000000-0005-0000-0000-0000BE030000}"/>
    <cellStyle name="%_NRA_model_for_NEMO2 (EMC Update) v0.20_NRA_model_for_NEMO2 (EMC Update) v0.25_NRA_model_for_NEMO2 (EMC Update) v0.26_NRA_model_for_NEMO2 (EMC Update) v0.29.5_NRA_model_for_NEMO2 (EMC Update) v0 30 1" xfId="1044" xr:uid="{00000000-0005-0000-0000-0000BF030000}"/>
    <cellStyle name="%_NRA_model_for_NEMO2 (EMC Update) v0.20_NRA_model_for_NEMO2 (EMC Update) v0.25_NRA_model_for_NEMO2 (EMC Update) v0.26_NRA_model_for_NEMO2 (EMC Update) v0.29_NRA_model_for_NEMO2 (EMC Update) v0 30 1" xfId="1045" xr:uid="{00000000-0005-0000-0000-0000C0030000}"/>
    <cellStyle name="%_NRA_model_for_NEMO2 (EMC Update) v0.20_NRA_model_for_NEMO2 (EMC Update) v0.25_NRA_model_for_NEMO2 (EMC Update) v0.26_NRA_model_for_NEMO2 (EMC Update) v0.29_NRA_model_for_NEMO2 (EMC Update) v0.29.2" xfId="1046" xr:uid="{00000000-0005-0000-0000-0000C1030000}"/>
    <cellStyle name="%_NRA_model_for_NEMO2 (EMC Update) v0.20_NRA_model_for_NEMO2 (EMC Update) v0.25_NRA_model_for_NEMO2 (EMC Update) v0.26_NRA_model_for_NEMO2 (EMC Update) v0.29_NRA_model_for_NEMO2 (EMC Update) v0.29.2_NRA_model_for_NEMO2 (EMC Update) v0 30 1" xfId="1047" xr:uid="{00000000-0005-0000-0000-0000C2030000}"/>
    <cellStyle name="%_NRA_model_for_NEMO2 (EMC Update) v0.20_NRA_model_for_NEMO2 (EMC Update) v0.25_NRA_model_for_NEMO2 (EMC Update) v0.26_NRA_model_for_NEMO2 (EMC Update) v0.29_NRA_model_for_NEMO2 (EMC Update) v0.29.2_NRA_model_for_NEMO2 (EMC Update) v0.29.3" xfId="1048" xr:uid="{00000000-0005-0000-0000-0000C3030000}"/>
    <cellStyle name="%_NRA_model_for_NEMO2 (EMC Update) v0.20_NRA_model_for_NEMO2 (EMC Update) v0.25_NRA_model_for_NEMO2 (EMC Update) v0.26_NRA_model_for_NEMO2 (EMC Update) v0.29_NRA_model_for_NEMO2 (EMC Update) v0.29.2_NRA_model_for_NEMO2 (EMC Update) v0.29.4" xfId="1049" xr:uid="{00000000-0005-0000-0000-0000C4030000}"/>
    <cellStyle name="%_NRA_model_for_NEMO2 (EMC Update) v0.20_NRA_model_for_NEMO2 (EMC Update) v0.25_NRA_model_for_NEMO2 (EMC Update) v0.26_NRA_model_for_NEMO2 (EMC Update) v0.29_NRA_model_for_NEMO2 (EMC Update) v0.29.2_NRA_model_for_NEMO2 (EMC Update) v0.29.5" xfId="1050" xr:uid="{00000000-0005-0000-0000-0000C5030000}"/>
    <cellStyle name="%_NRA_model_for_NEMO2 (EMC Update) v0.20_NRA_model_for_NEMO2 (EMC Update) v0.25_NRA_model_for_NEMO2 (EMC Update) v0.26_NRA_model_for_NEMO2 (EMC Update) v0.29_NRA_model_for_NEMO2 (EMC Update) v0.29.3" xfId="1051" xr:uid="{00000000-0005-0000-0000-0000C6030000}"/>
    <cellStyle name="%_NRA_model_for_NEMO2 (EMC Update) v0.20_NRA_model_for_NEMO2 (EMC Update) v0.25_NRA_model_for_NEMO2 (EMC Update) v0.26_NRA_model_for_NEMO2 (EMC Update) v0.29_NRA_model_for_NEMO2 (EMC Update) v0.29.3_NRA_model_for_NEMO2 (EMC Update) v0 30 1" xfId="1052" xr:uid="{00000000-0005-0000-0000-0000C7030000}"/>
    <cellStyle name="%_NRA_model_for_NEMO2 (EMC Update) v0.20_NRA_model_for_NEMO2 (EMC Update) v0.25_NRA_model_for_NEMO2 (EMC Update) v0.26_NRA_model_for_NEMO2 (EMC Update) v0.29_NRA_model_for_NEMO2 (EMC Update) v0.29.3_NRA_model_for_NEMO2 (EMC Update) v0.29.5" xfId="1053" xr:uid="{00000000-0005-0000-0000-0000C8030000}"/>
    <cellStyle name="%_NRA_model_for_NEMO2 (EMC Update) v0.20_NRA_model_for_NEMO2 (EMC Update) v0.25_NRA_model_for_NEMO2 (EMC Update) v0.26_NRA_model_for_NEMO2 (EMC Update) v0.29_NRA_model_for_NEMO2 (EMC Update) v0.29.4" xfId="1054" xr:uid="{00000000-0005-0000-0000-0000C9030000}"/>
    <cellStyle name="%_NRA_model_for_NEMO2 (EMC Update) v0.20_NRA_model_for_NEMO2 (EMC Update) v0.25_NRA_model_for_NEMO2 (EMC Update) v0.26_NRA_model_for_NEMO2 (EMC Update) v0.29_NRA_model_for_NEMO2 (EMC Update) v0.29.4_NRA_model_for_NEMO2 (EMC Update) v0 30 1" xfId="1055" xr:uid="{00000000-0005-0000-0000-0000CA030000}"/>
    <cellStyle name="%_NRA_model_for_NEMO2 (EMC Update) v0.20_NRA_model_for_NEMO2 (EMC Update) v0.25_NRA_model_for_NEMO2 (EMC Update) v0.26_NRA_model_for_NEMO2 (EMC Update) v0.29_NRA_model_for_NEMO2 (EMC Update) v0.29.4_NRA_model_for_NEMO2 (EMC Update) v0.29.5" xfId="1056" xr:uid="{00000000-0005-0000-0000-0000CB030000}"/>
    <cellStyle name="%_NRA_model_for_NEMO2 (EMC Update) v0.20_NRA_model_for_NEMO2 (EMC Update) v0.25_NRA_model_for_NEMO2 (EMC Update) v0.26_NRA_model_for_NEMO2 (EMC Update) v0.29_NRA_model_for_NEMO2 (EMC Update) v0.29.5" xfId="1057" xr:uid="{00000000-0005-0000-0000-0000CC030000}"/>
    <cellStyle name="%_NRA_model_for_NEMO2 (EMC Update) v0.20_NRA_model_for_NEMO2 (EMC Update) v0.25_NRA_model_for_NEMO2 (EMC Update) v0.26_NRA_model_for_NEMO2 (EMC Update) v0.29_NRA_model_for_NEMO2 (EMC Update) v0.29.5_NRA_model_for_NEMO2 (EMC Update) v0 30 1" xfId="1058" xr:uid="{00000000-0005-0000-0000-0000CD030000}"/>
    <cellStyle name="%_NRA_model_for_NEMO2 (EMC Update) v0.20_NRA_model_for_NEMO2 (EMC Update) v0.25_NRA_model_for_NEMO2 (EMC Update) v0.29" xfId="1059" xr:uid="{00000000-0005-0000-0000-0000CE030000}"/>
    <cellStyle name="%_NRA_model_for_NEMO2 (EMC Update) v0.20_NRA_model_for_NEMO2 (EMC Update) v0.25_NRA_model_for_NEMO2 (EMC Update) v0.29.2" xfId="1060" xr:uid="{00000000-0005-0000-0000-0000CF030000}"/>
    <cellStyle name="%_NRA_model_for_NEMO2 (EMC Update) v0.20_NRA_model_for_NEMO2 (EMC Update) v0.25_NRA_model_for_NEMO2 (EMC Update) v0.29.2_NRA_model_for_NEMO2 (EMC Update) v0 30 1" xfId="1061" xr:uid="{00000000-0005-0000-0000-0000D0030000}"/>
    <cellStyle name="%_NRA_model_for_NEMO2 (EMC Update) v0.20_NRA_model_for_NEMO2 (EMC Update) v0.25_NRA_model_for_NEMO2 (EMC Update) v0.29.2_NRA_model_for_NEMO2 (EMC Update) v0.29.3" xfId="1062" xr:uid="{00000000-0005-0000-0000-0000D1030000}"/>
    <cellStyle name="%_NRA_model_for_NEMO2 (EMC Update) v0.20_NRA_model_for_NEMO2 (EMC Update) v0.25_NRA_model_for_NEMO2 (EMC Update) v0.29.2_NRA_model_for_NEMO2 (EMC Update) v0.29.3_NRA_model_for_NEMO2 (EMC Update) v0 30 1" xfId="1063" xr:uid="{00000000-0005-0000-0000-0000D2030000}"/>
    <cellStyle name="%_NRA_model_for_NEMO2 (EMC Update) v0.20_NRA_model_for_NEMO2 (EMC Update) v0.25_NRA_model_for_NEMO2 (EMC Update) v0.29.2_NRA_model_for_NEMO2 (EMC Update) v0.29.3_NRA_model_for_NEMO2 (EMC Update) v0.29.5" xfId="1064" xr:uid="{00000000-0005-0000-0000-0000D3030000}"/>
    <cellStyle name="%_NRA_model_for_NEMO2 (EMC Update) v0.20_NRA_model_for_NEMO2 (EMC Update) v0.25_NRA_model_for_NEMO2 (EMC Update) v0.29.2_NRA_model_for_NEMO2 (EMC Update) v0.29.3_NRA_model_for_NEMO2 (EMC Update) v0.29.5_NRA_model_for_NEMO2 (EMC Update) v0 30 1" xfId="1065" xr:uid="{00000000-0005-0000-0000-0000D4030000}"/>
    <cellStyle name="%_NRA_model_for_NEMO2 (EMC Update) v0.20_NRA_model_for_NEMO2 (EMC Update) v0.25_NRA_model_for_NEMO2 (EMC Update) v0.29.2_NRA_model_for_NEMO2 (EMC Update) v0.29.4" xfId="1066" xr:uid="{00000000-0005-0000-0000-0000D5030000}"/>
    <cellStyle name="%_NRA_model_for_NEMO2 (EMC Update) v0.20_NRA_model_for_NEMO2 (EMC Update) v0.25_NRA_model_for_NEMO2 (EMC Update) v0.29.2_NRA_model_for_NEMO2 (EMC Update) v0.29.4_NRA_model_for_NEMO2 (EMC Update) v0 30 1" xfId="1067" xr:uid="{00000000-0005-0000-0000-0000D6030000}"/>
    <cellStyle name="%_NRA_model_for_NEMO2 (EMC Update) v0.20_NRA_model_for_NEMO2 (EMC Update) v0.25_NRA_model_for_NEMO2 (EMC Update) v0.29.2_NRA_model_for_NEMO2 (EMC Update) v0.29.4_NRA_model_for_NEMO2 (EMC Update) v0.29.5" xfId="1068" xr:uid="{00000000-0005-0000-0000-0000D7030000}"/>
    <cellStyle name="%_NRA_model_for_NEMO2 (EMC Update) v0.20_NRA_model_for_NEMO2 (EMC Update) v0.25_NRA_model_for_NEMO2 (EMC Update) v0.29.2_NRA_model_for_NEMO2 (EMC Update) v0.29.4_NRA_model_for_NEMO2 (EMC Update) v0.29.5_NRA_model_for_NEMO2 (EMC Update) v0 30 1" xfId="1069" xr:uid="{00000000-0005-0000-0000-0000D8030000}"/>
    <cellStyle name="%_NRA_model_for_NEMO2 (EMC Update) v0.20_NRA_model_for_NEMO2 (EMC Update) v0.25_NRA_model_for_NEMO2 (EMC Update) v0.29.2_NRA_model_for_NEMO2 (EMC Update) v0.29.5" xfId="1070" xr:uid="{00000000-0005-0000-0000-0000D9030000}"/>
    <cellStyle name="%_NRA_model_for_NEMO2 (EMC Update) v0.20_NRA_model_for_NEMO2 (EMC Update) v0.25_NRA_model_for_NEMO2 (EMC Update) v0.29.2_NRA_model_for_NEMO2 (EMC Update) v0.29.5_NRA_model_for_NEMO2 (EMC Update) v0 30 1" xfId="1071" xr:uid="{00000000-0005-0000-0000-0000DA030000}"/>
    <cellStyle name="%_NRA_model_for_NEMO2 (EMC Update) v0.20_NRA_model_for_NEMO2 (EMC Update) v0.25_NRA_model_for_NEMO2 (EMC Update) v0.29.3" xfId="1072" xr:uid="{00000000-0005-0000-0000-0000DB030000}"/>
    <cellStyle name="%_NRA_model_for_NEMO2 (EMC Update) v0.20_NRA_model_for_NEMO2 (EMC Update) v0.25_NRA_model_for_NEMO2 (EMC Update) v0.29.3_NRA_model_for_NEMO2 (EMC Update) v0 30 1" xfId="1073" xr:uid="{00000000-0005-0000-0000-0000DC030000}"/>
    <cellStyle name="%_NRA_model_for_NEMO2 (EMC Update) v0.20_NRA_model_for_NEMO2 (EMC Update) v0.25_NRA_model_for_NEMO2 (EMC Update) v0.29.3_NRA_model_for_NEMO2 (EMC Update) v0.29.5" xfId="1074" xr:uid="{00000000-0005-0000-0000-0000DD030000}"/>
    <cellStyle name="%_NRA_model_for_NEMO2 (EMC Update) v0.20_NRA_model_for_NEMO2 (EMC Update) v0.25_NRA_model_for_NEMO2 (EMC Update) v0.29.3_NRA_model_for_NEMO2 (EMC Update) v0.29.5_NRA_model_for_NEMO2 (EMC Update) v0 30 1" xfId="1075" xr:uid="{00000000-0005-0000-0000-0000DE030000}"/>
    <cellStyle name="%_NRA_model_for_NEMO2 (EMC Update) v0.20_NRA_model_for_NEMO2 (EMC Update) v0.25_NRA_model_for_NEMO2 (EMC Update) v0.29.4" xfId="1076" xr:uid="{00000000-0005-0000-0000-0000DF030000}"/>
    <cellStyle name="%_NRA_model_for_NEMO2 (EMC Update) v0.20_NRA_model_for_NEMO2 (EMC Update) v0.25_NRA_model_for_NEMO2 (EMC Update) v0.29.4_NRA_model_for_NEMO2 (EMC Update) v0 30 1" xfId="1077" xr:uid="{00000000-0005-0000-0000-0000E0030000}"/>
    <cellStyle name="%_NRA_model_for_NEMO2 (EMC Update) v0.20_NRA_model_for_NEMO2 (EMC Update) v0.25_NRA_model_for_NEMO2 (EMC Update) v0.29.4_NRA_model_for_NEMO2 (EMC Update) v0.29.5" xfId="1078" xr:uid="{00000000-0005-0000-0000-0000E1030000}"/>
    <cellStyle name="%_NRA_model_for_NEMO2 (EMC Update) v0.20_NRA_model_for_NEMO2 (EMC Update) v0.25_NRA_model_for_NEMO2 (EMC Update) v0.29.4_NRA_model_for_NEMO2 (EMC Update) v0.29.5_NRA_model_for_NEMO2 (EMC Update) v0 30 1" xfId="1079" xr:uid="{00000000-0005-0000-0000-0000E2030000}"/>
    <cellStyle name="%_NRA_model_for_NEMO2 (EMC Update) v0.20_NRA_model_for_NEMO2 (EMC Update) v0.25_NRA_model_for_NEMO2 (EMC Update) v0.29.5" xfId="1080" xr:uid="{00000000-0005-0000-0000-0000E3030000}"/>
    <cellStyle name="%_NRA_model_for_NEMO2 (EMC Update) v0.20_NRA_model_for_NEMO2 (EMC Update) v0.25_NRA_model_for_NEMO2 (EMC Update) v0.29.5_NRA_model_for_NEMO2 (EMC Update) v0 30 1" xfId="1081" xr:uid="{00000000-0005-0000-0000-0000E4030000}"/>
    <cellStyle name="%_NRA_model_for_NEMO2 (EMC Update) v0.20_NRA_model_for_NEMO2 (EMC Update) v0.25_NRA_model_for_NEMO2 (EMC Update) v0.29_NRA_model_for_NEMO2 (EMC Update) v0 30 1" xfId="1082" xr:uid="{00000000-0005-0000-0000-0000E5030000}"/>
    <cellStyle name="%_NRA_model_for_NEMO2 (EMC Update) v0.20_NRA_model_for_NEMO2 (EMC Update) v0.25_NRA_model_for_NEMO2 (EMC Update) v0.29_NRA_model_for_NEMO2 (EMC Update) v0.29.2" xfId="1083" xr:uid="{00000000-0005-0000-0000-0000E6030000}"/>
    <cellStyle name="%_NRA_model_for_NEMO2 (EMC Update) v0.20_NRA_model_for_NEMO2 (EMC Update) v0.25_NRA_model_for_NEMO2 (EMC Update) v0.29_NRA_model_for_NEMO2 (EMC Update) v0.29.2_NRA_model_for_NEMO2 (EMC Update) v0 30 1" xfId="1084" xr:uid="{00000000-0005-0000-0000-0000E7030000}"/>
    <cellStyle name="%_NRA_model_for_NEMO2 (EMC Update) v0.20_NRA_model_for_NEMO2 (EMC Update) v0.25_NRA_model_for_NEMO2 (EMC Update) v0.29_NRA_model_for_NEMO2 (EMC Update) v0.29.2_NRA_model_for_NEMO2 (EMC Update) v0.29.3" xfId="1085" xr:uid="{00000000-0005-0000-0000-0000E8030000}"/>
    <cellStyle name="%_NRA_model_for_NEMO2 (EMC Update) v0.20_NRA_model_for_NEMO2 (EMC Update) v0.25_NRA_model_for_NEMO2 (EMC Update) v0.29_NRA_model_for_NEMO2 (EMC Update) v0.29.2_NRA_model_for_NEMO2 (EMC Update) v0.29.3_NRA_model_for_NEMO2 (EMC Update) v0 30 1" xfId="1086" xr:uid="{00000000-0005-0000-0000-0000E9030000}"/>
    <cellStyle name="%_NRA_model_for_NEMO2 (EMC Update) v0.20_NRA_model_for_NEMO2 (EMC Update) v0.25_NRA_model_for_NEMO2 (EMC Update) v0.29_NRA_model_for_NEMO2 (EMC Update) v0.29.2_NRA_model_for_NEMO2 (EMC Update) v0.29.3_NRA_model_for_NEMO2 (EMC Update) v0.29.5" xfId="1087" xr:uid="{00000000-0005-0000-0000-0000EA030000}"/>
    <cellStyle name="%_NRA_model_for_NEMO2 (EMC Update) v0.20_NRA_model_for_NEMO2 (EMC Update) v0.25_NRA_model_for_NEMO2 (EMC Update) v0.29_NRA_model_for_NEMO2 (EMC Update) v0.29.2_NRA_model_for_NEMO2 (EMC Update) v0.29.4" xfId="1088" xr:uid="{00000000-0005-0000-0000-0000EB030000}"/>
    <cellStyle name="%_NRA_model_for_NEMO2 (EMC Update) v0.20_NRA_model_for_NEMO2 (EMC Update) v0.25_NRA_model_for_NEMO2 (EMC Update) v0.29_NRA_model_for_NEMO2 (EMC Update) v0.29.2_NRA_model_for_NEMO2 (EMC Update) v0.29.4_NRA_model_for_NEMO2 (EMC Update) v0 30 1" xfId="1089" xr:uid="{00000000-0005-0000-0000-0000EC030000}"/>
    <cellStyle name="%_NRA_model_for_NEMO2 (EMC Update) v0.20_NRA_model_for_NEMO2 (EMC Update) v0.25_NRA_model_for_NEMO2 (EMC Update) v0.29_NRA_model_for_NEMO2 (EMC Update) v0.29.2_NRA_model_for_NEMO2 (EMC Update) v0.29.4_NRA_model_for_NEMO2 (EMC Update) v0.29.5" xfId="1090" xr:uid="{00000000-0005-0000-0000-0000ED030000}"/>
    <cellStyle name="%_NRA_model_for_NEMO2 (EMC Update) v0.20_NRA_model_for_NEMO2 (EMC Update) v0.25_NRA_model_for_NEMO2 (EMC Update) v0.29_NRA_model_for_NEMO2 (EMC Update) v0.29.2_NRA_model_for_NEMO2 (EMC Update) v0.29.5" xfId="1091" xr:uid="{00000000-0005-0000-0000-0000EE030000}"/>
    <cellStyle name="%_NRA_model_for_NEMO2 (EMC Update) v0.20_NRA_model_for_NEMO2 (EMC Update) v0.25_NRA_model_for_NEMO2 (EMC Update) v0.29_NRA_model_for_NEMO2 (EMC Update) v0.29.2_NRA_model_for_NEMO2 (EMC Update) v0.29.5_NRA_model_for_NEMO2 (EMC Update) v0 30 1" xfId="1092" xr:uid="{00000000-0005-0000-0000-0000EF030000}"/>
    <cellStyle name="%_NRA_model_for_NEMO2 (EMC Update) v0.20_NRA_model_for_NEMO2 (EMC Update) v0.25_NRA_model_for_NEMO2 (EMC Update) v0.29_NRA_model_for_NEMO2 (EMC Update) v0.29.3" xfId="1093" xr:uid="{00000000-0005-0000-0000-0000F0030000}"/>
    <cellStyle name="%_NRA_model_for_NEMO2 (EMC Update) v0.20_NRA_model_for_NEMO2 (EMC Update) v0.25_NRA_model_for_NEMO2 (EMC Update) v0.29_NRA_model_for_NEMO2 (EMC Update) v0.29.3_NRA_model_for_NEMO2 (EMC Update) v0 30 1" xfId="1094" xr:uid="{00000000-0005-0000-0000-0000F1030000}"/>
    <cellStyle name="%_NRA_model_for_NEMO2 (EMC Update) v0.20_NRA_model_for_NEMO2 (EMC Update) v0.25_NRA_model_for_NEMO2 (EMC Update) v0.29_NRA_model_for_NEMO2 (EMC Update) v0.29.3_NRA_model_for_NEMO2 (EMC Update) v0.29.5" xfId="1095" xr:uid="{00000000-0005-0000-0000-0000F2030000}"/>
    <cellStyle name="%_NRA_model_for_NEMO2 (EMC Update) v0.20_NRA_model_for_NEMO2 (EMC Update) v0.25_NRA_model_for_NEMO2 (EMC Update) v0.29_NRA_model_for_NEMO2 (EMC Update) v0.29.3_NRA_model_for_NEMO2 (EMC Update) v0.29.5_NRA_model_for_NEMO2 (EMC Update) v0 30 1" xfId="1096" xr:uid="{00000000-0005-0000-0000-0000F3030000}"/>
    <cellStyle name="%_NRA_model_for_NEMO2 (EMC Update) v0.20_NRA_model_for_NEMO2 (EMC Update) v0.25_NRA_model_for_NEMO2 (EMC Update) v0.29_NRA_model_for_NEMO2 (EMC Update) v0.29.4" xfId="1097" xr:uid="{00000000-0005-0000-0000-0000F4030000}"/>
    <cellStyle name="%_NRA_model_for_NEMO2 (EMC Update) v0.20_NRA_model_for_NEMO2 (EMC Update) v0.25_NRA_model_for_NEMO2 (EMC Update) v0.29_NRA_model_for_NEMO2 (EMC Update) v0.29.4_NRA_model_for_NEMO2 (EMC Update) v0 30 1" xfId="1098" xr:uid="{00000000-0005-0000-0000-0000F5030000}"/>
    <cellStyle name="%_NRA_model_for_NEMO2 (EMC Update) v0.20_NRA_model_for_NEMO2 (EMC Update) v0.25_NRA_model_for_NEMO2 (EMC Update) v0.29_NRA_model_for_NEMO2 (EMC Update) v0.29.4_NRA_model_for_NEMO2 (EMC Update) v0.29.5" xfId="1099" xr:uid="{00000000-0005-0000-0000-0000F6030000}"/>
    <cellStyle name="%_NRA_model_for_NEMO2 (EMC Update) v0.20_NRA_model_for_NEMO2 (EMC Update) v0.25_NRA_model_for_NEMO2 (EMC Update) v0.29_NRA_model_for_NEMO2 (EMC Update) v0.29.4_NRA_model_for_NEMO2 (EMC Update) v0.29.5_NRA_model_for_NEMO2 (EMC Update) v0 30 1" xfId="1100" xr:uid="{00000000-0005-0000-0000-0000F7030000}"/>
    <cellStyle name="%_NRA_model_for_NEMO2 (EMC Update) v0.20_NRA_model_for_NEMO2 (EMC Update) v0.25_NRA_model_for_NEMO2 (EMC Update) v0.29_NRA_model_for_NEMO2 (EMC Update) v0.29.5" xfId="1101" xr:uid="{00000000-0005-0000-0000-0000F8030000}"/>
    <cellStyle name="%_NRA_model_for_NEMO2 (EMC Update) v0.20_NRA_model_for_NEMO2 (EMC Update) v0.25_NRA_model_for_NEMO2 (EMC Update) v0.29_NRA_model_for_NEMO2 (EMC Update) v0.29.5_NRA_model_for_NEMO2 (EMC Update) v0 30 1" xfId="1102" xr:uid="{00000000-0005-0000-0000-0000F9030000}"/>
    <cellStyle name="%_NRA_model_for_NEMO2 (EMC Update) v0.20_NRA_model_for_NEMO2 (EMC Update) v0.26" xfId="1103" xr:uid="{00000000-0005-0000-0000-0000FA030000}"/>
    <cellStyle name="%_NRA_model_for_NEMO2 (EMC Update) v0.20_NRA_model_for_NEMO2 (EMC Update) v0.26_NRA_model_for_NEMO2 (EMC Update) v0 30 1" xfId="1104" xr:uid="{00000000-0005-0000-0000-0000FB030000}"/>
    <cellStyle name="%_NRA_model_for_NEMO2 (EMC Update) v0.20_NRA_model_for_NEMO2 (EMC Update) v0.26_NRA_model_for_NEMO2 (EMC Update) v0.29" xfId="1105" xr:uid="{00000000-0005-0000-0000-0000FC030000}"/>
    <cellStyle name="%_NRA_model_for_NEMO2 (EMC Update) v0.20_NRA_model_for_NEMO2 (EMC Update) v0.26_NRA_model_for_NEMO2 (EMC Update) v0.29.2" xfId="1106" xr:uid="{00000000-0005-0000-0000-0000FD030000}"/>
    <cellStyle name="%_NRA_model_for_NEMO2 (EMC Update) v0.20_NRA_model_for_NEMO2 (EMC Update) v0.26_NRA_model_for_NEMO2 (EMC Update) v0.29.2_NRA_model_for_NEMO2 (EMC Update) v0 30 1" xfId="1107" xr:uid="{00000000-0005-0000-0000-0000FE030000}"/>
    <cellStyle name="%_NRA_model_for_NEMO2 (EMC Update) v0.20_NRA_model_for_NEMO2 (EMC Update) v0.26_NRA_model_for_NEMO2 (EMC Update) v0.29.2_NRA_model_for_NEMO2 (EMC Update) v0.29.3" xfId="1108" xr:uid="{00000000-0005-0000-0000-0000FF030000}"/>
    <cellStyle name="%_NRA_model_for_NEMO2 (EMC Update) v0.20_NRA_model_for_NEMO2 (EMC Update) v0.26_NRA_model_for_NEMO2 (EMC Update) v0.29.2_NRA_model_for_NEMO2 (EMC Update) v0.29.3_NRA_model_for_NEMO2 (EMC Update) v0 30 1" xfId="1109" xr:uid="{00000000-0005-0000-0000-000000040000}"/>
    <cellStyle name="%_NRA_model_for_NEMO2 (EMC Update) v0.20_NRA_model_for_NEMO2 (EMC Update) v0.26_NRA_model_for_NEMO2 (EMC Update) v0.29.2_NRA_model_for_NEMO2 (EMC Update) v0.29.3_NRA_model_for_NEMO2 (EMC Update) v0.29.5" xfId="1110" xr:uid="{00000000-0005-0000-0000-000001040000}"/>
    <cellStyle name="%_NRA_model_for_NEMO2 (EMC Update) v0.20_NRA_model_for_NEMO2 (EMC Update) v0.26_NRA_model_for_NEMO2 (EMC Update) v0.29.2_NRA_model_for_NEMO2 (EMC Update) v0.29.3_NRA_model_for_NEMO2 (EMC Update) v0.29.5_NRA_model_for_NEMO2 (EMC Update) v0 30 1" xfId="1111" xr:uid="{00000000-0005-0000-0000-000002040000}"/>
    <cellStyle name="%_NRA_model_for_NEMO2 (EMC Update) v0.20_NRA_model_for_NEMO2 (EMC Update) v0.26_NRA_model_for_NEMO2 (EMC Update) v0.29.2_NRA_model_for_NEMO2 (EMC Update) v0.29.4" xfId="1112" xr:uid="{00000000-0005-0000-0000-000003040000}"/>
    <cellStyle name="%_NRA_model_for_NEMO2 (EMC Update) v0.20_NRA_model_for_NEMO2 (EMC Update) v0.26_NRA_model_for_NEMO2 (EMC Update) v0.29.2_NRA_model_for_NEMO2 (EMC Update) v0.29.4_NRA_model_for_NEMO2 (EMC Update) v0 30 1" xfId="1113" xr:uid="{00000000-0005-0000-0000-000004040000}"/>
    <cellStyle name="%_NRA_model_for_NEMO2 (EMC Update) v0.20_NRA_model_for_NEMO2 (EMC Update) v0.26_NRA_model_for_NEMO2 (EMC Update) v0.29.2_NRA_model_for_NEMO2 (EMC Update) v0.29.4_NRA_model_for_NEMO2 (EMC Update) v0.29.5" xfId="1114" xr:uid="{00000000-0005-0000-0000-000005040000}"/>
    <cellStyle name="%_NRA_model_for_NEMO2 (EMC Update) v0.20_NRA_model_for_NEMO2 (EMC Update) v0.26_NRA_model_for_NEMO2 (EMC Update) v0.29.2_NRA_model_for_NEMO2 (EMC Update) v0.29.4_NRA_model_for_NEMO2 (EMC Update) v0.29.5_NRA_model_for_NEMO2 (EMC Update) v0 30 1" xfId="1115" xr:uid="{00000000-0005-0000-0000-000006040000}"/>
    <cellStyle name="%_NRA_model_for_NEMO2 (EMC Update) v0.20_NRA_model_for_NEMO2 (EMC Update) v0.26_NRA_model_for_NEMO2 (EMC Update) v0.29.2_NRA_model_for_NEMO2 (EMC Update) v0.29.5" xfId="1116" xr:uid="{00000000-0005-0000-0000-000007040000}"/>
    <cellStyle name="%_NRA_model_for_NEMO2 (EMC Update) v0.20_NRA_model_for_NEMO2 (EMC Update) v0.26_NRA_model_for_NEMO2 (EMC Update) v0.29.2_NRA_model_for_NEMO2 (EMC Update) v0.29.5_NRA_model_for_NEMO2 (EMC Update) v0 30 1" xfId="1117" xr:uid="{00000000-0005-0000-0000-000008040000}"/>
    <cellStyle name="%_NRA_model_for_NEMO2 (EMC Update) v0.20_NRA_model_for_NEMO2 (EMC Update) v0.26_NRA_model_for_NEMO2 (EMC Update) v0.29.3" xfId="1118" xr:uid="{00000000-0005-0000-0000-000009040000}"/>
    <cellStyle name="%_NRA_model_for_NEMO2 (EMC Update) v0.20_NRA_model_for_NEMO2 (EMC Update) v0.26_NRA_model_for_NEMO2 (EMC Update) v0.29.3_NRA_model_for_NEMO2 (EMC Update) v0 30 1" xfId="1119" xr:uid="{00000000-0005-0000-0000-00000A040000}"/>
    <cellStyle name="%_NRA_model_for_NEMO2 (EMC Update) v0.20_NRA_model_for_NEMO2 (EMC Update) v0.26_NRA_model_for_NEMO2 (EMC Update) v0.29.3_NRA_model_for_NEMO2 (EMC Update) v0.29.5" xfId="1120" xr:uid="{00000000-0005-0000-0000-00000B040000}"/>
    <cellStyle name="%_NRA_model_for_NEMO2 (EMC Update) v0.20_NRA_model_for_NEMO2 (EMC Update) v0.26_NRA_model_for_NEMO2 (EMC Update) v0.29.3_NRA_model_for_NEMO2 (EMC Update) v0.29.5_NRA_model_for_NEMO2 (EMC Update) v0 30 1" xfId="1121" xr:uid="{00000000-0005-0000-0000-00000C040000}"/>
    <cellStyle name="%_NRA_model_for_NEMO2 (EMC Update) v0.20_NRA_model_for_NEMO2 (EMC Update) v0.26_NRA_model_for_NEMO2 (EMC Update) v0.29.4" xfId="1122" xr:uid="{00000000-0005-0000-0000-00000D040000}"/>
    <cellStyle name="%_NRA_model_for_NEMO2 (EMC Update) v0.20_NRA_model_for_NEMO2 (EMC Update) v0.26_NRA_model_for_NEMO2 (EMC Update) v0.29.4_NRA_model_for_NEMO2 (EMC Update) v0 30 1" xfId="1123" xr:uid="{00000000-0005-0000-0000-00000E040000}"/>
    <cellStyle name="%_NRA_model_for_NEMO2 (EMC Update) v0.20_NRA_model_for_NEMO2 (EMC Update) v0.26_NRA_model_for_NEMO2 (EMC Update) v0.29.4_NRA_model_for_NEMO2 (EMC Update) v0.29.5" xfId="1124" xr:uid="{00000000-0005-0000-0000-00000F040000}"/>
    <cellStyle name="%_NRA_model_for_NEMO2 (EMC Update) v0.20_NRA_model_for_NEMO2 (EMC Update) v0.26_NRA_model_for_NEMO2 (EMC Update) v0.29.4_NRA_model_for_NEMO2 (EMC Update) v0.29.5_NRA_model_for_NEMO2 (EMC Update) v0 30 1" xfId="1125" xr:uid="{00000000-0005-0000-0000-000010040000}"/>
    <cellStyle name="%_NRA_model_for_NEMO2 (EMC Update) v0.20_NRA_model_for_NEMO2 (EMC Update) v0.26_NRA_model_for_NEMO2 (EMC Update) v0.29.5" xfId="1126" xr:uid="{00000000-0005-0000-0000-000011040000}"/>
    <cellStyle name="%_NRA_model_for_NEMO2 (EMC Update) v0.20_NRA_model_for_NEMO2 (EMC Update) v0.26_NRA_model_for_NEMO2 (EMC Update) v0.29.5_NRA_model_for_NEMO2 (EMC Update) v0 30 1" xfId="1127" xr:uid="{00000000-0005-0000-0000-000012040000}"/>
    <cellStyle name="%_NRA_model_for_NEMO2 (EMC Update) v0.20_NRA_model_for_NEMO2 (EMC Update) v0.26_NRA_model_for_NEMO2 (EMC Update) v0.29_NRA_model_for_NEMO2 (EMC Update) v0 30 1" xfId="1128" xr:uid="{00000000-0005-0000-0000-000013040000}"/>
    <cellStyle name="%_NRA_model_for_NEMO2 (EMC Update) v0.20_NRA_model_for_NEMO2 (EMC Update) v0.26_NRA_model_for_NEMO2 (EMC Update) v0.29_NRA_model_for_NEMO2 (EMC Update) v0.29.2" xfId="1129" xr:uid="{00000000-0005-0000-0000-000014040000}"/>
    <cellStyle name="%_NRA_model_for_NEMO2 (EMC Update) v0.20_NRA_model_for_NEMO2 (EMC Update) v0.26_NRA_model_for_NEMO2 (EMC Update) v0.29_NRA_model_for_NEMO2 (EMC Update) v0.29.2_NRA_model_for_NEMO2 (EMC Update) v0 30 1" xfId="1130" xr:uid="{00000000-0005-0000-0000-000015040000}"/>
    <cellStyle name="%_NRA_model_for_NEMO2 (EMC Update) v0.20_NRA_model_for_NEMO2 (EMC Update) v0.26_NRA_model_for_NEMO2 (EMC Update) v0.29_NRA_model_for_NEMO2 (EMC Update) v0.29.2_NRA_model_for_NEMO2 (EMC Update) v0.29.3" xfId="1131" xr:uid="{00000000-0005-0000-0000-000016040000}"/>
    <cellStyle name="%_NRA_model_for_NEMO2 (EMC Update) v0.20_NRA_model_for_NEMO2 (EMC Update) v0.26_NRA_model_for_NEMO2 (EMC Update) v0.29_NRA_model_for_NEMO2 (EMC Update) v0.29.2_NRA_model_for_NEMO2 (EMC Update) v0.29.3_NRA_model_for_NEMO2 (EMC Update) v0 30 1" xfId="1132" xr:uid="{00000000-0005-0000-0000-000017040000}"/>
    <cellStyle name="%_NRA_model_for_NEMO2 (EMC Update) v0.20_NRA_model_for_NEMO2 (EMC Update) v0.26_NRA_model_for_NEMO2 (EMC Update) v0.29_NRA_model_for_NEMO2 (EMC Update) v0.29.2_NRA_model_for_NEMO2 (EMC Update) v0.29.3_NRA_model_for_NEMO2 (EMC Update) v0.29.5" xfId="1133" xr:uid="{00000000-0005-0000-0000-000018040000}"/>
    <cellStyle name="%_NRA_model_for_NEMO2 (EMC Update) v0.20_NRA_model_for_NEMO2 (EMC Update) v0.26_NRA_model_for_NEMO2 (EMC Update) v0.29_NRA_model_for_NEMO2 (EMC Update) v0.29.2_NRA_model_for_NEMO2 (EMC Update) v0.29.4" xfId="1134" xr:uid="{00000000-0005-0000-0000-000019040000}"/>
    <cellStyle name="%_NRA_model_for_NEMO2 (EMC Update) v0.20_NRA_model_for_NEMO2 (EMC Update) v0.26_NRA_model_for_NEMO2 (EMC Update) v0.29_NRA_model_for_NEMO2 (EMC Update) v0.29.2_NRA_model_for_NEMO2 (EMC Update) v0.29.4_NRA_model_for_NEMO2 (EMC Update) v0 30 1" xfId="1135" xr:uid="{00000000-0005-0000-0000-00001A040000}"/>
    <cellStyle name="%_NRA_model_for_NEMO2 (EMC Update) v0.20_NRA_model_for_NEMO2 (EMC Update) v0.26_NRA_model_for_NEMO2 (EMC Update) v0.29_NRA_model_for_NEMO2 (EMC Update) v0.29.2_NRA_model_for_NEMO2 (EMC Update) v0.29.4_NRA_model_for_NEMO2 (EMC Update) v0.29.5" xfId="1136" xr:uid="{00000000-0005-0000-0000-00001B040000}"/>
    <cellStyle name="%_NRA_model_for_NEMO2 (EMC Update) v0.20_NRA_model_for_NEMO2 (EMC Update) v0.26_NRA_model_for_NEMO2 (EMC Update) v0.29_NRA_model_for_NEMO2 (EMC Update) v0.29.2_NRA_model_for_NEMO2 (EMC Update) v0.29.5" xfId="1137" xr:uid="{00000000-0005-0000-0000-00001C040000}"/>
    <cellStyle name="%_NRA_model_for_NEMO2 (EMC Update) v0.20_NRA_model_for_NEMO2 (EMC Update) v0.26_NRA_model_for_NEMO2 (EMC Update) v0.29_NRA_model_for_NEMO2 (EMC Update) v0.29.2_NRA_model_for_NEMO2 (EMC Update) v0.29.5_NRA_model_for_NEMO2 (EMC Update) v0 30 1" xfId="1138" xr:uid="{00000000-0005-0000-0000-00001D040000}"/>
    <cellStyle name="%_NRA_model_for_NEMO2 (EMC Update) v0.20_NRA_model_for_NEMO2 (EMC Update) v0.26_NRA_model_for_NEMO2 (EMC Update) v0.29_NRA_model_for_NEMO2 (EMC Update) v0.29.3" xfId="1139" xr:uid="{00000000-0005-0000-0000-00001E040000}"/>
    <cellStyle name="%_NRA_model_for_NEMO2 (EMC Update) v0.20_NRA_model_for_NEMO2 (EMC Update) v0.26_NRA_model_for_NEMO2 (EMC Update) v0.29_NRA_model_for_NEMO2 (EMC Update) v0.29.3_NRA_model_for_NEMO2 (EMC Update) v0 30 1" xfId="1140" xr:uid="{00000000-0005-0000-0000-00001F040000}"/>
    <cellStyle name="%_NRA_model_for_NEMO2 (EMC Update) v0.20_NRA_model_for_NEMO2 (EMC Update) v0.26_NRA_model_for_NEMO2 (EMC Update) v0.29_NRA_model_for_NEMO2 (EMC Update) v0.29.3_NRA_model_for_NEMO2 (EMC Update) v0.29.5" xfId="1141" xr:uid="{00000000-0005-0000-0000-000020040000}"/>
    <cellStyle name="%_NRA_model_for_NEMO2 (EMC Update) v0.20_NRA_model_for_NEMO2 (EMC Update) v0.26_NRA_model_for_NEMO2 (EMC Update) v0.29_NRA_model_for_NEMO2 (EMC Update) v0.29.3_NRA_model_for_NEMO2 (EMC Update) v0.29.5_NRA_model_for_NEMO2 (EMC Update) v0 30 1" xfId="1142" xr:uid="{00000000-0005-0000-0000-000021040000}"/>
    <cellStyle name="%_NRA_model_for_NEMO2 (EMC Update) v0.20_NRA_model_for_NEMO2 (EMC Update) v0.26_NRA_model_for_NEMO2 (EMC Update) v0.29_NRA_model_for_NEMO2 (EMC Update) v0.29.4" xfId="1143" xr:uid="{00000000-0005-0000-0000-000022040000}"/>
    <cellStyle name="%_NRA_model_for_NEMO2 (EMC Update) v0.20_NRA_model_for_NEMO2 (EMC Update) v0.26_NRA_model_for_NEMO2 (EMC Update) v0.29_NRA_model_for_NEMO2 (EMC Update) v0.29.4_NRA_model_for_NEMO2 (EMC Update) v0 30 1" xfId="1144" xr:uid="{00000000-0005-0000-0000-000023040000}"/>
    <cellStyle name="%_NRA_model_for_NEMO2 (EMC Update) v0.20_NRA_model_for_NEMO2 (EMC Update) v0.26_NRA_model_for_NEMO2 (EMC Update) v0.29_NRA_model_for_NEMO2 (EMC Update) v0.29.4_NRA_model_for_NEMO2 (EMC Update) v0.29.5" xfId="1145" xr:uid="{00000000-0005-0000-0000-000024040000}"/>
    <cellStyle name="%_NRA_model_for_NEMO2 (EMC Update) v0.20_NRA_model_for_NEMO2 (EMC Update) v0.26_NRA_model_for_NEMO2 (EMC Update) v0.29_NRA_model_for_NEMO2 (EMC Update) v0.29.4_NRA_model_for_NEMO2 (EMC Update) v0.29.5_NRA_model_for_NEMO2 (EMC Update) v0 30 1" xfId="1146" xr:uid="{00000000-0005-0000-0000-000025040000}"/>
    <cellStyle name="%_NRA_model_for_NEMO2 (EMC Update) v0.20_NRA_model_for_NEMO2 (EMC Update) v0.26_NRA_model_for_NEMO2 (EMC Update) v0.29_NRA_model_for_NEMO2 (EMC Update) v0.29.5" xfId="1147" xr:uid="{00000000-0005-0000-0000-000026040000}"/>
    <cellStyle name="%_NRA_model_for_NEMO2 (EMC Update) v0.20_NRA_model_for_NEMO2 (EMC Update) v0.26_NRA_model_for_NEMO2 (EMC Update) v0.29_NRA_model_for_NEMO2 (EMC Update) v0.29.5_NRA_model_for_NEMO2 (EMC Update) v0 30 1" xfId="1148" xr:uid="{00000000-0005-0000-0000-000027040000}"/>
    <cellStyle name="%_NRA_model_for_NEMO2 (EMC Update) v0.20_NRA_model_for_NEMO2 (EMC Update) v0.29" xfId="1149" xr:uid="{00000000-0005-0000-0000-000028040000}"/>
    <cellStyle name="%_NRA_model_for_NEMO2 (EMC Update) v0.20_NRA_model_for_NEMO2 (EMC Update) v0.29.2" xfId="1150" xr:uid="{00000000-0005-0000-0000-000029040000}"/>
    <cellStyle name="%_NRA_model_for_NEMO2 (EMC Update) v0.20_NRA_model_for_NEMO2 (EMC Update) v0.29.2_NRA_model_for_NEMO2 (EMC Update) v0 30 1" xfId="1151" xr:uid="{00000000-0005-0000-0000-00002A040000}"/>
    <cellStyle name="%_NRA_model_for_NEMO2 (EMC Update) v0.20_NRA_model_for_NEMO2 (EMC Update) v0.29.2_NRA_model_for_NEMO2 (EMC Update) v0.29.3" xfId="1152" xr:uid="{00000000-0005-0000-0000-00002B040000}"/>
    <cellStyle name="%_NRA_model_for_NEMO2 (EMC Update) v0.20_NRA_model_for_NEMO2 (EMC Update) v0.29.2_NRA_model_for_NEMO2 (EMC Update) v0.29.3_NRA_model_for_NEMO2 (EMC Update) v0 30 1" xfId="1153" xr:uid="{00000000-0005-0000-0000-00002C040000}"/>
    <cellStyle name="%_NRA_model_for_NEMO2 (EMC Update) v0.20_NRA_model_for_NEMO2 (EMC Update) v0.29.2_NRA_model_for_NEMO2 (EMC Update) v0.29.3_NRA_model_for_NEMO2 (EMC Update) v0.29.5" xfId="1154" xr:uid="{00000000-0005-0000-0000-00002D040000}"/>
    <cellStyle name="%_NRA_model_for_NEMO2 (EMC Update) v0.20_NRA_model_for_NEMO2 (EMC Update) v0.29.2_NRA_model_for_NEMO2 (EMC Update) v0.29.3_NRA_model_for_NEMO2 (EMC Update) v0.29.5_NRA_model_for_NEMO2 (EMC Update) v0 30 1" xfId="1155" xr:uid="{00000000-0005-0000-0000-00002E040000}"/>
    <cellStyle name="%_NRA_model_for_NEMO2 (EMC Update) v0.20_NRA_model_for_NEMO2 (EMC Update) v0.29.2_NRA_model_for_NEMO2 (EMC Update) v0.29.4" xfId="1156" xr:uid="{00000000-0005-0000-0000-00002F040000}"/>
    <cellStyle name="%_NRA_model_for_NEMO2 (EMC Update) v0.20_NRA_model_for_NEMO2 (EMC Update) v0.29.2_NRA_model_for_NEMO2 (EMC Update) v0.29.4_NRA_model_for_NEMO2 (EMC Update) v0 30 1" xfId="1157" xr:uid="{00000000-0005-0000-0000-000030040000}"/>
    <cellStyle name="%_NRA_model_for_NEMO2 (EMC Update) v0.20_NRA_model_for_NEMO2 (EMC Update) v0.29.2_NRA_model_for_NEMO2 (EMC Update) v0.29.4_NRA_model_for_NEMO2 (EMC Update) v0.29.5" xfId="1158" xr:uid="{00000000-0005-0000-0000-000031040000}"/>
    <cellStyle name="%_NRA_model_for_NEMO2 (EMC Update) v0.20_NRA_model_for_NEMO2 (EMC Update) v0.29.2_NRA_model_for_NEMO2 (EMC Update) v0.29.4_NRA_model_for_NEMO2 (EMC Update) v0.29.5_NRA_model_for_NEMO2 (EMC Update) v0 30 1" xfId="1159" xr:uid="{00000000-0005-0000-0000-000032040000}"/>
    <cellStyle name="%_NRA_model_for_NEMO2 (EMC Update) v0.20_NRA_model_for_NEMO2 (EMC Update) v0.29.2_NRA_model_for_NEMO2 (EMC Update) v0.29.5" xfId="1160" xr:uid="{00000000-0005-0000-0000-000033040000}"/>
    <cellStyle name="%_NRA_model_for_NEMO2 (EMC Update) v0.20_NRA_model_for_NEMO2 (EMC Update) v0.29.2_NRA_model_for_NEMO2 (EMC Update) v0.29.5_NRA_model_for_NEMO2 (EMC Update) v0 30 1" xfId="1161" xr:uid="{00000000-0005-0000-0000-000034040000}"/>
    <cellStyle name="%_NRA_model_for_NEMO2 (EMC Update) v0.20_NRA_model_for_NEMO2 (EMC Update) v0.29.3" xfId="1162" xr:uid="{00000000-0005-0000-0000-000035040000}"/>
    <cellStyle name="%_NRA_model_for_NEMO2 (EMC Update) v0.20_NRA_model_for_NEMO2 (EMC Update) v0.29.3_NRA_model_for_NEMO2 (EMC Update) v0 30 1" xfId="1163" xr:uid="{00000000-0005-0000-0000-000036040000}"/>
    <cellStyle name="%_NRA_model_for_NEMO2 (EMC Update) v0.20_NRA_model_for_NEMO2 (EMC Update) v0.29.3_NRA_model_for_NEMO2 (EMC Update) v0.29.5" xfId="1164" xr:uid="{00000000-0005-0000-0000-000037040000}"/>
    <cellStyle name="%_NRA_model_for_NEMO2 (EMC Update) v0.20_NRA_model_for_NEMO2 (EMC Update) v0.29.3_NRA_model_for_NEMO2 (EMC Update) v0.29.5_NRA_model_for_NEMO2 (EMC Update) v0 30 1" xfId="1165" xr:uid="{00000000-0005-0000-0000-000038040000}"/>
    <cellStyle name="%_NRA_model_for_NEMO2 (EMC Update) v0.20_NRA_model_for_NEMO2 (EMC Update) v0.29.4" xfId="1166" xr:uid="{00000000-0005-0000-0000-000039040000}"/>
    <cellStyle name="%_NRA_model_for_NEMO2 (EMC Update) v0.20_NRA_model_for_NEMO2 (EMC Update) v0.29.4_NRA_model_for_NEMO2 (EMC Update) v0 30 1" xfId="1167" xr:uid="{00000000-0005-0000-0000-00003A040000}"/>
    <cellStyle name="%_NRA_model_for_NEMO2 (EMC Update) v0.20_NRA_model_for_NEMO2 (EMC Update) v0.29.4_NRA_model_for_NEMO2 (EMC Update) v0.29.5" xfId="1168" xr:uid="{00000000-0005-0000-0000-00003B040000}"/>
    <cellStyle name="%_NRA_model_for_NEMO2 (EMC Update) v0.20_NRA_model_for_NEMO2 (EMC Update) v0.29.4_NRA_model_for_NEMO2 (EMC Update) v0.29.5_NRA_model_for_NEMO2 (EMC Update) v0 30 1" xfId="1169" xr:uid="{00000000-0005-0000-0000-00003C040000}"/>
    <cellStyle name="%_NRA_model_for_NEMO2 (EMC Update) v0.20_NRA_model_for_NEMO2 (EMC Update) v0.29.5" xfId="1170" xr:uid="{00000000-0005-0000-0000-00003D040000}"/>
    <cellStyle name="%_NRA_model_for_NEMO2 (EMC Update) v0.20_NRA_model_for_NEMO2 (EMC Update) v0.29.5_NRA_model_for_NEMO2 (EMC Update) v0 30 1" xfId="1171" xr:uid="{00000000-0005-0000-0000-00003E040000}"/>
    <cellStyle name="%_NRA_model_for_NEMO2 (EMC Update) v0.20_NRA_model_for_NEMO2 (EMC Update) v0.29_NRA_model_for_NEMO2 (EMC Update) v0 30 1" xfId="1172" xr:uid="{00000000-0005-0000-0000-00003F040000}"/>
    <cellStyle name="%_NRA_model_for_NEMO2 (EMC Update) v0.20_NRA_model_for_NEMO2 (EMC Update) v0.29_NRA_model_for_NEMO2 (EMC Update) v0.29.2" xfId="1173" xr:uid="{00000000-0005-0000-0000-000040040000}"/>
    <cellStyle name="%_NRA_model_for_NEMO2 (EMC Update) v0.20_NRA_model_for_NEMO2 (EMC Update) v0.29_NRA_model_for_NEMO2 (EMC Update) v0.29.2_NRA_model_for_NEMO2 (EMC Update) v0 30 1" xfId="1174" xr:uid="{00000000-0005-0000-0000-000041040000}"/>
    <cellStyle name="%_NRA_model_for_NEMO2 (EMC Update) v0.20_NRA_model_for_NEMO2 (EMC Update) v0.29_NRA_model_for_NEMO2 (EMC Update) v0.29.2_NRA_model_for_NEMO2 (EMC Update) v0.29.3" xfId="1175" xr:uid="{00000000-0005-0000-0000-000042040000}"/>
    <cellStyle name="%_NRA_model_for_NEMO2 (EMC Update) v0.20_NRA_model_for_NEMO2 (EMC Update) v0.29_NRA_model_for_NEMO2 (EMC Update) v0.29.2_NRA_model_for_NEMO2 (EMC Update) v0.29.3_NRA_model_for_NEMO2 (EMC Update) v0 30 1" xfId="1176" xr:uid="{00000000-0005-0000-0000-000043040000}"/>
    <cellStyle name="%_NRA_model_for_NEMO2 (EMC Update) v0.20_NRA_model_for_NEMO2 (EMC Update) v0.29_NRA_model_for_NEMO2 (EMC Update) v0.29.2_NRA_model_for_NEMO2 (EMC Update) v0.29.3_NRA_model_for_NEMO2 (EMC Update) v0.29.5" xfId="1177" xr:uid="{00000000-0005-0000-0000-000044040000}"/>
    <cellStyle name="%_NRA_model_for_NEMO2 (EMC Update) v0.20_NRA_model_for_NEMO2 (EMC Update) v0.29_NRA_model_for_NEMO2 (EMC Update) v0.29.2_NRA_model_for_NEMO2 (EMC Update) v0.29.3_NRA_model_for_NEMO2 (EMC Update) v0.29.5_NRA_model_for_NEMO2 (EMC Update) v0 30 1" xfId="1178" xr:uid="{00000000-0005-0000-0000-000045040000}"/>
    <cellStyle name="%_NRA_model_for_NEMO2 (EMC Update) v0.20_NRA_model_for_NEMO2 (EMC Update) v0.29_NRA_model_for_NEMO2 (EMC Update) v0.29.2_NRA_model_for_NEMO2 (EMC Update) v0.29.4" xfId="1179" xr:uid="{00000000-0005-0000-0000-000046040000}"/>
    <cellStyle name="%_NRA_model_for_NEMO2 (EMC Update) v0.20_NRA_model_for_NEMO2 (EMC Update) v0.29_NRA_model_for_NEMO2 (EMC Update) v0.29.2_NRA_model_for_NEMO2 (EMC Update) v0.29.4_NRA_model_for_NEMO2 (EMC Update) v0 30 1" xfId="1180" xr:uid="{00000000-0005-0000-0000-000047040000}"/>
    <cellStyle name="%_NRA_model_for_NEMO2 (EMC Update) v0.20_NRA_model_for_NEMO2 (EMC Update) v0.29_NRA_model_for_NEMO2 (EMC Update) v0.29.2_NRA_model_for_NEMO2 (EMC Update) v0.29.4_NRA_model_for_NEMO2 (EMC Update) v0.29.5" xfId="1181" xr:uid="{00000000-0005-0000-0000-000048040000}"/>
    <cellStyle name="%_NRA_model_for_NEMO2 (EMC Update) v0.20_NRA_model_for_NEMO2 (EMC Update) v0.29_NRA_model_for_NEMO2 (EMC Update) v0.29.2_NRA_model_for_NEMO2 (EMC Update) v0.29.4_NRA_model_for_NEMO2 (EMC Update) v0.29.5_NRA_model_for_NEMO2 (EMC Update) v0 30 1" xfId="1182" xr:uid="{00000000-0005-0000-0000-000049040000}"/>
    <cellStyle name="%_NRA_model_for_NEMO2 (EMC Update) v0.20_NRA_model_for_NEMO2 (EMC Update) v0.29_NRA_model_for_NEMO2 (EMC Update) v0.29.2_NRA_model_for_NEMO2 (EMC Update) v0.29.5" xfId="1183" xr:uid="{00000000-0005-0000-0000-00004A040000}"/>
    <cellStyle name="%_NRA_model_for_NEMO2 (EMC Update) v0.20_NRA_model_for_NEMO2 (EMC Update) v0.29_NRA_model_for_NEMO2 (EMC Update) v0.29.2_NRA_model_for_NEMO2 (EMC Update) v0.29.5_NRA_model_for_NEMO2 (EMC Update) v0 30 1" xfId="1184" xr:uid="{00000000-0005-0000-0000-00004B040000}"/>
    <cellStyle name="%_NRA_model_for_NEMO2 (EMC Update) v0.20_NRA_model_for_NEMO2 (EMC Update) v0.29_NRA_model_for_NEMO2 (EMC Update) v0.29.3" xfId="1185" xr:uid="{00000000-0005-0000-0000-00004C040000}"/>
    <cellStyle name="%_NRA_model_for_NEMO2 (EMC Update) v0.20_NRA_model_for_NEMO2 (EMC Update) v0.29_NRA_model_for_NEMO2 (EMC Update) v0.29.3_NRA_model_for_NEMO2 (EMC Update) v0 30 1" xfId="1186" xr:uid="{00000000-0005-0000-0000-00004D040000}"/>
    <cellStyle name="%_NRA_model_for_NEMO2 (EMC Update) v0.20_NRA_model_for_NEMO2 (EMC Update) v0.29_NRA_model_for_NEMO2 (EMC Update) v0.29.3_NRA_model_for_NEMO2 (EMC Update) v0.29.5" xfId="1187" xr:uid="{00000000-0005-0000-0000-00004E040000}"/>
    <cellStyle name="%_NRA_model_for_NEMO2 (EMC Update) v0.20_NRA_model_for_NEMO2 (EMC Update) v0.29_NRA_model_for_NEMO2 (EMC Update) v0.29.3_NRA_model_for_NEMO2 (EMC Update) v0.29.5_NRA_model_for_NEMO2 (EMC Update) v0 30 1" xfId="1188" xr:uid="{00000000-0005-0000-0000-00004F040000}"/>
    <cellStyle name="%_NRA_model_for_NEMO2 (EMC Update) v0.20_NRA_model_for_NEMO2 (EMC Update) v0.29_NRA_model_for_NEMO2 (EMC Update) v0.29.4" xfId="1189" xr:uid="{00000000-0005-0000-0000-000050040000}"/>
    <cellStyle name="%_NRA_model_for_NEMO2 (EMC Update) v0.20_NRA_model_for_NEMO2 (EMC Update) v0.29_NRA_model_for_NEMO2 (EMC Update) v0.29.4_NRA_model_for_NEMO2 (EMC Update) v0 30 1" xfId="1190" xr:uid="{00000000-0005-0000-0000-000051040000}"/>
    <cellStyle name="%_NRA_model_for_NEMO2 (EMC Update) v0.20_NRA_model_for_NEMO2 (EMC Update) v0.29_NRA_model_for_NEMO2 (EMC Update) v0.29.4_NRA_model_for_NEMO2 (EMC Update) v0.29.5" xfId="1191" xr:uid="{00000000-0005-0000-0000-000052040000}"/>
    <cellStyle name="%_NRA_model_for_NEMO2 (EMC Update) v0.20_NRA_model_for_NEMO2 (EMC Update) v0.29_NRA_model_for_NEMO2 (EMC Update) v0.29.4_NRA_model_for_NEMO2 (EMC Update) v0.29.5_NRA_model_for_NEMO2 (EMC Update) v0 30 1" xfId="1192" xr:uid="{00000000-0005-0000-0000-000053040000}"/>
    <cellStyle name="%_NRA_model_for_NEMO2 (EMC Update) v0.20_NRA_model_for_NEMO2 (EMC Update) v0.29_NRA_model_for_NEMO2 (EMC Update) v0.29.5" xfId="1193" xr:uid="{00000000-0005-0000-0000-000054040000}"/>
    <cellStyle name="%_NRA_model_for_NEMO2 (EMC Update) v0.20_NRA_model_for_NEMO2 (EMC Update) v0.29_NRA_model_for_NEMO2 (EMC Update) v0.29.5_NRA_model_for_NEMO2 (EMC Update) v0 30 1" xfId="1194" xr:uid="{00000000-0005-0000-0000-000055040000}"/>
    <cellStyle name="%_NRA_model_for_NEMO2 (EMC Update) v0.21" xfId="1195" xr:uid="{00000000-0005-0000-0000-000056040000}"/>
    <cellStyle name="%_NRA_model_for_NEMO2 (EMC Update) v0.21_NRA_model_for_NEMO2 (EMC Update) v0 30 1" xfId="1196" xr:uid="{00000000-0005-0000-0000-000057040000}"/>
    <cellStyle name="%_NRA_model_for_NEMO2 (EMC Update) v0.21_NRA_model_for_NEMO2 (EMC Update) v0.22" xfId="1197" xr:uid="{00000000-0005-0000-0000-000058040000}"/>
    <cellStyle name="%_NRA_model_for_NEMO2 (EMC Update) v0.21_NRA_model_for_NEMO2 (EMC Update) v0.22_NRA_model_for_NEMO2 (EMC Update) v0 30 1" xfId="1198" xr:uid="{00000000-0005-0000-0000-000059040000}"/>
    <cellStyle name="%_NRA_model_for_NEMO2 (EMC Update) v0.21_NRA_model_for_NEMO2 (EMC Update) v0.22_NRA_model_for_NEMO2 (EMC Update) v0.25" xfId="1199" xr:uid="{00000000-0005-0000-0000-00005A040000}"/>
    <cellStyle name="%_NRA_model_for_NEMO2 (EMC Update) v0.21_NRA_model_for_NEMO2 (EMC Update) v0.22_NRA_model_for_NEMO2 (EMC Update) v0.25_NRA_model_for_NEMO2 (EMC Update) v0 30 1" xfId="1200" xr:uid="{00000000-0005-0000-0000-00005B040000}"/>
    <cellStyle name="%_NRA_model_for_NEMO2 (EMC Update) v0.21_NRA_model_for_NEMO2 (EMC Update) v0.22_NRA_model_for_NEMO2 (EMC Update) v0.25_NRA_model_for_NEMO2 (EMC Update) v0.26" xfId="1201" xr:uid="{00000000-0005-0000-0000-00005C040000}"/>
    <cellStyle name="%_NRA_model_for_NEMO2 (EMC Update) v0.21_NRA_model_for_NEMO2 (EMC Update) v0.22_NRA_model_for_NEMO2 (EMC Update) v0.25_NRA_model_for_NEMO2 (EMC Update) v0.26_NRA_model_for_NEMO2 (EMC Update) v0 30 1" xfId="1202" xr:uid="{00000000-0005-0000-0000-00005D040000}"/>
    <cellStyle name="%_NRA_model_for_NEMO2 (EMC Update) v0.21_NRA_model_for_NEMO2 (EMC Update) v0.22_NRA_model_for_NEMO2 (EMC Update) v0.25_NRA_model_for_NEMO2 (EMC Update) v0.26_NRA_model_for_NEMO2 (EMC Update) v0.29" xfId="1203" xr:uid="{00000000-0005-0000-0000-00005E040000}"/>
    <cellStyle name="%_NRA_model_for_NEMO2 (EMC Update) v0.21_NRA_model_for_NEMO2 (EMC Update) v0.22_NRA_model_for_NEMO2 (EMC Update) v0.25_NRA_model_for_NEMO2 (EMC Update) v0.26_NRA_model_for_NEMO2 (EMC Update) v0.29.2" xfId="1204" xr:uid="{00000000-0005-0000-0000-00005F040000}"/>
    <cellStyle name="%_NRA_model_for_NEMO2 (EMC Update) v0.21_NRA_model_for_NEMO2 (EMC Update) v0.22_NRA_model_for_NEMO2 (EMC Update) v0.25_NRA_model_for_NEMO2 (EMC Update) v0.26_NRA_model_for_NEMO2 (EMC Update) v0.29.2_NRA_model_for_NEMO2 (EMC Update) v0 30 1" xfId="1205" xr:uid="{00000000-0005-0000-0000-000060040000}"/>
    <cellStyle name="%_NRA_model_for_NEMO2 (EMC Update) v0.21_NRA_model_for_NEMO2 (EMC Update) v0.22_NRA_model_for_NEMO2 (EMC Update) v0.25_NRA_model_for_NEMO2 (EMC Update) v0.26_NRA_model_for_NEMO2 (EMC Update) v0.29.2_NRA_model_for_NEMO2 (EMC Update) v0.29.3" xfId="1206" xr:uid="{00000000-0005-0000-0000-000061040000}"/>
    <cellStyle name="%_NRA_model_for_NEMO2 (EMC Update) v0.21_NRA_model_for_NEMO2 (EMC Update) v0.22_NRA_model_for_NEMO2 (EMC Update) v0.25_NRA_model_for_NEMO2 (EMC Update) v0.26_NRA_model_for_NEMO2 (EMC Update) v0.29.2_NRA_model_for_NEMO2 (EMC Update) v0.29.4" xfId="1207" xr:uid="{00000000-0005-0000-0000-000062040000}"/>
    <cellStyle name="%_NRA_model_for_NEMO2 (EMC Update) v0.21_NRA_model_for_NEMO2 (EMC Update) v0.22_NRA_model_for_NEMO2 (EMC Update) v0.25_NRA_model_for_NEMO2 (EMC Update) v0.26_NRA_model_for_NEMO2 (EMC Update) v0.29.2_NRA_model_for_NEMO2 (EMC Update) v0.29.5" xfId="1208" xr:uid="{00000000-0005-0000-0000-000063040000}"/>
    <cellStyle name="%_NRA_model_for_NEMO2 (EMC Update) v0.21_NRA_model_for_NEMO2 (EMC Update) v0.22_NRA_model_for_NEMO2 (EMC Update) v0.25_NRA_model_for_NEMO2 (EMC Update) v0.26_NRA_model_for_NEMO2 (EMC Update) v0.29.3" xfId="1209" xr:uid="{00000000-0005-0000-0000-000064040000}"/>
    <cellStyle name="%_NRA_model_for_NEMO2 (EMC Update) v0.21_NRA_model_for_NEMO2 (EMC Update) v0.22_NRA_model_for_NEMO2 (EMC Update) v0.25_NRA_model_for_NEMO2 (EMC Update) v0.26_NRA_model_for_NEMO2 (EMC Update) v0.29.3_NRA_model_for_NEMO2 (EMC Update) v0 30 1" xfId="1210" xr:uid="{00000000-0005-0000-0000-000065040000}"/>
    <cellStyle name="%_NRA_model_for_NEMO2 (EMC Update) v0.21_NRA_model_for_NEMO2 (EMC Update) v0.22_NRA_model_for_NEMO2 (EMC Update) v0.25_NRA_model_for_NEMO2 (EMC Update) v0.26_NRA_model_for_NEMO2 (EMC Update) v0.29.3_NRA_model_for_NEMO2 (EMC Update) v0.29.5" xfId="1211" xr:uid="{00000000-0005-0000-0000-000066040000}"/>
    <cellStyle name="%_NRA_model_for_NEMO2 (EMC Update) v0.21_NRA_model_for_NEMO2 (EMC Update) v0.22_NRA_model_for_NEMO2 (EMC Update) v0.25_NRA_model_for_NEMO2 (EMC Update) v0.26_NRA_model_for_NEMO2 (EMC Update) v0.29.4" xfId="1212" xr:uid="{00000000-0005-0000-0000-000067040000}"/>
    <cellStyle name="%_NRA_model_for_NEMO2 (EMC Update) v0.21_NRA_model_for_NEMO2 (EMC Update) v0.22_NRA_model_for_NEMO2 (EMC Update) v0.25_NRA_model_for_NEMO2 (EMC Update) v0.26_NRA_model_for_NEMO2 (EMC Update) v0.29.4_NRA_model_for_NEMO2 (EMC Update) v0 30 1" xfId="1213" xr:uid="{00000000-0005-0000-0000-000068040000}"/>
    <cellStyle name="%_NRA_model_for_NEMO2 (EMC Update) v0.21_NRA_model_for_NEMO2 (EMC Update) v0.22_NRA_model_for_NEMO2 (EMC Update) v0.25_NRA_model_for_NEMO2 (EMC Update) v0.26_NRA_model_for_NEMO2 (EMC Update) v0.29.4_NRA_model_for_NEMO2 (EMC Update) v0.29.5" xfId="1214" xr:uid="{00000000-0005-0000-0000-000069040000}"/>
    <cellStyle name="%_NRA_model_for_NEMO2 (EMC Update) v0.21_NRA_model_for_NEMO2 (EMC Update) v0.22_NRA_model_for_NEMO2 (EMC Update) v0.25_NRA_model_for_NEMO2 (EMC Update) v0.26_NRA_model_for_NEMO2 (EMC Update) v0.29.5" xfId="1215" xr:uid="{00000000-0005-0000-0000-00006A040000}"/>
    <cellStyle name="%_NRA_model_for_NEMO2 (EMC Update) v0.21_NRA_model_for_NEMO2 (EMC Update) v0.22_NRA_model_for_NEMO2 (EMC Update) v0.25_NRA_model_for_NEMO2 (EMC Update) v0.26_NRA_model_for_NEMO2 (EMC Update) v0.29.5_NRA_model_for_NEMO2 (EMC Update) v0 30 1" xfId="1216" xr:uid="{00000000-0005-0000-0000-00006B040000}"/>
    <cellStyle name="%_NRA_model_for_NEMO2 (EMC Update) v0.21_NRA_model_for_NEMO2 (EMC Update) v0.22_NRA_model_for_NEMO2 (EMC Update) v0.25_NRA_model_for_NEMO2 (EMC Update) v0.26_NRA_model_for_NEMO2 (EMC Update) v0.29_NRA_model_for_NEMO2 (EMC Update) v0 30 1" xfId="1217" xr:uid="{00000000-0005-0000-0000-00006C040000}"/>
    <cellStyle name="%_NRA_model_for_NEMO2 (EMC Update) v0.21_NRA_model_for_NEMO2 (EMC Update) v0.22_NRA_model_for_NEMO2 (EMC Update) v0.25_NRA_model_for_NEMO2 (EMC Update) v0.26_NRA_model_for_NEMO2 (EMC Update) v0.29_NRA_model_for_NEMO2 (EMC Update) v0.29.2" xfId="1218" xr:uid="{00000000-0005-0000-0000-00006D040000}"/>
    <cellStyle name="%_NRA_model_for_NEMO2 (EMC Update) v0.21_NRA_model_for_NEMO2 (EMC Update) v0.22_NRA_model_for_NEMO2 (EMC Update) v0.25_NRA_model_for_NEMO2 (EMC Update) v0.26_NRA_model_for_NEMO2 (EMC Update) v0.29_NRA_model_for_NEMO2 (EMC Update) v0.29.3" xfId="1219" xr:uid="{00000000-0005-0000-0000-00006E040000}"/>
    <cellStyle name="%_NRA_model_for_NEMO2 (EMC Update) v0.21_NRA_model_for_NEMO2 (EMC Update) v0.22_NRA_model_for_NEMO2 (EMC Update) v0.25_NRA_model_for_NEMO2 (EMC Update) v0.26_NRA_model_for_NEMO2 (EMC Update) v0.29_NRA_model_for_NEMO2 (EMC Update) v0.29.4" xfId="1220" xr:uid="{00000000-0005-0000-0000-00006F040000}"/>
    <cellStyle name="%_NRA_model_for_NEMO2 (EMC Update) v0.21_NRA_model_for_NEMO2 (EMC Update) v0.22_NRA_model_for_NEMO2 (EMC Update) v0.25_NRA_model_for_NEMO2 (EMC Update) v0.26_NRA_model_for_NEMO2 (EMC Update) v0.29_NRA_model_for_NEMO2 (EMC Update) v0.29.5" xfId="1221" xr:uid="{00000000-0005-0000-0000-000070040000}"/>
    <cellStyle name="%_NRA_model_for_NEMO2 (EMC Update) v0.21_NRA_model_for_NEMO2 (EMC Update) v0.22_NRA_model_for_NEMO2 (EMC Update) v0.25_NRA_model_for_NEMO2 (EMC Update) v0.29" xfId="1222" xr:uid="{00000000-0005-0000-0000-000071040000}"/>
    <cellStyle name="%_NRA_model_for_NEMO2 (EMC Update) v0.21_NRA_model_for_NEMO2 (EMC Update) v0.22_NRA_model_for_NEMO2 (EMC Update) v0.25_NRA_model_for_NEMO2 (EMC Update) v0.29.2" xfId="1223" xr:uid="{00000000-0005-0000-0000-000072040000}"/>
    <cellStyle name="%_NRA_model_for_NEMO2 (EMC Update) v0.21_NRA_model_for_NEMO2 (EMC Update) v0.22_NRA_model_for_NEMO2 (EMC Update) v0.25_NRA_model_for_NEMO2 (EMC Update) v0.29.2_NRA_model_for_NEMO2 (EMC Update) v0 30 1" xfId="1224" xr:uid="{00000000-0005-0000-0000-000073040000}"/>
    <cellStyle name="%_NRA_model_for_NEMO2 (EMC Update) v0.21_NRA_model_for_NEMO2 (EMC Update) v0.22_NRA_model_for_NEMO2 (EMC Update) v0.25_NRA_model_for_NEMO2 (EMC Update) v0.29.2_NRA_model_for_NEMO2 (EMC Update) v0.29.3" xfId="1225" xr:uid="{00000000-0005-0000-0000-000074040000}"/>
    <cellStyle name="%_NRA_model_for_NEMO2 (EMC Update) v0.21_NRA_model_for_NEMO2 (EMC Update) v0.22_NRA_model_for_NEMO2 (EMC Update) v0.25_NRA_model_for_NEMO2 (EMC Update) v0.29.2_NRA_model_for_NEMO2 (EMC Update) v0.29.3_NRA_model_for_NEMO2 (EMC Update) v0 30 1" xfId="1226" xr:uid="{00000000-0005-0000-0000-000075040000}"/>
    <cellStyle name="%_NRA_model_for_NEMO2 (EMC Update) v0.21_NRA_model_for_NEMO2 (EMC Update) v0.22_NRA_model_for_NEMO2 (EMC Update) v0.25_NRA_model_for_NEMO2 (EMC Update) v0.29.2_NRA_model_for_NEMO2 (EMC Update) v0.29.3_NRA_model_for_NEMO2 (EMC Update) v0.29.5" xfId="1227" xr:uid="{00000000-0005-0000-0000-000076040000}"/>
    <cellStyle name="%_NRA_model_for_NEMO2 (EMC Update) v0.21_NRA_model_for_NEMO2 (EMC Update) v0.22_NRA_model_for_NEMO2 (EMC Update) v0.25_NRA_model_for_NEMO2 (EMC Update) v0.29.2_NRA_model_for_NEMO2 (EMC Update) v0.29.4" xfId="1228" xr:uid="{00000000-0005-0000-0000-000077040000}"/>
    <cellStyle name="%_NRA_model_for_NEMO2 (EMC Update) v0.21_NRA_model_for_NEMO2 (EMC Update) v0.22_NRA_model_for_NEMO2 (EMC Update) v0.25_NRA_model_for_NEMO2 (EMC Update) v0.29.2_NRA_model_for_NEMO2 (EMC Update) v0.29.4_NRA_model_for_NEMO2 (EMC Update) v0 30 1" xfId="1229" xr:uid="{00000000-0005-0000-0000-000078040000}"/>
    <cellStyle name="%_NRA_model_for_NEMO2 (EMC Update) v0.21_NRA_model_for_NEMO2 (EMC Update) v0.22_NRA_model_for_NEMO2 (EMC Update) v0.25_NRA_model_for_NEMO2 (EMC Update) v0.29.2_NRA_model_for_NEMO2 (EMC Update) v0.29.4_NRA_model_for_NEMO2 (EMC Update) v0.29.5" xfId="1230" xr:uid="{00000000-0005-0000-0000-000079040000}"/>
    <cellStyle name="%_NRA_model_for_NEMO2 (EMC Update) v0.21_NRA_model_for_NEMO2 (EMC Update) v0.22_NRA_model_for_NEMO2 (EMC Update) v0.25_NRA_model_for_NEMO2 (EMC Update) v0.29.2_NRA_model_for_NEMO2 (EMC Update) v0.29.5" xfId="1231" xr:uid="{00000000-0005-0000-0000-00007A040000}"/>
    <cellStyle name="%_NRA_model_for_NEMO2 (EMC Update) v0.21_NRA_model_for_NEMO2 (EMC Update) v0.22_NRA_model_for_NEMO2 (EMC Update) v0.25_NRA_model_for_NEMO2 (EMC Update) v0.29.2_NRA_model_for_NEMO2 (EMC Update) v0.29.5_NRA_model_for_NEMO2 (EMC Update) v0 30 1" xfId="1232" xr:uid="{00000000-0005-0000-0000-00007B040000}"/>
    <cellStyle name="%_NRA_model_for_NEMO2 (EMC Update) v0.21_NRA_model_for_NEMO2 (EMC Update) v0.22_NRA_model_for_NEMO2 (EMC Update) v0.25_NRA_model_for_NEMO2 (EMC Update) v0.29.3" xfId="1233" xr:uid="{00000000-0005-0000-0000-00007C040000}"/>
    <cellStyle name="%_NRA_model_for_NEMO2 (EMC Update) v0.21_NRA_model_for_NEMO2 (EMC Update) v0.22_NRA_model_for_NEMO2 (EMC Update) v0.25_NRA_model_for_NEMO2 (EMC Update) v0.29.3_NRA_model_for_NEMO2 (EMC Update) v0 30 1" xfId="1234" xr:uid="{00000000-0005-0000-0000-00007D040000}"/>
    <cellStyle name="%_NRA_model_for_NEMO2 (EMC Update) v0.21_NRA_model_for_NEMO2 (EMC Update) v0.22_NRA_model_for_NEMO2 (EMC Update) v0.25_NRA_model_for_NEMO2 (EMC Update) v0.29.3_NRA_model_for_NEMO2 (EMC Update) v0.29.5" xfId="1235" xr:uid="{00000000-0005-0000-0000-00007E040000}"/>
    <cellStyle name="%_NRA_model_for_NEMO2 (EMC Update) v0.21_NRA_model_for_NEMO2 (EMC Update) v0.22_NRA_model_for_NEMO2 (EMC Update) v0.25_NRA_model_for_NEMO2 (EMC Update) v0.29.3_NRA_model_for_NEMO2 (EMC Update) v0.29.5_NRA_model_for_NEMO2 (EMC Update) v0 30 1" xfId="1236" xr:uid="{00000000-0005-0000-0000-00007F040000}"/>
    <cellStyle name="%_NRA_model_for_NEMO2 (EMC Update) v0.21_NRA_model_for_NEMO2 (EMC Update) v0.22_NRA_model_for_NEMO2 (EMC Update) v0.25_NRA_model_for_NEMO2 (EMC Update) v0.29.4" xfId="1237" xr:uid="{00000000-0005-0000-0000-000080040000}"/>
    <cellStyle name="%_NRA_model_for_NEMO2 (EMC Update) v0.21_NRA_model_for_NEMO2 (EMC Update) v0.22_NRA_model_for_NEMO2 (EMC Update) v0.25_NRA_model_for_NEMO2 (EMC Update) v0.29.4_NRA_model_for_NEMO2 (EMC Update) v0 30 1" xfId="1238" xr:uid="{00000000-0005-0000-0000-000081040000}"/>
    <cellStyle name="%_NRA_model_for_NEMO2 (EMC Update) v0.21_NRA_model_for_NEMO2 (EMC Update) v0.22_NRA_model_for_NEMO2 (EMC Update) v0.25_NRA_model_for_NEMO2 (EMC Update) v0.29.4_NRA_model_for_NEMO2 (EMC Update) v0.29.5" xfId="1239" xr:uid="{00000000-0005-0000-0000-000082040000}"/>
    <cellStyle name="%_NRA_model_for_NEMO2 (EMC Update) v0.21_NRA_model_for_NEMO2 (EMC Update) v0.22_NRA_model_for_NEMO2 (EMC Update) v0.25_NRA_model_for_NEMO2 (EMC Update) v0.29.4_NRA_model_for_NEMO2 (EMC Update) v0.29.5_NRA_model_for_NEMO2 (EMC Update) v0 30 1" xfId="1240" xr:uid="{00000000-0005-0000-0000-000083040000}"/>
    <cellStyle name="%_NRA_model_for_NEMO2 (EMC Update) v0.21_NRA_model_for_NEMO2 (EMC Update) v0.22_NRA_model_for_NEMO2 (EMC Update) v0.25_NRA_model_for_NEMO2 (EMC Update) v0.29.5" xfId="1241" xr:uid="{00000000-0005-0000-0000-000084040000}"/>
    <cellStyle name="%_NRA_model_for_NEMO2 (EMC Update) v0.21_NRA_model_for_NEMO2 (EMC Update) v0.22_NRA_model_for_NEMO2 (EMC Update) v0.25_NRA_model_for_NEMO2 (EMC Update) v0.29.5_NRA_model_for_NEMO2 (EMC Update) v0 30 1" xfId="1242" xr:uid="{00000000-0005-0000-0000-000085040000}"/>
    <cellStyle name="%_NRA_model_for_NEMO2 (EMC Update) v0.21_NRA_model_for_NEMO2 (EMC Update) v0.22_NRA_model_for_NEMO2 (EMC Update) v0.25_NRA_model_for_NEMO2 (EMC Update) v0.29_NRA_model_for_NEMO2 (EMC Update) v0 30 1" xfId="1243" xr:uid="{00000000-0005-0000-0000-000086040000}"/>
    <cellStyle name="%_NRA_model_for_NEMO2 (EMC Update) v0.21_NRA_model_for_NEMO2 (EMC Update) v0.22_NRA_model_for_NEMO2 (EMC Update) v0.25_NRA_model_for_NEMO2 (EMC Update) v0.29_NRA_model_for_NEMO2 (EMC Update) v0.29.2" xfId="1244" xr:uid="{00000000-0005-0000-0000-000087040000}"/>
    <cellStyle name="%_NRA_model_for_NEMO2 (EMC Update) v0.21_NRA_model_for_NEMO2 (EMC Update) v0.22_NRA_model_for_NEMO2 (EMC Update) v0.25_NRA_model_for_NEMO2 (EMC Update) v0.29_NRA_model_for_NEMO2 (EMC Update) v0.29.2_NRA_model_for_NEMO2 (EMC Update) v0 30 1" xfId="1245" xr:uid="{00000000-0005-0000-0000-000088040000}"/>
    <cellStyle name="%_NRA_model_for_NEMO2 (EMC Update) v0.21_NRA_model_for_NEMO2 (EMC Update) v0.22_NRA_model_for_NEMO2 (EMC Update) v0.25_NRA_model_for_NEMO2 (EMC Update) v0.29_NRA_model_for_NEMO2 (EMC Update) v0.29.2_NRA_model_for_NEMO2 (EMC Update) v0.29.3" xfId="1246" xr:uid="{00000000-0005-0000-0000-000089040000}"/>
    <cellStyle name="%_NRA_model_for_NEMO2 (EMC Update) v0.21_NRA_model_for_NEMO2 (EMC Update) v0.22_NRA_model_for_NEMO2 (EMC Update) v0.25_NRA_model_for_NEMO2 (EMC Update) v0.29_NRA_model_for_NEMO2 (EMC Update) v0.29.2_NRA_model_for_NEMO2 (EMC Update) v0.29.4" xfId="1247" xr:uid="{00000000-0005-0000-0000-00008A040000}"/>
    <cellStyle name="%_NRA_model_for_NEMO2 (EMC Update) v0.21_NRA_model_for_NEMO2 (EMC Update) v0.22_NRA_model_for_NEMO2 (EMC Update) v0.25_NRA_model_for_NEMO2 (EMC Update) v0.29_NRA_model_for_NEMO2 (EMC Update) v0.29.2_NRA_model_for_NEMO2 (EMC Update) v0.29.5" xfId="1248" xr:uid="{00000000-0005-0000-0000-00008B040000}"/>
    <cellStyle name="%_NRA_model_for_NEMO2 (EMC Update) v0.21_NRA_model_for_NEMO2 (EMC Update) v0.22_NRA_model_for_NEMO2 (EMC Update) v0.25_NRA_model_for_NEMO2 (EMC Update) v0.29_NRA_model_for_NEMO2 (EMC Update) v0.29.3" xfId="1249" xr:uid="{00000000-0005-0000-0000-00008C040000}"/>
    <cellStyle name="%_NRA_model_for_NEMO2 (EMC Update) v0.21_NRA_model_for_NEMO2 (EMC Update) v0.22_NRA_model_for_NEMO2 (EMC Update) v0.25_NRA_model_for_NEMO2 (EMC Update) v0.29_NRA_model_for_NEMO2 (EMC Update) v0.29.3_NRA_model_for_NEMO2 (EMC Update) v0 30 1" xfId="1250" xr:uid="{00000000-0005-0000-0000-00008D040000}"/>
    <cellStyle name="%_NRA_model_for_NEMO2 (EMC Update) v0.21_NRA_model_for_NEMO2 (EMC Update) v0.22_NRA_model_for_NEMO2 (EMC Update) v0.25_NRA_model_for_NEMO2 (EMC Update) v0.29_NRA_model_for_NEMO2 (EMC Update) v0.29.3_NRA_model_for_NEMO2 (EMC Update) v0.29.5" xfId="1251" xr:uid="{00000000-0005-0000-0000-00008E040000}"/>
    <cellStyle name="%_NRA_model_for_NEMO2 (EMC Update) v0.21_NRA_model_for_NEMO2 (EMC Update) v0.22_NRA_model_for_NEMO2 (EMC Update) v0.25_NRA_model_for_NEMO2 (EMC Update) v0.29_NRA_model_for_NEMO2 (EMC Update) v0.29.4" xfId="1252" xr:uid="{00000000-0005-0000-0000-00008F040000}"/>
    <cellStyle name="%_NRA_model_for_NEMO2 (EMC Update) v0.21_NRA_model_for_NEMO2 (EMC Update) v0.22_NRA_model_for_NEMO2 (EMC Update) v0.25_NRA_model_for_NEMO2 (EMC Update) v0.29_NRA_model_for_NEMO2 (EMC Update) v0.29.4_NRA_model_for_NEMO2 (EMC Update) v0 30 1" xfId="1253" xr:uid="{00000000-0005-0000-0000-000090040000}"/>
    <cellStyle name="%_NRA_model_for_NEMO2 (EMC Update) v0.21_NRA_model_for_NEMO2 (EMC Update) v0.22_NRA_model_for_NEMO2 (EMC Update) v0.25_NRA_model_for_NEMO2 (EMC Update) v0.29_NRA_model_for_NEMO2 (EMC Update) v0.29.4_NRA_model_for_NEMO2 (EMC Update) v0.29.5" xfId="1254" xr:uid="{00000000-0005-0000-0000-000091040000}"/>
    <cellStyle name="%_NRA_model_for_NEMO2 (EMC Update) v0.21_NRA_model_for_NEMO2 (EMC Update) v0.22_NRA_model_for_NEMO2 (EMC Update) v0.25_NRA_model_for_NEMO2 (EMC Update) v0.29_NRA_model_for_NEMO2 (EMC Update) v0.29.5" xfId="1255" xr:uid="{00000000-0005-0000-0000-000092040000}"/>
    <cellStyle name="%_NRA_model_for_NEMO2 (EMC Update) v0.21_NRA_model_for_NEMO2 (EMC Update) v0.22_NRA_model_for_NEMO2 (EMC Update) v0.25_NRA_model_for_NEMO2 (EMC Update) v0.29_NRA_model_for_NEMO2 (EMC Update) v0.29.5_NRA_model_for_NEMO2 (EMC Update) v0 30 1" xfId="1256" xr:uid="{00000000-0005-0000-0000-000093040000}"/>
    <cellStyle name="%_NRA_model_for_NEMO2 (EMC Update) v0.21_NRA_model_for_NEMO2 (EMC Update) v0.22_NRA_model_for_NEMO2 (EMC Update) v0.26" xfId="1257" xr:uid="{00000000-0005-0000-0000-000094040000}"/>
    <cellStyle name="%_NRA_model_for_NEMO2 (EMC Update) v0.21_NRA_model_for_NEMO2 (EMC Update) v0.22_NRA_model_for_NEMO2 (EMC Update) v0.26_NRA_model_for_NEMO2 (EMC Update) v0 30 1" xfId="1258" xr:uid="{00000000-0005-0000-0000-000095040000}"/>
    <cellStyle name="%_NRA_model_for_NEMO2 (EMC Update) v0.21_NRA_model_for_NEMO2 (EMC Update) v0.22_NRA_model_for_NEMO2 (EMC Update) v0.26_NRA_model_for_NEMO2 (EMC Update) v0.29" xfId="1259" xr:uid="{00000000-0005-0000-0000-000096040000}"/>
    <cellStyle name="%_NRA_model_for_NEMO2 (EMC Update) v0.21_NRA_model_for_NEMO2 (EMC Update) v0.22_NRA_model_for_NEMO2 (EMC Update) v0.26_NRA_model_for_NEMO2 (EMC Update) v0.29.2" xfId="1260" xr:uid="{00000000-0005-0000-0000-000097040000}"/>
    <cellStyle name="%_NRA_model_for_NEMO2 (EMC Update) v0.21_NRA_model_for_NEMO2 (EMC Update) v0.22_NRA_model_for_NEMO2 (EMC Update) v0.26_NRA_model_for_NEMO2 (EMC Update) v0.29.2_NRA_model_for_NEMO2 (EMC Update) v0 30 1" xfId="1261" xr:uid="{00000000-0005-0000-0000-000098040000}"/>
    <cellStyle name="%_NRA_model_for_NEMO2 (EMC Update) v0.21_NRA_model_for_NEMO2 (EMC Update) v0.22_NRA_model_for_NEMO2 (EMC Update) v0.26_NRA_model_for_NEMO2 (EMC Update) v0.29.2_NRA_model_for_NEMO2 (EMC Update) v0.29.3" xfId="1262" xr:uid="{00000000-0005-0000-0000-000099040000}"/>
    <cellStyle name="%_NRA_model_for_NEMO2 (EMC Update) v0.21_NRA_model_for_NEMO2 (EMC Update) v0.22_NRA_model_for_NEMO2 (EMC Update) v0.26_NRA_model_for_NEMO2 (EMC Update) v0.29.2_NRA_model_for_NEMO2 (EMC Update) v0.29.3_NRA_model_for_NEMO2 (EMC Update) v0 30 1" xfId="1263" xr:uid="{00000000-0005-0000-0000-00009A040000}"/>
    <cellStyle name="%_NRA_model_for_NEMO2 (EMC Update) v0.21_NRA_model_for_NEMO2 (EMC Update) v0.22_NRA_model_for_NEMO2 (EMC Update) v0.26_NRA_model_for_NEMO2 (EMC Update) v0.29.2_NRA_model_for_NEMO2 (EMC Update) v0.29.3_NRA_model_for_NEMO2 (EMC Update) v0.29.5" xfId="1264" xr:uid="{00000000-0005-0000-0000-00009B040000}"/>
    <cellStyle name="%_NRA_model_for_NEMO2 (EMC Update) v0.21_NRA_model_for_NEMO2 (EMC Update) v0.22_NRA_model_for_NEMO2 (EMC Update) v0.26_NRA_model_for_NEMO2 (EMC Update) v0.29.2_NRA_model_for_NEMO2 (EMC Update) v0.29.4" xfId="1265" xr:uid="{00000000-0005-0000-0000-00009C040000}"/>
    <cellStyle name="%_NRA_model_for_NEMO2 (EMC Update) v0.21_NRA_model_for_NEMO2 (EMC Update) v0.22_NRA_model_for_NEMO2 (EMC Update) v0.26_NRA_model_for_NEMO2 (EMC Update) v0.29.2_NRA_model_for_NEMO2 (EMC Update) v0.29.4_NRA_model_for_NEMO2 (EMC Update) v0 30 1" xfId="1266" xr:uid="{00000000-0005-0000-0000-00009D040000}"/>
    <cellStyle name="%_NRA_model_for_NEMO2 (EMC Update) v0.21_NRA_model_for_NEMO2 (EMC Update) v0.22_NRA_model_for_NEMO2 (EMC Update) v0.26_NRA_model_for_NEMO2 (EMC Update) v0.29.2_NRA_model_for_NEMO2 (EMC Update) v0.29.4_NRA_model_for_NEMO2 (EMC Update) v0.29.5" xfId="1267" xr:uid="{00000000-0005-0000-0000-00009E040000}"/>
    <cellStyle name="%_NRA_model_for_NEMO2 (EMC Update) v0.21_NRA_model_for_NEMO2 (EMC Update) v0.22_NRA_model_for_NEMO2 (EMC Update) v0.26_NRA_model_for_NEMO2 (EMC Update) v0.29.2_NRA_model_for_NEMO2 (EMC Update) v0.29.5" xfId="1268" xr:uid="{00000000-0005-0000-0000-00009F040000}"/>
    <cellStyle name="%_NRA_model_for_NEMO2 (EMC Update) v0.21_NRA_model_for_NEMO2 (EMC Update) v0.22_NRA_model_for_NEMO2 (EMC Update) v0.26_NRA_model_for_NEMO2 (EMC Update) v0.29.2_NRA_model_for_NEMO2 (EMC Update) v0.29.5_NRA_model_for_NEMO2 (EMC Update) v0 30 1" xfId="1269" xr:uid="{00000000-0005-0000-0000-0000A0040000}"/>
    <cellStyle name="%_NRA_model_for_NEMO2 (EMC Update) v0.21_NRA_model_for_NEMO2 (EMC Update) v0.22_NRA_model_for_NEMO2 (EMC Update) v0.26_NRA_model_for_NEMO2 (EMC Update) v0.29.3" xfId="1270" xr:uid="{00000000-0005-0000-0000-0000A1040000}"/>
    <cellStyle name="%_NRA_model_for_NEMO2 (EMC Update) v0.21_NRA_model_for_NEMO2 (EMC Update) v0.22_NRA_model_for_NEMO2 (EMC Update) v0.26_NRA_model_for_NEMO2 (EMC Update) v0.29.3_NRA_model_for_NEMO2 (EMC Update) v0 30 1" xfId="1271" xr:uid="{00000000-0005-0000-0000-0000A2040000}"/>
    <cellStyle name="%_NRA_model_for_NEMO2 (EMC Update) v0.21_NRA_model_for_NEMO2 (EMC Update) v0.22_NRA_model_for_NEMO2 (EMC Update) v0.26_NRA_model_for_NEMO2 (EMC Update) v0.29.3_NRA_model_for_NEMO2 (EMC Update) v0.29.5" xfId="1272" xr:uid="{00000000-0005-0000-0000-0000A3040000}"/>
    <cellStyle name="%_NRA_model_for_NEMO2 (EMC Update) v0.21_NRA_model_for_NEMO2 (EMC Update) v0.22_NRA_model_for_NEMO2 (EMC Update) v0.26_NRA_model_for_NEMO2 (EMC Update) v0.29.3_NRA_model_for_NEMO2 (EMC Update) v0.29.5_NRA_model_for_NEMO2 (EMC Update) v0 30 1" xfId="1273" xr:uid="{00000000-0005-0000-0000-0000A4040000}"/>
    <cellStyle name="%_NRA_model_for_NEMO2 (EMC Update) v0.21_NRA_model_for_NEMO2 (EMC Update) v0.22_NRA_model_for_NEMO2 (EMC Update) v0.26_NRA_model_for_NEMO2 (EMC Update) v0.29.4" xfId="1274" xr:uid="{00000000-0005-0000-0000-0000A5040000}"/>
    <cellStyle name="%_NRA_model_for_NEMO2 (EMC Update) v0.21_NRA_model_for_NEMO2 (EMC Update) v0.22_NRA_model_for_NEMO2 (EMC Update) v0.26_NRA_model_for_NEMO2 (EMC Update) v0.29.4_NRA_model_for_NEMO2 (EMC Update) v0 30 1" xfId="1275" xr:uid="{00000000-0005-0000-0000-0000A6040000}"/>
    <cellStyle name="%_NRA_model_for_NEMO2 (EMC Update) v0.21_NRA_model_for_NEMO2 (EMC Update) v0.22_NRA_model_for_NEMO2 (EMC Update) v0.26_NRA_model_for_NEMO2 (EMC Update) v0.29.4_NRA_model_for_NEMO2 (EMC Update) v0.29.5" xfId="1276" xr:uid="{00000000-0005-0000-0000-0000A7040000}"/>
    <cellStyle name="%_NRA_model_for_NEMO2 (EMC Update) v0.21_NRA_model_for_NEMO2 (EMC Update) v0.22_NRA_model_for_NEMO2 (EMC Update) v0.26_NRA_model_for_NEMO2 (EMC Update) v0.29.4_NRA_model_for_NEMO2 (EMC Update) v0.29.5_NRA_model_for_NEMO2 (EMC Update) v0 30 1" xfId="1277" xr:uid="{00000000-0005-0000-0000-0000A8040000}"/>
    <cellStyle name="%_NRA_model_for_NEMO2 (EMC Update) v0.21_NRA_model_for_NEMO2 (EMC Update) v0.22_NRA_model_for_NEMO2 (EMC Update) v0.26_NRA_model_for_NEMO2 (EMC Update) v0.29.5" xfId="1278" xr:uid="{00000000-0005-0000-0000-0000A9040000}"/>
    <cellStyle name="%_NRA_model_for_NEMO2 (EMC Update) v0.21_NRA_model_for_NEMO2 (EMC Update) v0.22_NRA_model_for_NEMO2 (EMC Update) v0.26_NRA_model_for_NEMO2 (EMC Update) v0.29.5_NRA_model_for_NEMO2 (EMC Update) v0 30 1" xfId="1279" xr:uid="{00000000-0005-0000-0000-0000AA040000}"/>
    <cellStyle name="%_NRA_model_for_NEMO2 (EMC Update) v0.21_NRA_model_for_NEMO2 (EMC Update) v0.22_NRA_model_for_NEMO2 (EMC Update) v0.26_NRA_model_for_NEMO2 (EMC Update) v0.29_NRA_model_for_NEMO2 (EMC Update) v0 30 1" xfId="1280" xr:uid="{00000000-0005-0000-0000-0000AB040000}"/>
    <cellStyle name="%_NRA_model_for_NEMO2 (EMC Update) v0.21_NRA_model_for_NEMO2 (EMC Update) v0.22_NRA_model_for_NEMO2 (EMC Update) v0.26_NRA_model_for_NEMO2 (EMC Update) v0.29_NRA_model_for_NEMO2 (EMC Update) v0.29.2" xfId="1281" xr:uid="{00000000-0005-0000-0000-0000AC040000}"/>
    <cellStyle name="%_NRA_model_for_NEMO2 (EMC Update) v0.21_NRA_model_for_NEMO2 (EMC Update) v0.22_NRA_model_for_NEMO2 (EMC Update) v0.26_NRA_model_for_NEMO2 (EMC Update) v0.29_NRA_model_for_NEMO2 (EMC Update) v0.29.2_NRA_model_for_NEMO2 (EMC Update) v0 30 1" xfId="1282" xr:uid="{00000000-0005-0000-0000-0000AD040000}"/>
    <cellStyle name="%_NRA_model_for_NEMO2 (EMC Update) v0.21_NRA_model_for_NEMO2 (EMC Update) v0.22_NRA_model_for_NEMO2 (EMC Update) v0.26_NRA_model_for_NEMO2 (EMC Update) v0.29_NRA_model_for_NEMO2 (EMC Update) v0.29.2_NRA_model_for_NEMO2 (EMC Update) v0.29.3" xfId="1283" xr:uid="{00000000-0005-0000-0000-0000AE040000}"/>
    <cellStyle name="%_NRA_model_for_NEMO2 (EMC Update) v0.21_NRA_model_for_NEMO2 (EMC Update) v0.22_NRA_model_for_NEMO2 (EMC Update) v0.26_NRA_model_for_NEMO2 (EMC Update) v0.29_NRA_model_for_NEMO2 (EMC Update) v0.29.2_NRA_model_for_NEMO2 (EMC Update) v0.29.4" xfId="1284" xr:uid="{00000000-0005-0000-0000-0000AF040000}"/>
    <cellStyle name="%_NRA_model_for_NEMO2 (EMC Update) v0.21_NRA_model_for_NEMO2 (EMC Update) v0.22_NRA_model_for_NEMO2 (EMC Update) v0.26_NRA_model_for_NEMO2 (EMC Update) v0.29_NRA_model_for_NEMO2 (EMC Update) v0.29.2_NRA_model_for_NEMO2 (EMC Update) v0.29.5" xfId="1285" xr:uid="{00000000-0005-0000-0000-0000B0040000}"/>
    <cellStyle name="%_NRA_model_for_NEMO2 (EMC Update) v0.21_NRA_model_for_NEMO2 (EMC Update) v0.22_NRA_model_for_NEMO2 (EMC Update) v0.26_NRA_model_for_NEMO2 (EMC Update) v0.29_NRA_model_for_NEMO2 (EMC Update) v0.29.3" xfId="1286" xr:uid="{00000000-0005-0000-0000-0000B1040000}"/>
    <cellStyle name="%_NRA_model_for_NEMO2 (EMC Update) v0.21_NRA_model_for_NEMO2 (EMC Update) v0.22_NRA_model_for_NEMO2 (EMC Update) v0.26_NRA_model_for_NEMO2 (EMC Update) v0.29_NRA_model_for_NEMO2 (EMC Update) v0.29.3_NRA_model_for_NEMO2 (EMC Update) v0 30 1" xfId="1287" xr:uid="{00000000-0005-0000-0000-0000B2040000}"/>
    <cellStyle name="%_NRA_model_for_NEMO2 (EMC Update) v0.21_NRA_model_for_NEMO2 (EMC Update) v0.22_NRA_model_for_NEMO2 (EMC Update) v0.26_NRA_model_for_NEMO2 (EMC Update) v0.29_NRA_model_for_NEMO2 (EMC Update) v0.29.3_NRA_model_for_NEMO2 (EMC Update) v0.29.5" xfId="1288" xr:uid="{00000000-0005-0000-0000-0000B3040000}"/>
    <cellStyle name="%_NRA_model_for_NEMO2 (EMC Update) v0.21_NRA_model_for_NEMO2 (EMC Update) v0.22_NRA_model_for_NEMO2 (EMC Update) v0.26_NRA_model_for_NEMO2 (EMC Update) v0.29_NRA_model_for_NEMO2 (EMC Update) v0.29.4" xfId="1289" xr:uid="{00000000-0005-0000-0000-0000B4040000}"/>
    <cellStyle name="%_NRA_model_for_NEMO2 (EMC Update) v0.21_NRA_model_for_NEMO2 (EMC Update) v0.22_NRA_model_for_NEMO2 (EMC Update) v0.26_NRA_model_for_NEMO2 (EMC Update) v0.29_NRA_model_for_NEMO2 (EMC Update) v0.29.4_NRA_model_for_NEMO2 (EMC Update) v0 30 1" xfId="1290" xr:uid="{00000000-0005-0000-0000-0000B5040000}"/>
    <cellStyle name="%_NRA_model_for_NEMO2 (EMC Update) v0.21_NRA_model_for_NEMO2 (EMC Update) v0.22_NRA_model_for_NEMO2 (EMC Update) v0.26_NRA_model_for_NEMO2 (EMC Update) v0.29_NRA_model_for_NEMO2 (EMC Update) v0.29.4_NRA_model_for_NEMO2 (EMC Update) v0.29.5" xfId="1291" xr:uid="{00000000-0005-0000-0000-0000B6040000}"/>
    <cellStyle name="%_NRA_model_for_NEMO2 (EMC Update) v0.21_NRA_model_for_NEMO2 (EMC Update) v0.22_NRA_model_for_NEMO2 (EMC Update) v0.26_NRA_model_for_NEMO2 (EMC Update) v0.29_NRA_model_for_NEMO2 (EMC Update) v0.29.5" xfId="1292" xr:uid="{00000000-0005-0000-0000-0000B7040000}"/>
    <cellStyle name="%_NRA_model_for_NEMO2 (EMC Update) v0.21_NRA_model_for_NEMO2 (EMC Update) v0.22_NRA_model_for_NEMO2 (EMC Update) v0.26_NRA_model_for_NEMO2 (EMC Update) v0.29_NRA_model_for_NEMO2 (EMC Update) v0.29.5_NRA_model_for_NEMO2 (EMC Update) v0 30 1" xfId="1293" xr:uid="{00000000-0005-0000-0000-0000B8040000}"/>
    <cellStyle name="%_NRA_model_for_NEMO2 (EMC Update) v0.21_NRA_model_for_NEMO2 (EMC Update) v0.22_NRA_model_for_NEMO2 (EMC Update) v0.29" xfId="1294" xr:uid="{00000000-0005-0000-0000-0000B9040000}"/>
    <cellStyle name="%_NRA_model_for_NEMO2 (EMC Update) v0.21_NRA_model_for_NEMO2 (EMC Update) v0.22_NRA_model_for_NEMO2 (EMC Update) v0.29.2" xfId="1295" xr:uid="{00000000-0005-0000-0000-0000BA040000}"/>
    <cellStyle name="%_NRA_model_for_NEMO2 (EMC Update) v0.21_NRA_model_for_NEMO2 (EMC Update) v0.22_NRA_model_for_NEMO2 (EMC Update) v0.29.2_NRA_model_for_NEMO2 (EMC Update) v0 30 1" xfId="1296" xr:uid="{00000000-0005-0000-0000-0000BB040000}"/>
    <cellStyle name="%_NRA_model_for_NEMO2 (EMC Update) v0.21_NRA_model_for_NEMO2 (EMC Update) v0.22_NRA_model_for_NEMO2 (EMC Update) v0.29.2_NRA_model_for_NEMO2 (EMC Update) v0.29.3" xfId="1297" xr:uid="{00000000-0005-0000-0000-0000BC040000}"/>
    <cellStyle name="%_NRA_model_for_NEMO2 (EMC Update) v0.21_NRA_model_for_NEMO2 (EMC Update) v0.22_NRA_model_for_NEMO2 (EMC Update) v0.29.2_NRA_model_for_NEMO2 (EMC Update) v0.29.3_NRA_model_for_NEMO2 (EMC Update) v0 30 1" xfId="1298" xr:uid="{00000000-0005-0000-0000-0000BD040000}"/>
    <cellStyle name="%_NRA_model_for_NEMO2 (EMC Update) v0.21_NRA_model_for_NEMO2 (EMC Update) v0.22_NRA_model_for_NEMO2 (EMC Update) v0.29.2_NRA_model_for_NEMO2 (EMC Update) v0.29.3_NRA_model_for_NEMO2 (EMC Update) v0.29.5" xfId="1299" xr:uid="{00000000-0005-0000-0000-0000BE040000}"/>
    <cellStyle name="%_NRA_model_for_NEMO2 (EMC Update) v0.21_NRA_model_for_NEMO2 (EMC Update) v0.22_NRA_model_for_NEMO2 (EMC Update) v0.29.2_NRA_model_for_NEMO2 (EMC Update) v0.29.3_NRA_model_for_NEMO2 (EMC Update) v0.29.5_NRA_model_for_NEMO2 (EMC Update) v0 30 1" xfId="1300" xr:uid="{00000000-0005-0000-0000-0000BF040000}"/>
    <cellStyle name="%_NRA_model_for_NEMO2 (EMC Update) v0.21_NRA_model_for_NEMO2 (EMC Update) v0.22_NRA_model_for_NEMO2 (EMC Update) v0.29.2_NRA_model_for_NEMO2 (EMC Update) v0.29.4" xfId="1301" xr:uid="{00000000-0005-0000-0000-0000C0040000}"/>
    <cellStyle name="%_NRA_model_for_NEMO2 (EMC Update) v0.21_NRA_model_for_NEMO2 (EMC Update) v0.22_NRA_model_for_NEMO2 (EMC Update) v0.29.2_NRA_model_for_NEMO2 (EMC Update) v0.29.4_NRA_model_for_NEMO2 (EMC Update) v0 30 1" xfId="1302" xr:uid="{00000000-0005-0000-0000-0000C1040000}"/>
    <cellStyle name="%_NRA_model_for_NEMO2 (EMC Update) v0.21_NRA_model_for_NEMO2 (EMC Update) v0.22_NRA_model_for_NEMO2 (EMC Update) v0.29.2_NRA_model_for_NEMO2 (EMC Update) v0.29.4_NRA_model_for_NEMO2 (EMC Update) v0.29.5" xfId="1303" xr:uid="{00000000-0005-0000-0000-0000C2040000}"/>
    <cellStyle name="%_NRA_model_for_NEMO2 (EMC Update) v0.21_NRA_model_for_NEMO2 (EMC Update) v0.22_NRA_model_for_NEMO2 (EMC Update) v0.29.2_NRA_model_for_NEMO2 (EMC Update) v0.29.4_NRA_model_for_NEMO2 (EMC Update) v0.29.5_NRA_model_for_NEMO2 (EMC Update) v0 30 1" xfId="1304" xr:uid="{00000000-0005-0000-0000-0000C3040000}"/>
    <cellStyle name="%_NRA_model_for_NEMO2 (EMC Update) v0.21_NRA_model_for_NEMO2 (EMC Update) v0.22_NRA_model_for_NEMO2 (EMC Update) v0.29.2_NRA_model_for_NEMO2 (EMC Update) v0.29.5" xfId="1305" xr:uid="{00000000-0005-0000-0000-0000C4040000}"/>
    <cellStyle name="%_NRA_model_for_NEMO2 (EMC Update) v0.21_NRA_model_for_NEMO2 (EMC Update) v0.22_NRA_model_for_NEMO2 (EMC Update) v0.29.2_NRA_model_for_NEMO2 (EMC Update) v0.29.5_NRA_model_for_NEMO2 (EMC Update) v0 30 1" xfId="1306" xr:uid="{00000000-0005-0000-0000-0000C5040000}"/>
    <cellStyle name="%_NRA_model_for_NEMO2 (EMC Update) v0.21_NRA_model_for_NEMO2 (EMC Update) v0.22_NRA_model_for_NEMO2 (EMC Update) v0.29.3" xfId="1307" xr:uid="{00000000-0005-0000-0000-0000C6040000}"/>
    <cellStyle name="%_NRA_model_for_NEMO2 (EMC Update) v0.21_NRA_model_for_NEMO2 (EMC Update) v0.22_NRA_model_for_NEMO2 (EMC Update) v0.29.3_NRA_model_for_NEMO2 (EMC Update) v0 30 1" xfId="1308" xr:uid="{00000000-0005-0000-0000-0000C7040000}"/>
    <cellStyle name="%_NRA_model_for_NEMO2 (EMC Update) v0.21_NRA_model_for_NEMO2 (EMC Update) v0.22_NRA_model_for_NEMO2 (EMC Update) v0.29.3_NRA_model_for_NEMO2 (EMC Update) v0.29.5" xfId="1309" xr:uid="{00000000-0005-0000-0000-0000C8040000}"/>
    <cellStyle name="%_NRA_model_for_NEMO2 (EMC Update) v0.21_NRA_model_for_NEMO2 (EMC Update) v0.22_NRA_model_for_NEMO2 (EMC Update) v0.29.3_NRA_model_for_NEMO2 (EMC Update) v0.29.5_NRA_model_for_NEMO2 (EMC Update) v0 30 1" xfId="1310" xr:uid="{00000000-0005-0000-0000-0000C9040000}"/>
    <cellStyle name="%_NRA_model_for_NEMO2 (EMC Update) v0.21_NRA_model_for_NEMO2 (EMC Update) v0.22_NRA_model_for_NEMO2 (EMC Update) v0.29.4" xfId="1311" xr:uid="{00000000-0005-0000-0000-0000CA040000}"/>
    <cellStyle name="%_NRA_model_for_NEMO2 (EMC Update) v0.21_NRA_model_for_NEMO2 (EMC Update) v0.22_NRA_model_for_NEMO2 (EMC Update) v0.29.4_NRA_model_for_NEMO2 (EMC Update) v0 30 1" xfId="1312" xr:uid="{00000000-0005-0000-0000-0000CB040000}"/>
    <cellStyle name="%_NRA_model_for_NEMO2 (EMC Update) v0.21_NRA_model_for_NEMO2 (EMC Update) v0.22_NRA_model_for_NEMO2 (EMC Update) v0.29.4_NRA_model_for_NEMO2 (EMC Update) v0.29.5" xfId="1313" xr:uid="{00000000-0005-0000-0000-0000CC040000}"/>
    <cellStyle name="%_NRA_model_for_NEMO2 (EMC Update) v0.21_NRA_model_for_NEMO2 (EMC Update) v0.22_NRA_model_for_NEMO2 (EMC Update) v0.29.4_NRA_model_for_NEMO2 (EMC Update) v0.29.5_NRA_model_for_NEMO2 (EMC Update) v0 30 1" xfId="1314" xr:uid="{00000000-0005-0000-0000-0000CD040000}"/>
    <cellStyle name="%_NRA_model_for_NEMO2 (EMC Update) v0.21_NRA_model_for_NEMO2 (EMC Update) v0.22_NRA_model_for_NEMO2 (EMC Update) v0.29.5" xfId="1315" xr:uid="{00000000-0005-0000-0000-0000CE040000}"/>
    <cellStyle name="%_NRA_model_for_NEMO2 (EMC Update) v0.21_NRA_model_for_NEMO2 (EMC Update) v0.22_NRA_model_for_NEMO2 (EMC Update) v0.29.5_NRA_model_for_NEMO2 (EMC Update) v0 30 1" xfId="1316" xr:uid="{00000000-0005-0000-0000-0000CF040000}"/>
    <cellStyle name="%_NRA_model_for_NEMO2 (EMC Update) v0.21_NRA_model_for_NEMO2 (EMC Update) v0.22_NRA_model_for_NEMO2 (EMC Update) v0.29_NRA_model_for_NEMO2 (EMC Update) v0 30 1" xfId="1317" xr:uid="{00000000-0005-0000-0000-0000D0040000}"/>
    <cellStyle name="%_NRA_model_for_NEMO2 (EMC Update) v0.21_NRA_model_for_NEMO2 (EMC Update) v0.22_NRA_model_for_NEMO2 (EMC Update) v0.29_NRA_model_for_NEMO2 (EMC Update) v0.29.2" xfId="1318" xr:uid="{00000000-0005-0000-0000-0000D1040000}"/>
    <cellStyle name="%_NRA_model_for_NEMO2 (EMC Update) v0.21_NRA_model_for_NEMO2 (EMC Update) v0.22_NRA_model_for_NEMO2 (EMC Update) v0.29_NRA_model_for_NEMO2 (EMC Update) v0.29.2_NRA_model_for_NEMO2 (EMC Update) v0 30 1" xfId="1319" xr:uid="{00000000-0005-0000-0000-0000D2040000}"/>
    <cellStyle name="%_NRA_model_for_NEMO2 (EMC Update) v0.21_NRA_model_for_NEMO2 (EMC Update) v0.22_NRA_model_for_NEMO2 (EMC Update) v0.29_NRA_model_for_NEMO2 (EMC Update) v0.29.2_NRA_model_for_NEMO2 (EMC Update) v0.29.3" xfId="1320" xr:uid="{00000000-0005-0000-0000-0000D3040000}"/>
    <cellStyle name="%_NRA_model_for_NEMO2 (EMC Update) v0.21_NRA_model_for_NEMO2 (EMC Update) v0.22_NRA_model_for_NEMO2 (EMC Update) v0.29_NRA_model_for_NEMO2 (EMC Update) v0.29.2_NRA_model_for_NEMO2 (EMC Update) v0.29.3_NRA_model_for_NEMO2 (EMC Update) v0 30 1" xfId="1321" xr:uid="{00000000-0005-0000-0000-0000D4040000}"/>
    <cellStyle name="%_NRA_model_for_NEMO2 (EMC Update) v0.21_NRA_model_for_NEMO2 (EMC Update) v0.22_NRA_model_for_NEMO2 (EMC Update) v0.29_NRA_model_for_NEMO2 (EMC Update) v0.29.2_NRA_model_for_NEMO2 (EMC Update) v0.29.3_NRA_model_for_NEMO2 (EMC Update) v0.29.5" xfId="1322" xr:uid="{00000000-0005-0000-0000-0000D5040000}"/>
    <cellStyle name="%_NRA_model_for_NEMO2 (EMC Update) v0.21_NRA_model_for_NEMO2 (EMC Update) v0.22_NRA_model_for_NEMO2 (EMC Update) v0.29_NRA_model_for_NEMO2 (EMC Update) v0.29.2_NRA_model_for_NEMO2 (EMC Update) v0.29.4" xfId="1323" xr:uid="{00000000-0005-0000-0000-0000D6040000}"/>
    <cellStyle name="%_NRA_model_for_NEMO2 (EMC Update) v0.21_NRA_model_for_NEMO2 (EMC Update) v0.22_NRA_model_for_NEMO2 (EMC Update) v0.29_NRA_model_for_NEMO2 (EMC Update) v0.29.2_NRA_model_for_NEMO2 (EMC Update) v0.29.4_NRA_model_for_NEMO2 (EMC Update) v0 30 1" xfId="1324" xr:uid="{00000000-0005-0000-0000-0000D7040000}"/>
    <cellStyle name="%_NRA_model_for_NEMO2 (EMC Update) v0.21_NRA_model_for_NEMO2 (EMC Update) v0.22_NRA_model_for_NEMO2 (EMC Update) v0.29_NRA_model_for_NEMO2 (EMC Update) v0.29.2_NRA_model_for_NEMO2 (EMC Update) v0.29.4_NRA_model_for_NEMO2 (EMC Update) v0.29.5" xfId="1325" xr:uid="{00000000-0005-0000-0000-0000D8040000}"/>
    <cellStyle name="%_NRA_model_for_NEMO2 (EMC Update) v0.21_NRA_model_for_NEMO2 (EMC Update) v0.22_NRA_model_for_NEMO2 (EMC Update) v0.29_NRA_model_for_NEMO2 (EMC Update) v0.29.2_NRA_model_for_NEMO2 (EMC Update) v0.29.5" xfId="1326" xr:uid="{00000000-0005-0000-0000-0000D9040000}"/>
    <cellStyle name="%_NRA_model_for_NEMO2 (EMC Update) v0.21_NRA_model_for_NEMO2 (EMC Update) v0.22_NRA_model_for_NEMO2 (EMC Update) v0.29_NRA_model_for_NEMO2 (EMC Update) v0.29.2_NRA_model_for_NEMO2 (EMC Update) v0.29.5_NRA_model_for_NEMO2 (EMC Update) v0 30 1" xfId="1327" xr:uid="{00000000-0005-0000-0000-0000DA040000}"/>
    <cellStyle name="%_NRA_model_for_NEMO2 (EMC Update) v0.21_NRA_model_for_NEMO2 (EMC Update) v0.22_NRA_model_for_NEMO2 (EMC Update) v0.29_NRA_model_for_NEMO2 (EMC Update) v0.29.3" xfId="1328" xr:uid="{00000000-0005-0000-0000-0000DB040000}"/>
    <cellStyle name="%_NRA_model_for_NEMO2 (EMC Update) v0.21_NRA_model_for_NEMO2 (EMC Update) v0.22_NRA_model_for_NEMO2 (EMC Update) v0.29_NRA_model_for_NEMO2 (EMC Update) v0.29.3_NRA_model_for_NEMO2 (EMC Update) v0 30 1" xfId="1329" xr:uid="{00000000-0005-0000-0000-0000DC040000}"/>
    <cellStyle name="%_NRA_model_for_NEMO2 (EMC Update) v0.21_NRA_model_for_NEMO2 (EMC Update) v0.22_NRA_model_for_NEMO2 (EMC Update) v0.29_NRA_model_for_NEMO2 (EMC Update) v0.29.3_NRA_model_for_NEMO2 (EMC Update) v0.29.5" xfId="1330" xr:uid="{00000000-0005-0000-0000-0000DD040000}"/>
    <cellStyle name="%_NRA_model_for_NEMO2 (EMC Update) v0.21_NRA_model_for_NEMO2 (EMC Update) v0.22_NRA_model_for_NEMO2 (EMC Update) v0.29_NRA_model_for_NEMO2 (EMC Update) v0.29.3_NRA_model_for_NEMO2 (EMC Update) v0.29.5_NRA_model_for_NEMO2 (EMC Update) v0 30 1" xfId="1331" xr:uid="{00000000-0005-0000-0000-0000DE040000}"/>
    <cellStyle name="%_NRA_model_for_NEMO2 (EMC Update) v0.21_NRA_model_for_NEMO2 (EMC Update) v0.22_NRA_model_for_NEMO2 (EMC Update) v0.29_NRA_model_for_NEMO2 (EMC Update) v0.29.4" xfId="1332" xr:uid="{00000000-0005-0000-0000-0000DF040000}"/>
    <cellStyle name="%_NRA_model_for_NEMO2 (EMC Update) v0.21_NRA_model_for_NEMO2 (EMC Update) v0.22_NRA_model_for_NEMO2 (EMC Update) v0.29_NRA_model_for_NEMO2 (EMC Update) v0.29.4_NRA_model_for_NEMO2 (EMC Update) v0 30 1" xfId="1333" xr:uid="{00000000-0005-0000-0000-0000E0040000}"/>
    <cellStyle name="%_NRA_model_for_NEMO2 (EMC Update) v0.21_NRA_model_for_NEMO2 (EMC Update) v0.22_NRA_model_for_NEMO2 (EMC Update) v0.29_NRA_model_for_NEMO2 (EMC Update) v0.29.4_NRA_model_for_NEMO2 (EMC Update) v0.29.5" xfId="1334" xr:uid="{00000000-0005-0000-0000-0000E1040000}"/>
    <cellStyle name="%_NRA_model_for_NEMO2 (EMC Update) v0.21_NRA_model_for_NEMO2 (EMC Update) v0.22_NRA_model_for_NEMO2 (EMC Update) v0.29_NRA_model_for_NEMO2 (EMC Update) v0.29.4_NRA_model_for_NEMO2 (EMC Update) v0.29.5_NRA_model_for_NEMO2 (EMC Update) v0 30 1" xfId="1335" xr:uid="{00000000-0005-0000-0000-0000E2040000}"/>
    <cellStyle name="%_NRA_model_for_NEMO2 (EMC Update) v0.21_NRA_model_for_NEMO2 (EMC Update) v0.22_NRA_model_for_NEMO2 (EMC Update) v0.29_NRA_model_for_NEMO2 (EMC Update) v0.29.5" xfId="1336" xr:uid="{00000000-0005-0000-0000-0000E3040000}"/>
    <cellStyle name="%_NRA_model_for_NEMO2 (EMC Update) v0.21_NRA_model_for_NEMO2 (EMC Update) v0.22_NRA_model_for_NEMO2 (EMC Update) v0.29_NRA_model_for_NEMO2 (EMC Update) v0.29.5_NRA_model_for_NEMO2 (EMC Update) v0 30 1" xfId="1337" xr:uid="{00000000-0005-0000-0000-0000E4040000}"/>
    <cellStyle name="%_NRA_model_for_NEMO2 (EMC Update) v0.21_NRA_model_for_NEMO2 (EMC Update) v0.25" xfId="1338" xr:uid="{00000000-0005-0000-0000-0000E5040000}"/>
    <cellStyle name="%_NRA_model_for_NEMO2 (EMC Update) v0.21_NRA_model_for_NEMO2 (EMC Update) v0.25_NRA_model_for_NEMO2 (EMC Update) v0 30 1" xfId="1339" xr:uid="{00000000-0005-0000-0000-0000E6040000}"/>
    <cellStyle name="%_NRA_model_for_NEMO2 (EMC Update) v0.21_NRA_model_for_NEMO2 (EMC Update) v0.25_NRA_model_for_NEMO2 (EMC Update) v0.26" xfId="1340" xr:uid="{00000000-0005-0000-0000-0000E7040000}"/>
    <cellStyle name="%_NRA_model_for_NEMO2 (EMC Update) v0.21_NRA_model_for_NEMO2 (EMC Update) v0.25_NRA_model_for_NEMO2 (EMC Update) v0.26_NRA_model_for_NEMO2 (EMC Update) v0 30 1" xfId="1341" xr:uid="{00000000-0005-0000-0000-0000E8040000}"/>
    <cellStyle name="%_NRA_model_for_NEMO2 (EMC Update) v0.21_NRA_model_for_NEMO2 (EMC Update) v0.25_NRA_model_for_NEMO2 (EMC Update) v0.26_NRA_model_for_NEMO2 (EMC Update) v0.29" xfId="1342" xr:uid="{00000000-0005-0000-0000-0000E9040000}"/>
    <cellStyle name="%_NRA_model_for_NEMO2 (EMC Update) v0.21_NRA_model_for_NEMO2 (EMC Update) v0.25_NRA_model_for_NEMO2 (EMC Update) v0.26_NRA_model_for_NEMO2 (EMC Update) v0.29.2" xfId="1343" xr:uid="{00000000-0005-0000-0000-0000EA040000}"/>
    <cellStyle name="%_NRA_model_for_NEMO2 (EMC Update) v0.21_NRA_model_for_NEMO2 (EMC Update) v0.25_NRA_model_for_NEMO2 (EMC Update) v0.26_NRA_model_for_NEMO2 (EMC Update) v0.29.2_NRA_model_for_NEMO2 (EMC Update) v0 30 1" xfId="1344" xr:uid="{00000000-0005-0000-0000-0000EB040000}"/>
    <cellStyle name="%_NRA_model_for_NEMO2 (EMC Update) v0.21_NRA_model_for_NEMO2 (EMC Update) v0.25_NRA_model_for_NEMO2 (EMC Update) v0.26_NRA_model_for_NEMO2 (EMC Update) v0.29.2_NRA_model_for_NEMO2 (EMC Update) v0.29.3" xfId="1345" xr:uid="{00000000-0005-0000-0000-0000EC040000}"/>
    <cellStyle name="%_NRA_model_for_NEMO2 (EMC Update) v0.21_NRA_model_for_NEMO2 (EMC Update) v0.25_NRA_model_for_NEMO2 (EMC Update) v0.26_NRA_model_for_NEMO2 (EMC Update) v0.29.2_NRA_model_for_NEMO2 (EMC Update) v0.29.3_NRA_model_for_NEMO2 (EMC Update) v0 30 1" xfId="1346" xr:uid="{00000000-0005-0000-0000-0000ED040000}"/>
    <cellStyle name="%_NRA_model_for_NEMO2 (EMC Update) v0.21_NRA_model_for_NEMO2 (EMC Update) v0.25_NRA_model_for_NEMO2 (EMC Update) v0.26_NRA_model_for_NEMO2 (EMC Update) v0.29.2_NRA_model_for_NEMO2 (EMC Update) v0.29.3_NRA_model_for_NEMO2 (EMC Update) v0.29.5" xfId="1347" xr:uid="{00000000-0005-0000-0000-0000EE040000}"/>
    <cellStyle name="%_NRA_model_for_NEMO2 (EMC Update) v0.21_NRA_model_for_NEMO2 (EMC Update) v0.25_NRA_model_for_NEMO2 (EMC Update) v0.26_NRA_model_for_NEMO2 (EMC Update) v0.29.2_NRA_model_for_NEMO2 (EMC Update) v0.29.4" xfId="1348" xr:uid="{00000000-0005-0000-0000-0000EF040000}"/>
    <cellStyle name="%_NRA_model_for_NEMO2 (EMC Update) v0.21_NRA_model_for_NEMO2 (EMC Update) v0.25_NRA_model_for_NEMO2 (EMC Update) v0.26_NRA_model_for_NEMO2 (EMC Update) v0.29.2_NRA_model_for_NEMO2 (EMC Update) v0.29.4_NRA_model_for_NEMO2 (EMC Update) v0 30 1" xfId="1349" xr:uid="{00000000-0005-0000-0000-0000F0040000}"/>
    <cellStyle name="%_NRA_model_for_NEMO2 (EMC Update) v0.21_NRA_model_for_NEMO2 (EMC Update) v0.25_NRA_model_for_NEMO2 (EMC Update) v0.26_NRA_model_for_NEMO2 (EMC Update) v0.29.2_NRA_model_for_NEMO2 (EMC Update) v0.29.4_NRA_model_for_NEMO2 (EMC Update) v0.29.5" xfId="1350" xr:uid="{00000000-0005-0000-0000-0000F1040000}"/>
    <cellStyle name="%_NRA_model_for_NEMO2 (EMC Update) v0.21_NRA_model_for_NEMO2 (EMC Update) v0.25_NRA_model_for_NEMO2 (EMC Update) v0.26_NRA_model_for_NEMO2 (EMC Update) v0.29.2_NRA_model_for_NEMO2 (EMC Update) v0.29.5" xfId="1351" xr:uid="{00000000-0005-0000-0000-0000F2040000}"/>
    <cellStyle name="%_NRA_model_for_NEMO2 (EMC Update) v0.21_NRA_model_for_NEMO2 (EMC Update) v0.25_NRA_model_for_NEMO2 (EMC Update) v0.26_NRA_model_for_NEMO2 (EMC Update) v0.29.2_NRA_model_for_NEMO2 (EMC Update) v0.29.5_NRA_model_for_NEMO2 (EMC Update) v0 30 1" xfId="1352" xr:uid="{00000000-0005-0000-0000-0000F3040000}"/>
    <cellStyle name="%_NRA_model_for_NEMO2 (EMC Update) v0.21_NRA_model_for_NEMO2 (EMC Update) v0.25_NRA_model_for_NEMO2 (EMC Update) v0.26_NRA_model_for_NEMO2 (EMC Update) v0.29.3" xfId="1353" xr:uid="{00000000-0005-0000-0000-0000F4040000}"/>
    <cellStyle name="%_NRA_model_for_NEMO2 (EMC Update) v0.21_NRA_model_for_NEMO2 (EMC Update) v0.25_NRA_model_for_NEMO2 (EMC Update) v0.26_NRA_model_for_NEMO2 (EMC Update) v0.29.3_NRA_model_for_NEMO2 (EMC Update) v0 30 1" xfId="1354" xr:uid="{00000000-0005-0000-0000-0000F5040000}"/>
    <cellStyle name="%_NRA_model_for_NEMO2 (EMC Update) v0.21_NRA_model_for_NEMO2 (EMC Update) v0.25_NRA_model_for_NEMO2 (EMC Update) v0.26_NRA_model_for_NEMO2 (EMC Update) v0.29.3_NRA_model_for_NEMO2 (EMC Update) v0.29.5" xfId="1355" xr:uid="{00000000-0005-0000-0000-0000F6040000}"/>
    <cellStyle name="%_NRA_model_for_NEMO2 (EMC Update) v0.21_NRA_model_for_NEMO2 (EMC Update) v0.25_NRA_model_for_NEMO2 (EMC Update) v0.26_NRA_model_for_NEMO2 (EMC Update) v0.29.3_NRA_model_for_NEMO2 (EMC Update) v0.29.5_NRA_model_for_NEMO2 (EMC Update) v0 30 1" xfId="1356" xr:uid="{00000000-0005-0000-0000-0000F7040000}"/>
    <cellStyle name="%_NRA_model_for_NEMO2 (EMC Update) v0.21_NRA_model_for_NEMO2 (EMC Update) v0.25_NRA_model_for_NEMO2 (EMC Update) v0.26_NRA_model_for_NEMO2 (EMC Update) v0.29.4" xfId="1357" xr:uid="{00000000-0005-0000-0000-0000F8040000}"/>
    <cellStyle name="%_NRA_model_for_NEMO2 (EMC Update) v0.21_NRA_model_for_NEMO2 (EMC Update) v0.25_NRA_model_for_NEMO2 (EMC Update) v0.26_NRA_model_for_NEMO2 (EMC Update) v0.29.4_NRA_model_for_NEMO2 (EMC Update) v0 30 1" xfId="1358" xr:uid="{00000000-0005-0000-0000-0000F9040000}"/>
    <cellStyle name="%_NRA_model_for_NEMO2 (EMC Update) v0.21_NRA_model_for_NEMO2 (EMC Update) v0.25_NRA_model_for_NEMO2 (EMC Update) v0.26_NRA_model_for_NEMO2 (EMC Update) v0.29.4_NRA_model_for_NEMO2 (EMC Update) v0.29.5" xfId="1359" xr:uid="{00000000-0005-0000-0000-0000FA040000}"/>
    <cellStyle name="%_NRA_model_for_NEMO2 (EMC Update) v0.21_NRA_model_for_NEMO2 (EMC Update) v0.25_NRA_model_for_NEMO2 (EMC Update) v0.26_NRA_model_for_NEMO2 (EMC Update) v0.29.4_NRA_model_for_NEMO2 (EMC Update) v0.29.5_NRA_model_for_NEMO2 (EMC Update) v0 30 1" xfId="1360" xr:uid="{00000000-0005-0000-0000-0000FB040000}"/>
    <cellStyle name="%_NRA_model_for_NEMO2 (EMC Update) v0.21_NRA_model_for_NEMO2 (EMC Update) v0.25_NRA_model_for_NEMO2 (EMC Update) v0.26_NRA_model_for_NEMO2 (EMC Update) v0.29.5" xfId="1361" xr:uid="{00000000-0005-0000-0000-0000FC040000}"/>
    <cellStyle name="%_NRA_model_for_NEMO2 (EMC Update) v0.21_NRA_model_for_NEMO2 (EMC Update) v0.25_NRA_model_for_NEMO2 (EMC Update) v0.26_NRA_model_for_NEMO2 (EMC Update) v0.29.5_NRA_model_for_NEMO2 (EMC Update) v0 30 1" xfId="1362" xr:uid="{00000000-0005-0000-0000-0000FD040000}"/>
    <cellStyle name="%_NRA_model_for_NEMO2 (EMC Update) v0.21_NRA_model_for_NEMO2 (EMC Update) v0.25_NRA_model_for_NEMO2 (EMC Update) v0.26_NRA_model_for_NEMO2 (EMC Update) v0.29_NRA_model_for_NEMO2 (EMC Update) v0 30 1" xfId="1363" xr:uid="{00000000-0005-0000-0000-0000FE040000}"/>
    <cellStyle name="%_NRA_model_for_NEMO2 (EMC Update) v0.21_NRA_model_for_NEMO2 (EMC Update) v0.25_NRA_model_for_NEMO2 (EMC Update) v0.26_NRA_model_for_NEMO2 (EMC Update) v0.29_NRA_model_for_NEMO2 (EMC Update) v0.29.2" xfId="1364" xr:uid="{00000000-0005-0000-0000-0000FF040000}"/>
    <cellStyle name="%_NRA_model_for_NEMO2 (EMC Update) v0.21_NRA_model_for_NEMO2 (EMC Update) v0.25_NRA_model_for_NEMO2 (EMC Update) v0.26_NRA_model_for_NEMO2 (EMC Update) v0.29_NRA_model_for_NEMO2 (EMC Update) v0.29.2_NRA_model_for_NEMO2 (EMC Update) v0 30 1" xfId="1365" xr:uid="{00000000-0005-0000-0000-000000050000}"/>
    <cellStyle name="%_NRA_model_for_NEMO2 (EMC Update) v0.21_NRA_model_for_NEMO2 (EMC Update) v0.25_NRA_model_for_NEMO2 (EMC Update) v0.26_NRA_model_for_NEMO2 (EMC Update) v0.29_NRA_model_for_NEMO2 (EMC Update) v0.29.2_NRA_model_for_NEMO2 (EMC Update) v0.29.3" xfId="1366" xr:uid="{00000000-0005-0000-0000-000001050000}"/>
    <cellStyle name="%_NRA_model_for_NEMO2 (EMC Update) v0.21_NRA_model_for_NEMO2 (EMC Update) v0.25_NRA_model_for_NEMO2 (EMC Update) v0.26_NRA_model_for_NEMO2 (EMC Update) v0.29_NRA_model_for_NEMO2 (EMC Update) v0.29.2_NRA_model_for_NEMO2 (EMC Update) v0.29.4" xfId="1367" xr:uid="{00000000-0005-0000-0000-000002050000}"/>
    <cellStyle name="%_NRA_model_for_NEMO2 (EMC Update) v0.21_NRA_model_for_NEMO2 (EMC Update) v0.25_NRA_model_for_NEMO2 (EMC Update) v0.26_NRA_model_for_NEMO2 (EMC Update) v0.29_NRA_model_for_NEMO2 (EMC Update) v0.29.2_NRA_model_for_NEMO2 (EMC Update) v0.29.5" xfId="1368" xr:uid="{00000000-0005-0000-0000-000003050000}"/>
    <cellStyle name="%_NRA_model_for_NEMO2 (EMC Update) v0.21_NRA_model_for_NEMO2 (EMC Update) v0.25_NRA_model_for_NEMO2 (EMC Update) v0.26_NRA_model_for_NEMO2 (EMC Update) v0.29_NRA_model_for_NEMO2 (EMC Update) v0.29.3" xfId="1369" xr:uid="{00000000-0005-0000-0000-000004050000}"/>
    <cellStyle name="%_NRA_model_for_NEMO2 (EMC Update) v0.21_NRA_model_for_NEMO2 (EMC Update) v0.25_NRA_model_for_NEMO2 (EMC Update) v0.26_NRA_model_for_NEMO2 (EMC Update) v0.29_NRA_model_for_NEMO2 (EMC Update) v0.29.3_NRA_model_for_NEMO2 (EMC Update) v0 30 1" xfId="1370" xr:uid="{00000000-0005-0000-0000-000005050000}"/>
    <cellStyle name="%_NRA_model_for_NEMO2 (EMC Update) v0.21_NRA_model_for_NEMO2 (EMC Update) v0.25_NRA_model_for_NEMO2 (EMC Update) v0.26_NRA_model_for_NEMO2 (EMC Update) v0.29_NRA_model_for_NEMO2 (EMC Update) v0.29.3_NRA_model_for_NEMO2 (EMC Update) v0.29.5" xfId="1371" xr:uid="{00000000-0005-0000-0000-000006050000}"/>
    <cellStyle name="%_NRA_model_for_NEMO2 (EMC Update) v0.21_NRA_model_for_NEMO2 (EMC Update) v0.25_NRA_model_for_NEMO2 (EMC Update) v0.26_NRA_model_for_NEMO2 (EMC Update) v0.29_NRA_model_for_NEMO2 (EMC Update) v0.29.4" xfId="1372" xr:uid="{00000000-0005-0000-0000-000007050000}"/>
    <cellStyle name="%_NRA_model_for_NEMO2 (EMC Update) v0.21_NRA_model_for_NEMO2 (EMC Update) v0.25_NRA_model_for_NEMO2 (EMC Update) v0.26_NRA_model_for_NEMO2 (EMC Update) v0.29_NRA_model_for_NEMO2 (EMC Update) v0.29.4_NRA_model_for_NEMO2 (EMC Update) v0 30 1" xfId="1373" xr:uid="{00000000-0005-0000-0000-000008050000}"/>
    <cellStyle name="%_NRA_model_for_NEMO2 (EMC Update) v0.21_NRA_model_for_NEMO2 (EMC Update) v0.25_NRA_model_for_NEMO2 (EMC Update) v0.26_NRA_model_for_NEMO2 (EMC Update) v0.29_NRA_model_for_NEMO2 (EMC Update) v0.29.4_NRA_model_for_NEMO2 (EMC Update) v0.29.5" xfId="1374" xr:uid="{00000000-0005-0000-0000-000009050000}"/>
    <cellStyle name="%_NRA_model_for_NEMO2 (EMC Update) v0.21_NRA_model_for_NEMO2 (EMC Update) v0.25_NRA_model_for_NEMO2 (EMC Update) v0.26_NRA_model_for_NEMO2 (EMC Update) v0.29_NRA_model_for_NEMO2 (EMC Update) v0.29.5" xfId="1375" xr:uid="{00000000-0005-0000-0000-00000A050000}"/>
    <cellStyle name="%_NRA_model_for_NEMO2 (EMC Update) v0.21_NRA_model_for_NEMO2 (EMC Update) v0.25_NRA_model_for_NEMO2 (EMC Update) v0.26_NRA_model_for_NEMO2 (EMC Update) v0.29_NRA_model_for_NEMO2 (EMC Update) v0.29.5_NRA_model_for_NEMO2 (EMC Update) v0 30 1" xfId="1376" xr:uid="{00000000-0005-0000-0000-00000B050000}"/>
    <cellStyle name="%_NRA_model_for_NEMO2 (EMC Update) v0.21_NRA_model_for_NEMO2 (EMC Update) v0.25_NRA_model_for_NEMO2 (EMC Update) v0.29" xfId="1377" xr:uid="{00000000-0005-0000-0000-00000C050000}"/>
    <cellStyle name="%_NRA_model_for_NEMO2 (EMC Update) v0.21_NRA_model_for_NEMO2 (EMC Update) v0.25_NRA_model_for_NEMO2 (EMC Update) v0.29.2" xfId="1378" xr:uid="{00000000-0005-0000-0000-00000D050000}"/>
    <cellStyle name="%_NRA_model_for_NEMO2 (EMC Update) v0.21_NRA_model_for_NEMO2 (EMC Update) v0.25_NRA_model_for_NEMO2 (EMC Update) v0.29.2_NRA_model_for_NEMO2 (EMC Update) v0 30 1" xfId="1379" xr:uid="{00000000-0005-0000-0000-00000E050000}"/>
    <cellStyle name="%_NRA_model_for_NEMO2 (EMC Update) v0.21_NRA_model_for_NEMO2 (EMC Update) v0.25_NRA_model_for_NEMO2 (EMC Update) v0.29.2_NRA_model_for_NEMO2 (EMC Update) v0.29.3" xfId="1380" xr:uid="{00000000-0005-0000-0000-00000F050000}"/>
    <cellStyle name="%_NRA_model_for_NEMO2 (EMC Update) v0.21_NRA_model_for_NEMO2 (EMC Update) v0.25_NRA_model_for_NEMO2 (EMC Update) v0.29.2_NRA_model_for_NEMO2 (EMC Update) v0.29.3_NRA_model_for_NEMO2 (EMC Update) v0 30 1" xfId="1381" xr:uid="{00000000-0005-0000-0000-000010050000}"/>
    <cellStyle name="%_NRA_model_for_NEMO2 (EMC Update) v0.21_NRA_model_for_NEMO2 (EMC Update) v0.25_NRA_model_for_NEMO2 (EMC Update) v0.29.2_NRA_model_for_NEMO2 (EMC Update) v0.29.3_NRA_model_for_NEMO2 (EMC Update) v0.29.5" xfId="1382" xr:uid="{00000000-0005-0000-0000-000011050000}"/>
    <cellStyle name="%_NRA_model_for_NEMO2 (EMC Update) v0.21_NRA_model_for_NEMO2 (EMC Update) v0.25_NRA_model_for_NEMO2 (EMC Update) v0.29.2_NRA_model_for_NEMO2 (EMC Update) v0.29.3_NRA_model_for_NEMO2 (EMC Update) v0.29.5_NRA_model_for_NEMO2 (EMC Update) v0 30 1" xfId="1383" xr:uid="{00000000-0005-0000-0000-000012050000}"/>
    <cellStyle name="%_NRA_model_for_NEMO2 (EMC Update) v0.21_NRA_model_for_NEMO2 (EMC Update) v0.25_NRA_model_for_NEMO2 (EMC Update) v0.29.2_NRA_model_for_NEMO2 (EMC Update) v0.29.4" xfId="1384" xr:uid="{00000000-0005-0000-0000-000013050000}"/>
    <cellStyle name="%_NRA_model_for_NEMO2 (EMC Update) v0.21_NRA_model_for_NEMO2 (EMC Update) v0.25_NRA_model_for_NEMO2 (EMC Update) v0.29.2_NRA_model_for_NEMO2 (EMC Update) v0.29.4_NRA_model_for_NEMO2 (EMC Update) v0 30 1" xfId="1385" xr:uid="{00000000-0005-0000-0000-000014050000}"/>
    <cellStyle name="%_NRA_model_for_NEMO2 (EMC Update) v0.21_NRA_model_for_NEMO2 (EMC Update) v0.25_NRA_model_for_NEMO2 (EMC Update) v0.29.2_NRA_model_for_NEMO2 (EMC Update) v0.29.4_NRA_model_for_NEMO2 (EMC Update) v0.29.5" xfId="1386" xr:uid="{00000000-0005-0000-0000-000015050000}"/>
    <cellStyle name="%_NRA_model_for_NEMO2 (EMC Update) v0.21_NRA_model_for_NEMO2 (EMC Update) v0.25_NRA_model_for_NEMO2 (EMC Update) v0.29.2_NRA_model_for_NEMO2 (EMC Update) v0.29.4_NRA_model_for_NEMO2 (EMC Update) v0.29.5_NRA_model_for_NEMO2 (EMC Update) v0 30 1" xfId="1387" xr:uid="{00000000-0005-0000-0000-000016050000}"/>
    <cellStyle name="%_NRA_model_for_NEMO2 (EMC Update) v0.21_NRA_model_for_NEMO2 (EMC Update) v0.25_NRA_model_for_NEMO2 (EMC Update) v0.29.2_NRA_model_for_NEMO2 (EMC Update) v0.29.5" xfId="1388" xr:uid="{00000000-0005-0000-0000-000017050000}"/>
    <cellStyle name="%_NRA_model_for_NEMO2 (EMC Update) v0.21_NRA_model_for_NEMO2 (EMC Update) v0.25_NRA_model_for_NEMO2 (EMC Update) v0.29.2_NRA_model_for_NEMO2 (EMC Update) v0.29.5_NRA_model_for_NEMO2 (EMC Update) v0 30 1" xfId="1389" xr:uid="{00000000-0005-0000-0000-000018050000}"/>
    <cellStyle name="%_NRA_model_for_NEMO2 (EMC Update) v0.21_NRA_model_for_NEMO2 (EMC Update) v0.25_NRA_model_for_NEMO2 (EMC Update) v0.29.3" xfId="1390" xr:uid="{00000000-0005-0000-0000-000019050000}"/>
    <cellStyle name="%_NRA_model_for_NEMO2 (EMC Update) v0.21_NRA_model_for_NEMO2 (EMC Update) v0.25_NRA_model_for_NEMO2 (EMC Update) v0.29.3_NRA_model_for_NEMO2 (EMC Update) v0 30 1" xfId="1391" xr:uid="{00000000-0005-0000-0000-00001A050000}"/>
    <cellStyle name="%_NRA_model_for_NEMO2 (EMC Update) v0.21_NRA_model_for_NEMO2 (EMC Update) v0.25_NRA_model_for_NEMO2 (EMC Update) v0.29.3_NRA_model_for_NEMO2 (EMC Update) v0.29.5" xfId="1392" xr:uid="{00000000-0005-0000-0000-00001B050000}"/>
    <cellStyle name="%_NRA_model_for_NEMO2 (EMC Update) v0.21_NRA_model_for_NEMO2 (EMC Update) v0.25_NRA_model_for_NEMO2 (EMC Update) v0.29.3_NRA_model_for_NEMO2 (EMC Update) v0.29.5_NRA_model_for_NEMO2 (EMC Update) v0 30 1" xfId="1393" xr:uid="{00000000-0005-0000-0000-00001C050000}"/>
    <cellStyle name="%_NRA_model_for_NEMO2 (EMC Update) v0.21_NRA_model_for_NEMO2 (EMC Update) v0.25_NRA_model_for_NEMO2 (EMC Update) v0.29.4" xfId="1394" xr:uid="{00000000-0005-0000-0000-00001D050000}"/>
    <cellStyle name="%_NRA_model_for_NEMO2 (EMC Update) v0.21_NRA_model_for_NEMO2 (EMC Update) v0.25_NRA_model_for_NEMO2 (EMC Update) v0.29.4_NRA_model_for_NEMO2 (EMC Update) v0 30 1" xfId="1395" xr:uid="{00000000-0005-0000-0000-00001E050000}"/>
    <cellStyle name="%_NRA_model_for_NEMO2 (EMC Update) v0.21_NRA_model_for_NEMO2 (EMC Update) v0.25_NRA_model_for_NEMO2 (EMC Update) v0.29.4_NRA_model_for_NEMO2 (EMC Update) v0.29.5" xfId="1396" xr:uid="{00000000-0005-0000-0000-00001F050000}"/>
    <cellStyle name="%_NRA_model_for_NEMO2 (EMC Update) v0.21_NRA_model_for_NEMO2 (EMC Update) v0.25_NRA_model_for_NEMO2 (EMC Update) v0.29.4_NRA_model_for_NEMO2 (EMC Update) v0.29.5_NRA_model_for_NEMO2 (EMC Update) v0 30 1" xfId="1397" xr:uid="{00000000-0005-0000-0000-000020050000}"/>
    <cellStyle name="%_NRA_model_for_NEMO2 (EMC Update) v0.21_NRA_model_for_NEMO2 (EMC Update) v0.25_NRA_model_for_NEMO2 (EMC Update) v0.29.5" xfId="1398" xr:uid="{00000000-0005-0000-0000-000021050000}"/>
    <cellStyle name="%_NRA_model_for_NEMO2 (EMC Update) v0.21_NRA_model_for_NEMO2 (EMC Update) v0.25_NRA_model_for_NEMO2 (EMC Update) v0.29.5_NRA_model_for_NEMO2 (EMC Update) v0 30 1" xfId="1399" xr:uid="{00000000-0005-0000-0000-000022050000}"/>
    <cellStyle name="%_NRA_model_for_NEMO2 (EMC Update) v0.21_NRA_model_for_NEMO2 (EMC Update) v0.25_NRA_model_for_NEMO2 (EMC Update) v0.29_NRA_model_for_NEMO2 (EMC Update) v0 30 1" xfId="1400" xr:uid="{00000000-0005-0000-0000-000023050000}"/>
    <cellStyle name="%_NRA_model_for_NEMO2 (EMC Update) v0.21_NRA_model_for_NEMO2 (EMC Update) v0.25_NRA_model_for_NEMO2 (EMC Update) v0.29_NRA_model_for_NEMO2 (EMC Update) v0.29.2" xfId="1401" xr:uid="{00000000-0005-0000-0000-000024050000}"/>
    <cellStyle name="%_NRA_model_for_NEMO2 (EMC Update) v0.21_NRA_model_for_NEMO2 (EMC Update) v0.25_NRA_model_for_NEMO2 (EMC Update) v0.29_NRA_model_for_NEMO2 (EMC Update) v0.29.2_NRA_model_for_NEMO2 (EMC Update) v0 30 1" xfId="1402" xr:uid="{00000000-0005-0000-0000-000025050000}"/>
    <cellStyle name="%_NRA_model_for_NEMO2 (EMC Update) v0.21_NRA_model_for_NEMO2 (EMC Update) v0.25_NRA_model_for_NEMO2 (EMC Update) v0.29_NRA_model_for_NEMO2 (EMC Update) v0.29.2_NRA_model_for_NEMO2 (EMC Update) v0.29.3" xfId="1403" xr:uid="{00000000-0005-0000-0000-000026050000}"/>
    <cellStyle name="%_NRA_model_for_NEMO2 (EMC Update) v0.21_NRA_model_for_NEMO2 (EMC Update) v0.25_NRA_model_for_NEMO2 (EMC Update) v0.29_NRA_model_for_NEMO2 (EMC Update) v0.29.2_NRA_model_for_NEMO2 (EMC Update) v0.29.3_NRA_model_for_NEMO2 (EMC Update) v0 30 1" xfId="1404" xr:uid="{00000000-0005-0000-0000-000027050000}"/>
    <cellStyle name="%_NRA_model_for_NEMO2 (EMC Update) v0.21_NRA_model_for_NEMO2 (EMC Update) v0.25_NRA_model_for_NEMO2 (EMC Update) v0.29_NRA_model_for_NEMO2 (EMC Update) v0.29.2_NRA_model_for_NEMO2 (EMC Update) v0.29.3_NRA_model_for_NEMO2 (EMC Update) v0.29.5" xfId="1405" xr:uid="{00000000-0005-0000-0000-000028050000}"/>
    <cellStyle name="%_NRA_model_for_NEMO2 (EMC Update) v0.21_NRA_model_for_NEMO2 (EMC Update) v0.25_NRA_model_for_NEMO2 (EMC Update) v0.29_NRA_model_for_NEMO2 (EMC Update) v0.29.2_NRA_model_for_NEMO2 (EMC Update) v0.29.4" xfId="1406" xr:uid="{00000000-0005-0000-0000-000029050000}"/>
    <cellStyle name="%_NRA_model_for_NEMO2 (EMC Update) v0.21_NRA_model_for_NEMO2 (EMC Update) v0.25_NRA_model_for_NEMO2 (EMC Update) v0.29_NRA_model_for_NEMO2 (EMC Update) v0.29.2_NRA_model_for_NEMO2 (EMC Update) v0.29.4_NRA_model_for_NEMO2 (EMC Update) v0 30 1" xfId="1407" xr:uid="{00000000-0005-0000-0000-00002A050000}"/>
    <cellStyle name="%_NRA_model_for_NEMO2 (EMC Update) v0.21_NRA_model_for_NEMO2 (EMC Update) v0.25_NRA_model_for_NEMO2 (EMC Update) v0.29_NRA_model_for_NEMO2 (EMC Update) v0.29.2_NRA_model_for_NEMO2 (EMC Update) v0.29.4_NRA_model_for_NEMO2 (EMC Update) v0.29.5" xfId="1408" xr:uid="{00000000-0005-0000-0000-00002B050000}"/>
    <cellStyle name="%_NRA_model_for_NEMO2 (EMC Update) v0.21_NRA_model_for_NEMO2 (EMC Update) v0.25_NRA_model_for_NEMO2 (EMC Update) v0.29_NRA_model_for_NEMO2 (EMC Update) v0.29.2_NRA_model_for_NEMO2 (EMC Update) v0.29.5" xfId="1409" xr:uid="{00000000-0005-0000-0000-00002C050000}"/>
    <cellStyle name="%_NRA_model_for_NEMO2 (EMC Update) v0.21_NRA_model_for_NEMO2 (EMC Update) v0.25_NRA_model_for_NEMO2 (EMC Update) v0.29_NRA_model_for_NEMO2 (EMC Update) v0.29.2_NRA_model_for_NEMO2 (EMC Update) v0.29.5_NRA_model_for_NEMO2 (EMC Update) v0 30 1" xfId="1410" xr:uid="{00000000-0005-0000-0000-00002D050000}"/>
    <cellStyle name="%_NRA_model_for_NEMO2 (EMC Update) v0.21_NRA_model_for_NEMO2 (EMC Update) v0.25_NRA_model_for_NEMO2 (EMC Update) v0.29_NRA_model_for_NEMO2 (EMC Update) v0.29.3" xfId="1411" xr:uid="{00000000-0005-0000-0000-00002E050000}"/>
    <cellStyle name="%_NRA_model_for_NEMO2 (EMC Update) v0.21_NRA_model_for_NEMO2 (EMC Update) v0.25_NRA_model_for_NEMO2 (EMC Update) v0.29_NRA_model_for_NEMO2 (EMC Update) v0.29.3_NRA_model_for_NEMO2 (EMC Update) v0 30 1" xfId="1412" xr:uid="{00000000-0005-0000-0000-00002F050000}"/>
    <cellStyle name="%_NRA_model_for_NEMO2 (EMC Update) v0.21_NRA_model_for_NEMO2 (EMC Update) v0.25_NRA_model_for_NEMO2 (EMC Update) v0.29_NRA_model_for_NEMO2 (EMC Update) v0.29.3_NRA_model_for_NEMO2 (EMC Update) v0.29.5" xfId="1413" xr:uid="{00000000-0005-0000-0000-000030050000}"/>
    <cellStyle name="%_NRA_model_for_NEMO2 (EMC Update) v0.21_NRA_model_for_NEMO2 (EMC Update) v0.25_NRA_model_for_NEMO2 (EMC Update) v0.29_NRA_model_for_NEMO2 (EMC Update) v0.29.3_NRA_model_for_NEMO2 (EMC Update) v0.29.5_NRA_model_for_NEMO2 (EMC Update) v0 30 1" xfId="1414" xr:uid="{00000000-0005-0000-0000-000031050000}"/>
    <cellStyle name="%_NRA_model_for_NEMO2 (EMC Update) v0.21_NRA_model_for_NEMO2 (EMC Update) v0.25_NRA_model_for_NEMO2 (EMC Update) v0.29_NRA_model_for_NEMO2 (EMC Update) v0.29.4" xfId="1415" xr:uid="{00000000-0005-0000-0000-000032050000}"/>
    <cellStyle name="%_NRA_model_for_NEMO2 (EMC Update) v0.21_NRA_model_for_NEMO2 (EMC Update) v0.25_NRA_model_for_NEMO2 (EMC Update) v0.29_NRA_model_for_NEMO2 (EMC Update) v0.29.4_NRA_model_for_NEMO2 (EMC Update) v0 30 1" xfId="1416" xr:uid="{00000000-0005-0000-0000-000033050000}"/>
    <cellStyle name="%_NRA_model_for_NEMO2 (EMC Update) v0.21_NRA_model_for_NEMO2 (EMC Update) v0.25_NRA_model_for_NEMO2 (EMC Update) v0.29_NRA_model_for_NEMO2 (EMC Update) v0.29.4_NRA_model_for_NEMO2 (EMC Update) v0.29.5" xfId="1417" xr:uid="{00000000-0005-0000-0000-000034050000}"/>
    <cellStyle name="%_NRA_model_for_NEMO2 (EMC Update) v0.21_NRA_model_for_NEMO2 (EMC Update) v0.25_NRA_model_for_NEMO2 (EMC Update) v0.29_NRA_model_for_NEMO2 (EMC Update) v0.29.4_NRA_model_for_NEMO2 (EMC Update) v0.29.5_NRA_model_for_NEMO2 (EMC Update) v0 30 1" xfId="1418" xr:uid="{00000000-0005-0000-0000-000035050000}"/>
    <cellStyle name="%_NRA_model_for_NEMO2 (EMC Update) v0.21_NRA_model_for_NEMO2 (EMC Update) v0.25_NRA_model_for_NEMO2 (EMC Update) v0.29_NRA_model_for_NEMO2 (EMC Update) v0.29.5" xfId="1419" xr:uid="{00000000-0005-0000-0000-000036050000}"/>
    <cellStyle name="%_NRA_model_for_NEMO2 (EMC Update) v0.21_NRA_model_for_NEMO2 (EMC Update) v0.25_NRA_model_for_NEMO2 (EMC Update) v0.29_NRA_model_for_NEMO2 (EMC Update) v0.29.5_NRA_model_for_NEMO2 (EMC Update) v0 30 1" xfId="1420" xr:uid="{00000000-0005-0000-0000-000037050000}"/>
    <cellStyle name="%_NRA_model_for_NEMO2 (EMC Update) v0.21_NRA_model_for_NEMO2 (EMC Update) v0.26" xfId="1421" xr:uid="{00000000-0005-0000-0000-000038050000}"/>
    <cellStyle name="%_NRA_model_for_NEMO2 (EMC Update) v0.21_NRA_model_for_NEMO2 (EMC Update) v0.26_NRA_model_for_NEMO2 (EMC Update) v0 30 1" xfId="1422" xr:uid="{00000000-0005-0000-0000-000039050000}"/>
    <cellStyle name="%_NRA_model_for_NEMO2 (EMC Update) v0.21_NRA_model_for_NEMO2 (EMC Update) v0.26_NRA_model_for_NEMO2 (EMC Update) v0.29" xfId="1423" xr:uid="{00000000-0005-0000-0000-00003A050000}"/>
    <cellStyle name="%_NRA_model_for_NEMO2 (EMC Update) v0.21_NRA_model_for_NEMO2 (EMC Update) v0.26_NRA_model_for_NEMO2 (EMC Update) v0.29.2" xfId="1424" xr:uid="{00000000-0005-0000-0000-00003B050000}"/>
    <cellStyle name="%_NRA_model_for_NEMO2 (EMC Update) v0.21_NRA_model_for_NEMO2 (EMC Update) v0.26_NRA_model_for_NEMO2 (EMC Update) v0.29.2_NRA_model_for_NEMO2 (EMC Update) v0 30 1" xfId="1425" xr:uid="{00000000-0005-0000-0000-00003C050000}"/>
    <cellStyle name="%_NRA_model_for_NEMO2 (EMC Update) v0.21_NRA_model_for_NEMO2 (EMC Update) v0.26_NRA_model_for_NEMO2 (EMC Update) v0.29.2_NRA_model_for_NEMO2 (EMC Update) v0.29.3" xfId="1426" xr:uid="{00000000-0005-0000-0000-00003D050000}"/>
    <cellStyle name="%_NRA_model_for_NEMO2 (EMC Update) v0.21_NRA_model_for_NEMO2 (EMC Update) v0.26_NRA_model_for_NEMO2 (EMC Update) v0.29.2_NRA_model_for_NEMO2 (EMC Update) v0.29.3_NRA_model_for_NEMO2 (EMC Update) v0 30 1" xfId="1427" xr:uid="{00000000-0005-0000-0000-00003E050000}"/>
    <cellStyle name="%_NRA_model_for_NEMO2 (EMC Update) v0.21_NRA_model_for_NEMO2 (EMC Update) v0.26_NRA_model_for_NEMO2 (EMC Update) v0.29.2_NRA_model_for_NEMO2 (EMC Update) v0.29.3_NRA_model_for_NEMO2 (EMC Update) v0.29.5" xfId="1428" xr:uid="{00000000-0005-0000-0000-00003F050000}"/>
    <cellStyle name="%_NRA_model_for_NEMO2 (EMC Update) v0.21_NRA_model_for_NEMO2 (EMC Update) v0.26_NRA_model_for_NEMO2 (EMC Update) v0.29.2_NRA_model_for_NEMO2 (EMC Update) v0.29.3_NRA_model_for_NEMO2 (EMC Update) v0.29.5_NRA_model_for_NEMO2 (EMC Update) v0 30 1" xfId="1429" xr:uid="{00000000-0005-0000-0000-000040050000}"/>
    <cellStyle name="%_NRA_model_for_NEMO2 (EMC Update) v0.21_NRA_model_for_NEMO2 (EMC Update) v0.26_NRA_model_for_NEMO2 (EMC Update) v0.29.2_NRA_model_for_NEMO2 (EMC Update) v0.29.4" xfId="1430" xr:uid="{00000000-0005-0000-0000-000041050000}"/>
    <cellStyle name="%_NRA_model_for_NEMO2 (EMC Update) v0.21_NRA_model_for_NEMO2 (EMC Update) v0.26_NRA_model_for_NEMO2 (EMC Update) v0.29.2_NRA_model_for_NEMO2 (EMC Update) v0.29.4_NRA_model_for_NEMO2 (EMC Update) v0 30 1" xfId="1431" xr:uid="{00000000-0005-0000-0000-000042050000}"/>
    <cellStyle name="%_NRA_model_for_NEMO2 (EMC Update) v0.21_NRA_model_for_NEMO2 (EMC Update) v0.26_NRA_model_for_NEMO2 (EMC Update) v0.29.2_NRA_model_for_NEMO2 (EMC Update) v0.29.4_NRA_model_for_NEMO2 (EMC Update) v0.29.5" xfId="1432" xr:uid="{00000000-0005-0000-0000-000043050000}"/>
    <cellStyle name="%_NRA_model_for_NEMO2 (EMC Update) v0.21_NRA_model_for_NEMO2 (EMC Update) v0.26_NRA_model_for_NEMO2 (EMC Update) v0.29.2_NRA_model_for_NEMO2 (EMC Update) v0.29.4_NRA_model_for_NEMO2 (EMC Update) v0.29.5_NRA_model_for_NEMO2 (EMC Update) v0 30 1" xfId="1433" xr:uid="{00000000-0005-0000-0000-000044050000}"/>
    <cellStyle name="%_NRA_model_for_NEMO2 (EMC Update) v0.21_NRA_model_for_NEMO2 (EMC Update) v0.26_NRA_model_for_NEMO2 (EMC Update) v0.29.2_NRA_model_for_NEMO2 (EMC Update) v0.29.5" xfId="1434" xr:uid="{00000000-0005-0000-0000-000045050000}"/>
    <cellStyle name="%_NRA_model_for_NEMO2 (EMC Update) v0.21_NRA_model_for_NEMO2 (EMC Update) v0.26_NRA_model_for_NEMO2 (EMC Update) v0.29.2_NRA_model_for_NEMO2 (EMC Update) v0.29.5_NRA_model_for_NEMO2 (EMC Update) v0 30 1" xfId="1435" xr:uid="{00000000-0005-0000-0000-000046050000}"/>
    <cellStyle name="%_NRA_model_for_NEMO2 (EMC Update) v0.21_NRA_model_for_NEMO2 (EMC Update) v0.26_NRA_model_for_NEMO2 (EMC Update) v0.29.3" xfId="1436" xr:uid="{00000000-0005-0000-0000-000047050000}"/>
    <cellStyle name="%_NRA_model_for_NEMO2 (EMC Update) v0.21_NRA_model_for_NEMO2 (EMC Update) v0.26_NRA_model_for_NEMO2 (EMC Update) v0.29.3_NRA_model_for_NEMO2 (EMC Update) v0 30 1" xfId="1437" xr:uid="{00000000-0005-0000-0000-000048050000}"/>
    <cellStyle name="%_NRA_model_for_NEMO2 (EMC Update) v0.21_NRA_model_for_NEMO2 (EMC Update) v0.26_NRA_model_for_NEMO2 (EMC Update) v0.29.3_NRA_model_for_NEMO2 (EMC Update) v0.29.5" xfId="1438" xr:uid="{00000000-0005-0000-0000-000049050000}"/>
    <cellStyle name="%_NRA_model_for_NEMO2 (EMC Update) v0.21_NRA_model_for_NEMO2 (EMC Update) v0.26_NRA_model_for_NEMO2 (EMC Update) v0.29.3_NRA_model_for_NEMO2 (EMC Update) v0.29.5_NRA_model_for_NEMO2 (EMC Update) v0 30 1" xfId="1439" xr:uid="{00000000-0005-0000-0000-00004A050000}"/>
    <cellStyle name="%_NRA_model_for_NEMO2 (EMC Update) v0.21_NRA_model_for_NEMO2 (EMC Update) v0.26_NRA_model_for_NEMO2 (EMC Update) v0.29.4" xfId="1440" xr:uid="{00000000-0005-0000-0000-00004B050000}"/>
    <cellStyle name="%_NRA_model_for_NEMO2 (EMC Update) v0.21_NRA_model_for_NEMO2 (EMC Update) v0.26_NRA_model_for_NEMO2 (EMC Update) v0.29.4_NRA_model_for_NEMO2 (EMC Update) v0 30 1" xfId="1441" xr:uid="{00000000-0005-0000-0000-00004C050000}"/>
    <cellStyle name="%_NRA_model_for_NEMO2 (EMC Update) v0.21_NRA_model_for_NEMO2 (EMC Update) v0.26_NRA_model_for_NEMO2 (EMC Update) v0.29.4_NRA_model_for_NEMO2 (EMC Update) v0.29.5" xfId="1442" xr:uid="{00000000-0005-0000-0000-00004D050000}"/>
    <cellStyle name="%_NRA_model_for_NEMO2 (EMC Update) v0.21_NRA_model_for_NEMO2 (EMC Update) v0.26_NRA_model_for_NEMO2 (EMC Update) v0.29.4_NRA_model_for_NEMO2 (EMC Update) v0.29.5_NRA_model_for_NEMO2 (EMC Update) v0 30 1" xfId="1443" xr:uid="{00000000-0005-0000-0000-00004E050000}"/>
    <cellStyle name="%_NRA_model_for_NEMO2 (EMC Update) v0.21_NRA_model_for_NEMO2 (EMC Update) v0.26_NRA_model_for_NEMO2 (EMC Update) v0.29.5" xfId="1444" xr:uid="{00000000-0005-0000-0000-00004F050000}"/>
    <cellStyle name="%_NRA_model_for_NEMO2 (EMC Update) v0.21_NRA_model_for_NEMO2 (EMC Update) v0.26_NRA_model_for_NEMO2 (EMC Update) v0.29.5_NRA_model_for_NEMO2 (EMC Update) v0 30 1" xfId="1445" xr:uid="{00000000-0005-0000-0000-000050050000}"/>
    <cellStyle name="%_NRA_model_for_NEMO2 (EMC Update) v0.21_NRA_model_for_NEMO2 (EMC Update) v0.26_NRA_model_for_NEMO2 (EMC Update) v0.29_NRA_model_for_NEMO2 (EMC Update) v0 30 1" xfId="1446" xr:uid="{00000000-0005-0000-0000-000051050000}"/>
    <cellStyle name="%_NRA_model_for_NEMO2 (EMC Update) v0.21_NRA_model_for_NEMO2 (EMC Update) v0.26_NRA_model_for_NEMO2 (EMC Update) v0.29_NRA_model_for_NEMO2 (EMC Update) v0.29.2" xfId="1447" xr:uid="{00000000-0005-0000-0000-000052050000}"/>
    <cellStyle name="%_NRA_model_for_NEMO2 (EMC Update) v0.21_NRA_model_for_NEMO2 (EMC Update) v0.26_NRA_model_for_NEMO2 (EMC Update) v0.29_NRA_model_for_NEMO2 (EMC Update) v0.29.2_NRA_model_for_NEMO2 (EMC Update) v0 30 1" xfId="1448" xr:uid="{00000000-0005-0000-0000-000053050000}"/>
    <cellStyle name="%_NRA_model_for_NEMO2 (EMC Update) v0.21_NRA_model_for_NEMO2 (EMC Update) v0.26_NRA_model_for_NEMO2 (EMC Update) v0.29_NRA_model_for_NEMO2 (EMC Update) v0.29.2_NRA_model_for_NEMO2 (EMC Update) v0.29.3" xfId="1449" xr:uid="{00000000-0005-0000-0000-000054050000}"/>
    <cellStyle name="%_NRA_model_for_NEMO2 (EMC Update) v0.21_NRA_model_for_NEMO2 (EMC Update) v0.26_NRA_model_for_NEMO2 (EMC Update) v0.29_NRA_model_for_NEMO2 (EMC Update) v0.29.2_NRA_model_for_NEMO2 (EMC Update) v0.29.3_NRA_model_for_NEMO2 (EMC Update) v0 30 1" xfId="1450" xr:uid="{00000000-0005-0000-0000-000055050000}"/>
    <cellStyle name="%_NRA_model_for_NEMO2 (EMC Update) v0.21_NRA_model_for_NEMO2 (EMC Update) v0.26_NRA_model_for_NEMO2 (EMC Update) v0.29_NRA_model_for_NEMO2 (EMC Update) v0.29.2_NRA_model_for_NEMO2 (EMC Update) v0.29.3_NRA_model_for_NEMO2 (EMC Update) v0.29.5" xfId="1451" xr:uid="{00000000-0005-0000-0000-000056050000}"/>
    <cellStyle name="%_NRA_model_for_NEMO2 (EMC Update) v0.21_NRA_model_for_NEMO2 (EMC Update) v0.26_NRA_model_for_NEMO2 (EMC Update) v0.29_NRA_model_for_NEMO2 (EMC Update) v0.29.2_NRA_model_for_NEMO2 (EMC Update) v0.29.4" xfId="1452" xr:uid="{00000000-0005-0000-0000-000057050000}"/>
    <cellStyle name="%_NRA_model_for_NEMO2 (EMC Update) v0.21_NRA_model_for_NEMO2 (EMC Update) v0.26_NRA_model_for_NEMO2 (EMC Update) v0.29_NRA_model_for_NEMO2 (EMC Update) v0.29.2_NRA_model_for_NEMO2 (EMC Update) v0.29.4_NRA_model_for_NEMO2 (EMC Update) v0 30 1" xfId="1453" xr:uid="{00000000-0005-0000-0000-000058050000}"/>
    <cellStyle name="%_NRA_model_for_NEMO2 (EMC Update) v0.21_NRA_model_for_NEMO2 (EMC Update) v0.26_NRA_model_for_NEMO2 (EMC Update) v0.29_NRA_model_for_NEMO2 (EMC Update) v0.29.2_NRA_model_for_NEMO2 (EMC Update) v0.29.4_NRA_model_for_NEMO2 (EMC Update) v0.29.5" xfId="1454" xr:uid="{00000000-0005-0000-0000-000059050000}"/>
    <cellStyle name="%_NRA_model_for_NEMO2 (EMC Update) v0.21_NRA_model_for_NEMO2 (EMC Update) v0.26_NRA_model_for_NEMO2 (EMC Update) v0.29_NRA_model_for_NEMO2 (EMC Update) v0.29.2_NRA_model_for_NEMO2 (EMC Update) v0.29.5" xfId="1455" xr:uid="{00000000-0005-0000-0000-00005A050000}"/>
    <cellStyle name="%_NRA_model_for_NEMO2 (EMC Update) v0.21_NRA_model_for_NEMO2 (EMC Update) v0.26_NRA_model_for_NEMO2 (EMC Update) v0.29_NRA_model_for_NEMO2 (EMC Update) v0.29.2_NRA_model_for_NEMO2 (EMC Update) v0.29.5_NRA_model_for_NEMO2 (EMC Update) v0 30 1" xfId="1456" xr:uid="{00000000-0005-0000-0000-00005B050000}"/>
    <cellStyle name="%_NRA_model_for_NEMO2 (EMC Update) v0.21_NRA_model_for_NEMO2 (EMC Update) v0.26_NRA_model_for_NEMO2 (EMC Update) v0.29_NRA_model_for_NEMO2 (EMC Update) v0.29.3" xfId="1457" xr:uid="{00000000-0005-0000-0000-00005C050000}"/>
    <cellStyle name="%_NRA_model_for_NEMO2 (EMC Update) v0.21_NRA_model_for_NEMO2 (EMC Update) v0.26_NRA_model_for_NEMO2 (EMC Update) v0.29_NRA_model_for_NEMO2 (EMC Update) v0.29.3_NRA_model_for_NEMO2 (EMC Update) v0 30 1" xfId="1458" xr:uid="{00000000-0005-0000-0000-00005D050000}"/>
    <cellStyle name="%_NRA_model_for_NEMO2 (EMC Update) v0.21_NRA_model_for_NEMO2 (EMC Update) v0.26_NRA_model_for_NEMO2 (EMC Update) v0.29_NRA_model_for_NEMO2 (EMC Update) v0.29.3_NRA_model_for_NEMO2 (EMC Update) v0.29.5" xfId="1459" xr:uid="{00000000-0005-0000-0000-00005E050000}"/>
    <cellStyle name="%_NRA_model_for_NEMO2 (EMC Update) v0.21_NRA_model_for_NEMO2 (EMC Update) v0.26_NRA_model_for_NEMO2 (EMC Update) v0.29_NRA_model_for_NEMO2 (EMC Update) v0.29.3_NRA_model_for_NEMO2 (EMC Update) v0.29.5_NRA_model_for_NEMO2 (EMC Update) v0 30 1" xfId="1460" xr:uid="{00000000-0005-0000-0000-00005F050000}"/>
    <cellStyle name="%_NRA_model_for_NEMO2 (EMC Update) v0.21_NRA_model_for_NEMO2 (EMC Update) v0.26_NRA_model_for_NEMO2 (EMC Update) v0.29_NRA_model_for_NEMO2 (EMC Update) v0.29.4" xfId="1461" xr:uid="{00000000-0005-0000-0000-000060050000}"/>
    <cellStyle name="%_NRA_model_for_NEMO2 (EMC Update) v0.21_NRA_model_for_NEMO2 (EMC Update) v0.26_NRA_model_for_NEMO2 (EMC Update) v0.29_NRA_model_for_NEMO2 (EMC Update) v0.29.4_NRA_model_for_NEMO2 (EMC Update) v0 30 1" xfId="1462" xr:uid="{00000000-0005-0000-0000-000061050000}"/>
    <cellStyle name="%_NRA_model_for_NEMO2 (EMC Update) v0.21_NRA_model_for_NEMO2 (EMC Update) v0.26_NRA_model_for_NEMO2 (EMC Update) v0.29_NRA_model_for_NEMO2 (EMC Update) v0.29.4_NRA_model_for_NEMO2 (EMC Update) v0.29.5" xfId="1463" xr:uid="{00000000-0005-0000-0000-000062050000}"/>
    <cellStyle name="%_NRA_model_for_NEMO2 (EMC Update) v0.21_NRA_model_for_NEMO2 (EMC Update) v0.26_NRA_model_for_NEMO2 (EMC Update) v0.29_NRA_model_for_NEMO2 (EMC Update) v0.29.4_NRA_model_for_NEMO2 (EMC Update) v0.29.5_NRA_model_for_NEMO2 (EMC Update) v0 30 1" xfId="1464" xr:uid="{00000000-0005-0000-0000-000063050000}"/>
    <cellStyle name="%_NRA_model_for_NEMO2 (EMC Update) v0.21_NRA_model_for_NEMO2 (EMC Update) v0.26_NRA_model_for_NEMO2 (EMC Update) v0.29_NRA_model_for_NEMO2 (EMC Update) v0.29.5" xfId="1465" xr:uid="{00000000-0005-0000-0000-000064050000}"/>
    <cellStyle name="%_NRA_model_for_NEMO2 (EMC Update) v0.21_NRA_model_for_NEMO2 (EMC Update) v0.26_NRA_model_for_NEMO2 (EMC Update) v0.29_NRA_model_for_NEMO2 (EMC Update) v0.29.5_NRA_model_for_NEMO2 (EMC Update) v0 30 1" xfId="1466" xr:uid="{00000000-0005-0000-0000-000065050000}"/>
    <cellStyle name="%_NRA_model_for_NEMO2 (EMC Update) v0.21_NRA_model_for_NEMO2 (EMC Update) v0.29" xfId="1467" xr:uid="{00000000-0005-0000-0000-000066050000}"/>
    <cellStyle name="%_NRA_model_for_NEMO2 (EMC Update) v0.21_NRA_model_for_NEMO2 (EMC Update) v0.29.2" xfId="1468" xr:uid="{00000000-0005-0000-0000-000067050000}"/>
    <cellStyle name="%_NRA_model_for_NEMO2 (EMC Update) v0.21_NRA_model_for_NEMO2 (EMC Update) v0.29.2_NRA_model_for_NEMO2 (EMC Update) v0 30 1" xfId="1469" xr:uid="{00000000-0005-0000-0000-000068050000}"/>
    <cellStyle name="%_NRA_model_for_NEMO2 (EMC Update) v0.21_NRA_model_for_NEMO2 (EMC Update) v0.29.2_NRA_model_for_NEMO2 (EMC Update) v0.29.3" xfId="1470" xr:uid="{00000000-0005-0000-0000-000069050000}"/>
    <cellStyle name="%_NRA_model_for_NEMO2 (EMC Update) v0.21_NRA_model_for_NEMO2 (EMC Update) v0.29.2_NRA_model_for_NEMO2 (EMC Update) v0.29.3_NRA_model_for_NEMO2 (EMC Update) v0 30 1" xfId="1471" xr:uid="{00000000-0005-0000-0000-00006A050000}"/>
    <cellStyle name="%_NRA_model_for_NEMO2 (EMC Update) v0.21_NRA_model_for_NEMO2 (EMC Update) v0.29.2_NRA_model_for_NEMO2 (EMC Update) v0.29.3_NRA_model_for_NEMO2 (EMC Update) v0.29.5" xfId="1472" xr:uid="{00000000-0005-0000-0000-00006B050000}"/>
    <cellStyle name="%_NRA_model_for_NEMO2 (EMC Update) v0.21_NRA_model_for_NEMO2 (EMC Update) v0.29.2_NRA_model_for_NEMO2 (EMC Update) v0.29.3_NRA_model_for_NEMO2 (EMC Update) v0.29.5_NRA_model_for_NEMO2 (EMC Update) v0 30 1" xfId="1473" xr:uid="{00000000-0005-0000-0000-00006C050000}"/>
    <cellStyle name="%_NRA_model_for_NEMO2 (EMC Update) v0.21_NRA_model_for_NEMO2 (EMC Update) v0.29.2_NRA_model_for_NEMO2 (EMC Update) v0.29.4" xfId="1474" xr:uid="{00000000-0005-0000-0000-00006D050000}"/>
    <cellStyle name="%_NRA_model_for_NEMO2 (EMC Update) v0.21_NRA_model_for_NEMO2 (EMC Update) v0.29.2_NRA_model_for_NEMO2 (EMC Update) v0.29.4_NRA_model_for_NEMO2 (EMC Update) v0 30 1" xfId="1475" xr:uid="{00000000-0005-0000-0000-00006E050000}"/>
    <cellStyle name="%_NRA_model_for_NEMO2 (EMC Update) v0.21_NRA_model_for_NEMO2 (EMC Update) v0.29.2_NRA_model_for_NEMO2 (EMC Update) v0.29.4_NRA_model_for_NEMO2 (EMC Update) v0.29.5" xfId="1476" xr:uid="{00000000-0005-0000-0000-00006F050000}"/>
    <cellStyle name="%_NRA_model_for_NEMO2 (EMC Update) v0.21_NRA_model_for_NEMO2 (EMC Update) v0.29.2_NRA_model_for_NEMO2 (EMC Update) v0.29.4_NRA_model_for_NEMO2 (EMC Update) v0.29.5_NRA_model_for_NEMO2 (EMC Update) v0 30 1" xfId="1477" xr:uid="{00000000-0005-0000-0000-000070050000}"/>
    <cellStyle name="%_NRA_model_for_NEMO2 (EMC Update) v0.21_NRA_model_for_NEMO2 (EMC Update) v0.29.2_NRA_model_for_NEMO2 (EMC Update) v0.29.5" xfId="1478" xr:uid="{00000000-0005-0000-0000-000071050000}"/>
    <cellStyle name="%_NRA_model_for_NEMO2 (EMC Update) v0.21_NRA_model_for_NEMO2 (EMC Update) v0.29.2_NRA_model_for_NEMO2 (EMC Update) v0.29.5_NRA_model_for_NEMO2 (EMC Update) v0 30 1" xfId="1479" xr:uid="{00000000-0005-0000-0000-000072050000}"/>
    <cellStyle name="%_NRA_model_for_NEMO2 (EMC Update) v0.21_NRA_model_for_NEMO2 (EMC Update) v0.29.3" xfId="1480" xr:uid="{00000000-0005-0000-0000-000073050000}"/>
    <cellStyle name="%_NRA_model_for_NEMO2 (EMC Update) v0.21_NRA_model_for_NEMO2 (EMC Update) v0.29.3_NRA_model_for_NEMO2 (EMC Update) v0 30 1" xfId="1481" xr:uid="{00000000-0005-0000-0000-000074050000}"/>
    <cellStyle name="%_NRA_model_for_NEMO2 (EMC Update) v0.21_NRA_model_for_NEMO2 (EMC Update) v0.29.3_NRA_model_for_NEMO2 (EMC Update) v0.29.5" xfId="1482" xr:uid="{00000000-0005-0000-0000-000075050000}"/>
    <cellStyle name="%_NRA_model_for_NEMO2 (EMC Update) v0.21_NRA_model_for_NEMO2 (EMC Update) v0.29.3_NRA_model_for_NEMO2 (EMC Update) v0.29.5_NRA_model_for_NEMO2 (EMC Update) v0 30 1" xfId="1483" xr:uid="{00000000-0005-0000-0000-000076050000}"/>
    <cellStyle name="%_NRA_model_for_NEMO2 (EMC Update) v0.21_NRA_model_for_NEMO2 (EMC Update) v0.29.4" xfId="1484" xr:uid="{00000000-0005-0000-0000-000077050000}"/>
    <cellStyle name="%_NRA_model_for_NEMO2 (EMC Update) v0.21_NRA_model_for_NEMO2 (EMC Update) v0.29.4_NRA_model_for_NEMO2 (EMC Update) v0 30 1" xfId="1485" xr:uid="{00000000-0005-0000-0000-000078050000}"/>
    <cellStyle name="%_NRA_model_for_NEMO2 (EMC Update) v0.21_NRA_model_for_NEMO2 (EMC Update) v0.29.4_NRA_model_for_NEMO2 (EMC Update) v0.29.5" xfId="1486" xr:uid="{00000000-0005-0000-0000-000079050000}"/>
    <cellStyle name="%_NRA_model_for_NEMO2 (EMC Update) v0.21_NRA_model_for_NEMO2 (EMC Update) v0.29.4_NRA_model_for_NEMO2 (EMC Update) v0.29.5_NRA_model_for_NEMO2 (EMC Update) v0 30 1" xfId="1487" xr:uid="{00000000-0005-0000-0000-00007A050000}"/>
    <cellStyle name="%_NRA_model_for_NEMO2 (EMC Update) v0.21_NRA_model_for_NEMO2 (EMC Update) v0.29.5" xfId="1488" xr:uid="{00000000-0005-0000-0000-00007B050000}"/>
    <cellStyle name="%_NRA_model_for_NEMO2 (EMC Update) v0.21_NRA_model_for_NEMO2 (EMC Update) v0.29.5_NRA_model_for_NEMO2 (EMC Update) v0 30 1" xfId="1489" xr:uid="{00000000-0005-0000-0000-00007C050000}"/>
    <cellStyle name="%_NRA_model_for_NEMO2 (EMC Update) v0.21_NRA_model_for_NEMO2 (EMC Update) v0.29_NRA_model_for_NEMO2 (EMC Update) v0 30 1" xfId="1490" xr:uid="{00000000-0005-0000-0000-00007D050000}"/>
    <cellStyle name="%_NRA_model_for_NEMO2 (EMC Update) v0.21_NRA_model_for_NEMO2 (EMC Update) v0.29_NRA_model_for_NEMO2 (EMC Update) v0.29.2" xfId="1491" xr:uid="{00000000-0005-0000-0000-00007E050000}"/>
    <cellStyle name="%_NRA_model_for_NEMO2 (EMC Update) v0.21_NRA_model_for_NEMO2 (EMC Update) v0.29_NRA_model_for_NEMO2 (EMC Update) v0.29.2_NRA_model_for_NEMO2 (EMC Update) v0 30 1" xfId="1492" xr:uid="{00000000-0005-0000-0000-00007F050000}"/>
    <cellStyle name="%_NRA_model_for_NEMO2 (EMC Update) v0.21_NRA_model_for_NEMO2 (EMC Update) v0.29_NRA_model_for_NEMO2 (EMC Update) v0.29.2_NRA_model_for_NEMO2 (EMC Update) v0.29.3" xfId="1493" xr:uid="{00000000-0005-0000-0000-000080050000}"/>
    <cellStyle name="%_NRA_model_for_NEMO2 (EMC Update) v0.21_NRA_model_for_NEMO2 (EMC Update) v0.29_NRA_model_for_NEMO2 (EMC Update) v0.29.2_NRA_model_for_NEMO2 (EMC Update) v0.29.3_NRA_model_for_NEMO2 (EMC Update) v0 30 1" xfId="1494" xr:uid="{00000000-0005-0000-0000-000081050000}"/>
    <cellStyle name="%_NRA_model_for_NEMO2 (EMC Update) v0.21_NRA_model_for_NEMO2 (EMC Update) v0.29_NRA_model_for_NEMO2 (EMC Update) v0.29.2_NRA_model_for_NEMO2 (EMC Update) v0.29.3_NRA_model_for_NEMO2 (EMC Update) v0.29.5" xfId="1495" xr:uid="{00000000-0005-0000-0000-000082050000}"/>
    <cellStyle name="%_NRA_model_for_NEMO2 (EMC Update) v0.21_NRA_model_for_NEMO2 (EMC Update) v0.29_NRA_model_for_NEMO2 (EMC Update) v0.29.2_NRA_model_for_NEMO2 (EMC Update) v0.29.3_NRA_model_for_NEMO2 (EMC Update) v0.29.5_NRA_model_for_NEMO2 (EMC Update) v0 30 1" xfId="1496" xr:uid="{00000000-0005-0000-0000-000083050000}"/>
    <cellStyle name="%_NRA_model_for_NEMO2 (EMC Update) v0.21_NRA_model_for_NEMO2 (EMC Update) v0.29_NRA_model_for_NEMO2 (EMC Update) v0.29.2_NRA_model_for_NEMO2 (EMC Update) v0.29.4" xfId="1497" xr:uid="{00000000-0005-0000-0000-000084050000}"/>
    <cellStyle name="%_NRA_model_for_NEMO2 (EMC Update) v0.21_NRA_model_for_NEMO2 (EMC Update) v0.29_NRA_model_for_NEMO2 (EMC Update) v0.29.2_NRA_model_for_NEMO2 (EMC Update) v0.29.4_NRA_model_for_NEMO2 (EMC Update) v0 30 1" xfId="1498" xr:uid="{00000000-0005-0000-0000-000085050000}"/>
    <cellStyle name="%_NRA_model_for_NEMO2 (EMC Update) v0.21_NRA_model_for_NEMO2 (EMC Update) v0.29_NRA_model_for_NEMO2 (EMC Update) v0.29.2_NRA_model_for_NEMO2 (EMC Update) v0.29.4_NRA_model_for_NEMO2 (EMC Update) v0.29.5" xfId="1499" xr:uid="{00000000-0005-0000-0000-000086050000}"/>
    <cellStyle name="%_NRA_model_for_NEMO2 (EMC Update) v0.21_NRA_model_for_NEMO2 (EMC Update) v0.29_NRA_model_for_NEMO2 (EMC Update) v0.29.2_NRA_model_for_NEMO2 (EMC Update) v0.29.4_NRA_model_for_NEMO2 (EMC Update) v0.29.5_NRA_model_for_NEMO2 (EMC Update) v0 30 1" xfId="1500" xr:uid="{00000000-0005-0000-0000-000087050000}"/>
    <cellStyle name="%_NRA_model_for_NEMO2 (EMC Update) v0.21_NRA_model_for_NEMO2 (EMC Update) v0.29_NRA_model_for_NEMO2 (EMC Update) v0.29.2_NRA_model_for_NEMO2 (EMC Update) v0.29.5" xfId="1501" xr:uid="{00000000-0005-0000-0000-000088050000}"/>
    <cellStyle name="%_NRA_model_for_NEMO2 (EMC Update) v0.21_NRA_model_for_NEMO2 (EMC Update) v0.29_NRA_model_for_NEMO2 (EMC Update) v0.29.2_NRA_model_for_NEMO2 (EMC Update) v0.29.5_NRA_model_for_NEMO2 (EMC Update) v0 30 1" xfId="1502" xr:uid="{00000000-0005-0000-0000-000089050000}"/>
    <cellStyle name="%_NRA_model_for_NEMO2 (EMC Update) v0.21_NRA_model_for_NEMO2 (EMC Update) v0.29_NRA_model_for_NEMO2 (EMC Update) v0.29.3" xfId="1503" xr:uid="{00000000-0005-0000-0000-00008A050000}"/>
    <cellStyle name="%_NRA_model_for_NEMO2 (EMC Update) v0.21_NRA_model_for_NEMO2 (EMC Update) v0.29_NRA_model_for_NEMO2 (EMC Update) v0.29.3_NRA_model_for_NEMO2 (EMC Update) v0 30 1" xfId="1504" xr:uid="{00000000-0005-0000-0000-00008B050000}"/>
    <cellStyle name="%_NRA_model_for_NEMO2 (EMC Update) v0.21_NRA_model_for_NEMO2 (EMC Update) v0.29_NRA_model_for_NEMO2 (EMC Update) v0.29.3_NRA_model_for_NEMO2 (EMC Update) v0.29.5" xfId="1505" xr:uid="{00000000-0005-0000-0000-00008C050000}"/>
    <cellStyle name="%_NRA_model_for_NEMO2 (EMC Update) v0.21_NRA_model_for_NEMO2 (EMC Update) v0.29_NRA_model_for_NEMO2 (EMC Update) v0.29.3_NRA_model_for_NEMO2 (EMC Update) v0.29.5_NRA_model_for_NEMO2 (EMC Update) v0 30 1" xfId="1506" xr:uid="{00000000-0005-0000-0000-00008D050000}"/>
    <cellStyle name="%_NRA_model_for_NEMO2 (EMC Update) v0.21_NRA_model_for_NEMO2 (EMC Update) v0.29_NRA_model_for_NEMO2 (EMC Update) v0.29.4" xfId="1507" xr:uid="{00000000-0005-0000-0000-00008E050000}"/>
    <cellStyle name="%_NRA_model_for_NEMO2 (EMC Update) v0.21_NRA_model_for_NEMO2 (EMC Update) v0.29_NRA_model_for_NEMO2 (EMC Update) v0.29.4_NRA_model_for_NEMO2 (EMC Update) v0 30 1" xfId="1508" xr:uid="{00000000-0005-0000-0000-00008F050000}"/>
    <cellStyle name="%_NRA_model_for_NEMO2 (EMC Update) v0.21_NRA_model_for_NEMO2 (EMC Update) v0.29_NRA_model_for_NEMO2 (EMC Update) v0.29.4_NRA_model_for_NEMO2 (EMC Update) v0.29.5" xfId="1509" xr:uid="{00000000-0005-0000-0000-000090050000}"/>
    <cellStyle name="%_NRA_model_for_NEMO2 (EMC Update) v0.21_NRA_model_for_NEMO2 (EMC Update) v0.29_NRA_model_for_NEMO2 (EMC Update) v0.29.4_NRA_model_for_NEMO2 (EMC Update) v0.29.5_NRA_model_for_NEMO2 (EMC Update) v0 30 1" xfId="1510" xr:uid="{00000000-0005-0000-0000-000091050000}"/>
    <cellStyle name="%_NRA_model_for_NEMO2 (EMC Update) v0.21_NRA_model_for_NEMO2 (EMC Update) v0.29_NRA_model_for_NEMO2 (EMC Update) v0.29.5" xfId="1511" xr:uid="{00000000-0005-0000-0000-000092050000}"/>
    <cellStyle name="%_NRA_model_for_NEMO2 (EMC Update) v0.21_NRA_model_for_NEMO2 (EMC Update) v0.29_NRA_model_for_NEMO2 (EMC Update) v0.29.5_NRA_model_for_NEMO2 (EMC Update) v0 30 1" xfId="1512" xr:uid="{00000000-0005-0000-0000-000093050000}"/>
    <cellStyle name="%_NRA_model_for_NEMO2 (EMC Update) v0.22" xfId="1513" xr:uid="{00000000-0005-0000-0000-000094050000}"/>
    <cellStyle name="%_NRA_model_for_NEMO2 (EMC Update) v0.22_NRA_model_for_NEMO2 (EMC Update) v0 30 1" xfId="1514" xr:uid="{00000000-0005-0000-0000-000095050000}"/>
    <cellStyle name="%_NRA_model_for_NEMO2 (EMC Update) v0.22_NRA_model_for_NEMO2 (EMC Update) v0.25" xfId="1515" xr:uid="{00000000-0005-0000-0000-000096050000}"/>
    <cellStyle name="%_NRA_model_for_NEMO2 (EMC Update) v0.22_NRA_model_for_NEMO2 (EMC Update) v0.25_NRA_model_for_NEMO2 (EMC Update) v0 30 1" xfId="1516" xr:uid="{00000000-0005-0000-0000-000097050000}"/>
    <cellStyle name="%_NRA_model_for_NEMO2 (EMC Update) v0.22_NRA_model_for_NEMO2 (EMC Update) v0.25_NRA_model_for_NEMO2 (EMC Update) v0.26" xfId="1517" xr:uid="{00000000-0005-0000-0000-000098050000}"/>
    <cellStyle name="%_NRA_model_for_NEMO2 (EMC Update) v0.22_NRA_model_for_NEMO2 (EMC Update) v0.25_NRA_model_for_NEMO2 (EMC Update) v0.26_NRA_model_for_NEMO2 (EMC Update) v0 30 1" xfId="1518" xr:uid="{00000000-0005-0000-0000-000099050000}"/>
    <cellStyle name="%_NRA_model_for_NEMO2 (EMC Update) v0.22_NRA_model_for_NEMO2 (EMC Update) v0.25_NRA_model_for_NEMO2 (EMC Update) v0.26_NRA_model_for_NEMO2 (EMC Update) v0.29" xfId="1519" xr:uid="{00000000-0005-0000-0000-00009A050000}"/>
    <cellStyle name="%_NRA_model_for_NEMO2 (EMC Update) v0.22_NRA_model_for_NEMO2 (EMC Update) v0.25_NRA_model_for_NEMO2 (EMC Update) v0.26_NRA_model_for_NEMO2 (EMC Update) v0.29.2" xfId="1520" xr:uid="{00000000-0005-0000-0000-00009B050000}"/>
    <cellStyle name="%_NRA_model_for_NEMO2 (EMC Update) v0.22_NRA_model_for_NEMO2 (EMC Update) v0.25_NRA_model_for_NEMO2 (EMC Update) v0.26_NRA_model_for_NEMO2 (EMC Update) v0.29.2_NRA_model_for_NEMO2 (EMC Update) v0 30 1" xfId="1521" xr:uid="{00000000-0005-0000-0000-00009C050000}"/>
    <cellStyle name="%_NRA_model_for_NEMO2 (EMC Update) v0.22_NRA_model_for_NEMO2 (EMC Update) v0.25_NRA_model_for_NEMO2 (EMC Update) v0.26_NRA_model_for_NEMO2 (EMC Update) v0.29.2_NRA_model_for_NEMO2 (EMC Update) v0.29.3" xfId="1522" xr:uid="{00000000-0005-0000-0000-00009D050000}"/>
    <cellStyle name="%_NRA_model_for_NEMO2 (EMC Update) v0.22_NRA_model_for_NEMO2 (EMC Update) v0.25_NRA_model_for_NEMO2 (EMC Update) v0.26_NRA_model_for_NEMO2 (EMC Update) v0.29.2_NRA_model_for_NEMO2 (EMC Update) v0.29.3_NRA_model_for_NEMO2 (EMC Update) v0 30 1" xfId="1523" xr:uid="{00000000-0005-0000-0000-00009E050000}"/>
    <cellStyle name="%_NRA_model_for_NEMO2 (EMC Update) v0.22_NRA_model_for_NEMO2 (EMC Update) v0.25_NRA_model_for_NEMO2 (EMC Update) v0.26_NRA_model_for_NEMO2 (EMC Update) v0.29.2_NRA_model_for_NEMO2 (EMC Update) v0.29.3_NRA_model_for_NEMO2 (EMC Update) v0.29.5" xfId="1524" xr:uid="{00000000-0005-0000-0000-00009F050000}"/>
    <cellStyle name="%_NRA_model_for_NEMO2 (EMC Update) v0.22_NRA_model_for_NEMO2 (EMC Update) v0.25_NRA_model_for_NEMO2 (EMC Update) v0.26_NRA_model_for_NEMO2 (EMC Update) v0.29.2_NRA_model_for_NEMO2 (EMC Update) v0.29.4" xfId="1525" xr:uid="{00000000-0005-0000-0000-0000A0050000}"/>
    <cellStyle name="%_NRA_model_for_NEMO2 (EMC Update) v0.22_NRA_model_for_NEMO2 (EMC Update) v0.25_NRA_model_for_NEMO2 (EMC Update) v0.26_NRA_model_for_NEMO2 (EMC Update) v0.29.2_NRA_model_for_NEMO2 (EMC Update) v0.29.4_NRA_model_for_NEMO2 (EMC Update) v0 30 1" xfId="1526" xr:uid="{00000000-0005-0000-0000-0000A1050000}"/>
    <cellStyle name="%_NRA_model_for_NEMO2 (EMC Update) v0.22_NRA_model_for_NEMO2 (EMC Update) v0.25_NRA_model_for_NEMO2 (EMC Update) v0.26_NRA_model_for_NEMO2 (EMC Update) v0.29.2_NRA_model_for_NEMO2 (EMC Update) v0.29.4_NRA_model_for_NEMO2 (EMC Update) v0.29.5" xfId="1527" xr:uid="{00000000-0005-0000-0000-0000A2050000}"/>
    <cellStyle name="%_NRA_model_for_NEMO2 (EMC Update) v0.22_NRA_model_for_NEMO2 (EMC Update) v0.25_NRA_model_for_NEMO2 (EMC Update) v0.26_NRA_model_for_NEMO2 (EMC Update) v0.29.2_NRA_model_for_NEMO2 (EMC Update) v0.29.5" xfId="1528" xr:uid="{00000000-0005-0000-0000-0000A3050000}"/>
    <cellStyle name="%_NRA_model_for_NEMO2 (EMC Update) v0.22_NRA_model_for_NEMO2 (EMC Update) v0.25_NRA_model_for_NEMO2 (EMC Update) v0.26_NRA_model_for_NEMO2 (EMC Update) v0.29.2_NRA_model_for_NEMO2 (EMC Update) v0.29.5_NRA_model_for_NEMO2 (EMC Update) v0 30 1" xfId="1529" xr:uid="{00000000-0005-0000-0000-0000A4050000}"/>
    <cellStyle name="%_NRA_model_for_NEMO2 (EMC Update) v0.22_NRA_model_for_NEMO2 (EMC Update) v0.25_NRA_model_for_NEMO2 (EMC Update) v0.26_NRA_model_for_NEMO2 (EMC Update) v0.29.3" xfId="1530" xr:uid="{00000000-0005-0000-0000-0000A5050000}"/>
    <cellStyle name="%_NRA_model_for_NEMO2 (EMC Update) v0.22_NRA_model_for_NEMO2 (EMC Update) v0.25_NRA_model_for_NEMO2 (EMC Update) v0.26_NRA_model_for_NEMO2 (EMC Update) v0.29.3_NRA_model_for_NEMO2 (EMC Update) v0 30 1" xfId="1531" xr:uid="{00000000-0005-0000-0000-0000A6050000}"/>
    <cellStyle name="%_NRA_model_for_NEMO2 (EMC Update) v0.22_NRA_model_for_NEMO2 (EMC Update) v0.25_NRA_model_for_NEMO2 (EMC Update) v0.26_NRA_model_for_NEMO2 (EMC Update) v0.29.3_NRA_model_for_NEMO2 (EMC Update) v0.29.5" xfId="1532" xr:uid="{00000000-0005-0000-0000-0000A7050000}"/>
    <cellStyle name="%_NRA_model_for_NEMO2 (EMC Update) v0.22_NRA_model_for_NEMO2 (EMC Update) v0.25_NRA_model_for_NEMO2 (EMC Update) v0.26_NRA_model_for_NEMO2 (EMC Update) v0.29.3_NRA_model_for_NEMO2 (EMC Update) v0.29.5_NRA_model_for_NEMO2 (EMC Update) v0 30 1" xfId="1533" xr:uid="{00000000-0005-0000-0000-0000A8050000}"/>
    <cellStyle name="%_NRA_model_for_NEMO2 (EMC Update) v0.22_NRA_model_for_NEMO2 (EMC Update) v0.25_NRA_model_for_NEMO2 (EMC Update) v0.26_NRA_model_for_NEMO2 (EMC Update) v0.29.4" xfId="1534" xr:uid="{00000000-0005-0000-0000-0000A9050000}"/>
    <cellStyle name="%_NRA_model_for_NEMO2 (EMC Update) v0.22_NRA_model_for_NEMO2 (EMC Update) v0.25_NRA_model_for_NEMO2 (EMC Update) v0.26_NRA_model_for_NEMO2 (EMC Update) v0.29.4_NRA_model_for_NEMO2 (EMC Update) v0 30 1" xfId="1535" xr:uid="{00000000-0005-0000-0000-0000AA050000}"/>
    <cellStyle name="%_NRA_model_for_NEMO2 (EMC Update) v0.22_NRA_model_for_NEMO2 (EMC Update) v0.25_NRA_model_for_NEMO2 (EMC Update) v0.26_NRA_model_for_NEMO2 (EMC Update) v0.29.4_NRA_model_for_NEMO2 (EMC Update) v0.29.5" xfId="1536" xr:uid="{00000000-0005-0000-0000-0000AB050000}"/>
    <cellStyle name="%_NRA_model_for_NEMO2 (EMC Update) v0.22_NRA_model_for_NEMO2 (EMC Update) v0.25_NRA_model_for_NEMO2 (EMC Update) v0.26_NRA_model_for_NEMO2 (EMC Update) v0.29.4_NRA_model_for_NEMO2 (EMC Update) v0.29.5_NRA_model_for_NEMO2 (EMC Update) v0 30 1" xfId="1537" xr:uid="{00000000-0005-0000-0000-0000AC050000}"/>
    <cellStyle name="%_NRA_model_for_NEMO2 (EMC Update) v0.22_NRA_model_for_NEMO2 (EMC Update) v0.25_NRA_model_for_NEMO2 (EMC Update) v0.26_NRA_model_for_NEMO2 (EMC Update) v0.29.5" xfId="1538" xr:uid="{00000000-0005-0000-0000-0000AD050000}"/>
    <cellStyle name="%_NRA_model_for_NEMO2 (EMC Update) v0.22_NRA_model_for_NEMO2 (EMC Update) v0.25_NRA_model_for_NEMO2 (EMC Update) v0.26_NRA_model_for_NEMO2 (EMC Update) v0.29.5_NRA_model_for_NEMO2 (EMC Update) v0 30 1" xfId="1539" xr:uid="{00000000-0005-0000-0000-0000AE050000}"/>
    <cellStyle name="%_NRA_model_for_NEMO2 (EMC Update) v0.22_NRA_model_for_NEMO2 (EMC Update) v0.25_NRA_model_for_NEMO2 (EMC Update) v0.26_NRA_model_for_NEMO2 (EMC Update) v0.29_NRA_model_for_NEMO2 (EMC Update) v0 30 1" xfId="1540" xr:uid="{00000000-0005-0000-0000-0000AF050000}"/>
    <cellStyle name="%_NRA_model_for_NEMO2 (EMC Update) v0.22_NRA_model_for_NEMO2 (EMC Update) v0.25_NRA_model_for_NEMO2 (EMC Update) v0.26_NRA_model_for_NEMO2 (EMC Update) v0.29_NRA_model_for_NEMO2 (EMC Update) v0.29.2" xfId="1541" xr:uid="{00000000-0005-0000-0000-0000B0050000}"/>
    <cellStyle name="%_NRA_model_for_NEMO2 (EMC Update) v0.22_NRA_model_for_NEMO2 (EMC Update) v0.25_NRA_model_for_NEMO2 (EMC Update) v0.26_NRA_model_for_NEMO2 (EMC Update) v0.29_NRA_model_for_NEMO2 (EMC Update) v0.29.2_NRA_model_for_NEMO2 (EMC Update) v0 30 1" xfId="1542" xr:uid="{00000000-0005-0000-0000-0000B1050000}"/>
    <cellStyle name="%_NRA_model_for_NEMO2 (EMC Update) v0.22_NRA_model_for_NEMO2 (EMC Update) v0.25_NRA_model_for_NEMO2 (EMC Update) v0.26_NRA_model_for_NEMO2 (EMC Update) v0.29_NRA_model_for_NEMO2 (EMC Update) v0.29.2_NRA_model_for_NEMO2 (EMC Update) v0.29.3" xfId="1543" xr:uid="{00000000-0005-0000-0000-0000B2050000}"/>
    <cellStyle name="%_NRA_model_for_NEMO2 (EMC Update) v0.22_NRA_model_for_NEMO2 (EMC Update) v0.25_NRA_model_for_NEMO2 (EMC Update) v0.26_NRA_model_for_NEMO2 (EMC Update) v0.29_NRA_model_for_NEMO2 (EMC Update) v0.29.2_NRA_model_for_NEMO2 (EMC Update) v0.29.4" xfId="1544" xr:uid="{00000000-0005-0000-0000-0000B3050000}"/>
    <cellStyle name="%_NRA_model_for_NEMO2 (EMC Update) v0.22_NRA_model_for_NEMO2 (EMC Update) v0.25_NRA_model_for_NEMO2 (EMC Update) v0.26_NRA_model_for_NEMO2 (EMC Update) v0.29_NRA_model_for_NEMO2 (EMC Update) v0.29.2_NRA_model_for_NEMO2 (EMC Update) v0.29.5" xfId="1545" xr:uid="{00000000-0005-0000-0000-0000B4050000}"/>
    <cellStyle name="%_NRA_model_for_NEMO2 (EMC Update) v0.22_NRA_model_for_NEMO2 (EMC Update) v0.25_NRA_model_for_NEMO2 (EMC Update) v0.26_NRA_model_for_NEMO2 (EMC Update) v0.29_NRA_model_for_NEMO2 (EMC Update) v0.29.3" xfId="1546" xr:uid="{00000000-0005-0000-0000-0000B5050000}"/>
    <cellStyle name="%_NRA_model_for_NEMO2 (EMC Update) v0.22_NRA_model_for_NEMO2 (EMC Update) v0.25_NRA_model_for_NEMO2 (EMC Update) v0.26_NRA_model_for_NEMO2 (EMC Update) v0.29_NRA_model_for_NEMO2 (EMC Update) v0.29.3_NRA_model_for_NEMO2 (EMC Update) v0 30 1" xfId="1547" xr:uid="{00000000-0005-0000-0000-0000B6050000}"/>
    <cellStyle name="%_NRA_model_for_NEMO2 (EMC Update) v0.22_NRA_model_for_NEMO2 (EMC Update) v0.25_NRA_model_for_NEMO2 (EMC Update) v0.26_NRA_model_for_NEMO2 (EMC Update) v0.29_NRA_model_for_NEMO2 (EMC Update) v0.29.3_NRA_model_for_NEMO2 (EMC Update) v0.29.5" xfId="1548" xr:uid="{00000000-0005-0000-0000-0000B7050000}"/>
    <cellStyle name="%_NRA_model_for_NEMO2 (EMC Update) v0.22_NRA_model_for_NEMO2 (EMC Update) v0.25_NRA_model_for_NEMO2 (EMC Update) v0.26_NRA_model_for_NEMO2 (EMC Update) v0.29_NRA_model_for_NEMO2 (EMC Update) v0.29.4" xfId="1549" xr:uid="{00000000-0005-0000-0000-0000B8050000}"/>
    <cellStyle name="%_NRA_model_for_NEMO2 (EMC Update) v0.22_NRA_model_for_NEMO2 (EMC Update) v0.25_NRA_model_for_NEMO2 (EMC Update) v0.26_NRA_model_for_NEMO2 (EMC Update) v0.29_NRA_model_for_NEMO2 (EMC Update) v0.29.4_NRA_model_for_NEMO2 (EMC Update) v0 30 1" xfId="1550" xr:uid="{00000000-0005-0000-0000-0000B9050000}"/>
    <cellStyle name="%_NRA_model_for_NEMO2 (EMC Update) v0.22_NRA_model_for_NEMO2 (EMC Update) v0.25_NRA_model_for_NEMO2 (EMC Update) v0.26_NRA_model_for_NEMO2 (EMC Update) v0.29_NRA_model_for_NEMO2 (EMC Update) v0.29.4_NRA_model_for_NEMO2 (EMC Update) v0.29.5" xfId="1551" xr:uid="{00000000-0005-0000-0000-0000BA050000}"/>
    <cellStyle name="%_NRA_model_for_NEMO2 (EMC Update) v0.22_NRA_model_for_NEMO2 (EMC Update) v0.25_NRA_model_for_NEMO2 (EMC Update) v0.26_NRA_model_for_NEMO2 (EMC Update) v0.29_NRA_model_for_NEMO2 (EMC Update) v0.29.5" xfId="1552" xr:uid="{00000000-0005-0000-0000-0000BB050000}"/>
    <cellStyle name="%_NRA_model_for_NEMO2 (EMC Update) v0.22_NRA_model_for_NEMO2 (EMC Update) v0.25_NRA_model_for_NEMO2 (EMC Update) v0.26_NRA_model_for_NEMO2 (EMC Update) v0.29_NRA_model_for_NEMO2 (EMC Update) v0.29.5_NRA_model_for_NEMO2 (EMC Update) v0 30 1" xfId="1553" xr:uid="{00000000-0005-0000-0000-0000BC050000}"/>
    <cellStyle name="%_NRA_model_for_NEMO2 (EMC Update) v0.22_NRA_model_for_NEMO2 (EMC Update) v0.25_NRA_model_for_NEMO2 (EMC Update) v0.29" xfId="1554" xr:uid="{00000000-0005-0000-0000-0000BD050000}"/>
    <cellStyle name="%_NRA_model_for_NEMO2 (EMC Update) v0.22_NRA_model_for_NEMO2 (EMC Update) v0.25_NRA_model_for_NEMO2 (EMC Update) v0.29.2" xfId="1555" xr:uid="{00000000-0005-0000-0000-0000BE050000}"/>
    <cellStyle name="%_NRA_model_for_NEMO2 (EMC Update) v0.22_NRA_model_for_NEMO2 (EMC Update) v0.25_NRA_model_for_NEMO2 (EMC Update) v0.29.2_NRA_model_for_NEMO2 (EMC Update) v0 30 1" xfId="1556" xr:uid="{00000000-0005-0000-0000-0000BF050000}"/>
    <cellStyle name="%_NRA_model_for_NEMO2 (EMC Update) v0.22_NRA_model_for_NEMO2 (EMC Update) v0.25_NRA_model_for_NEMO2 (EMC Update) v0.29.2_NRA_model_for_NEMO2 (EMC Update) v0.29.3" xfId="1557" xr:uid="{00000000-0005-0000-0000-0000C0050000}"/>
    <cellStyle name="%_NRA_model_for_NEMO2 (EMC Update) v0.22_NRA_model_for_NEMO2 (EMC Update) v0.25_NRA_model_for_NEMO2 (EMC Update) v0.29.2_NRA_model_for_NEMO2 (EMC Update) v0.29.3_NRA_model_for_NEMO2 (EMC Update) v0 30 1" xfId="1558" xr:uid="{00000000-0005-0000-0000-0000C1050000}"/>
    <cellStyle name="%_NRA_model_for_NEMO2 (EMC Update) v0.22_NRA_model_for_NEMO2 (EMC Update) v0.25_NRA_model_for_NEMO2 (EMC Update) v0.29.2_NRA_model_for_NEMO2 (EMC Update) v0.29.3_NRA_model_for_NEMO2 (EMC Update) v0.29.5" xfId="1559" xr:uid="{00000000-0005-0000-0000-0000C2050000}"/>
    <cellStyle name="%_NRA_model_for_NEMO2 (EMC Update) v0.22_NRA_model_for_NEMO2 (EMC Update) v0.25_NRA_model_for_NEMO2 (EMC Update) v0.29.2_NRA_model_for_NEMO2 (EMC Update) v0.29.3_NRA_model_for_NEMO2 (EMC Update) v0.29.5_NRA_model_for_NEMO2 (EMC Update) v0 30 1" xfId="1560" xr:uid="{00000000-0005-0000-0000-0000C3050000}"/>
    <cellStyle name="%_NRA_model_for_NEMO2 (EMC Update) v0.22_NRA_model_for_NEMO2 (EMC Update) v0.25_NRA_model_for_NEMO2 (EMC Update) v0.29.2_NRA_model_for_NEMO2 (EMC Update) v0.29.4" xfId="1561" xr:uid="{00000000-0005-0000-0000-0000C4050000}"/>
    <cellStyle name="%_NRA_model_for_NEMO2 (EMC Update) v0.22_NRA_model_for_NEMO2 (EMC Update) v0.25_NRA_model_for_NEMO2 (EMC Update) v0.29.2_NRA_model_for_NEMO2 (EMC Update) v0.29.4_NRA_model_for_NEMO2 (EMC Update) v0 30 1" xfId="1562" xr:uid="{00000000-0005-0000-0000-0000C5050000}"/>
    <cellStyle name="%_NRA_model_for_NEMO2 (EMC Update) v0.22_NRA_model_for_NEMO2 (EMC Update) v0.25_NRA_model_for_NEMO2 (EMC Update) v0.29.2_NRA_model_for_NEMO2 (EMC Update) v0.29.4_NRA_model_for_NEMO2 (EMC Update) v0.29.5" xfId="1563" xr:uid="{00000000-0005-0000-0000-0000C6050000}"/>
    <cellStyle name="%_NRA_model_for_NEMO2 (EMC Update) v0.22_NRA_model_for_NEMO2 (EMC Update) v0.25_NRA_model_for_NEMO2 (EMC Update) v0.29.2_NRA_model_for_NEMO2 (EMC Update) v0.29.4_NRA_model_for_NEMO2 (EMC Update) v0.29.5_NRA_model_for_NEMO2 (EMC Update) v0 30 1" xfId="1564" xr:uid="{00000000-0005-0000-0000-0000C7050000}"/>
    <cellStyle name="%_NRA_model_for_NEMO2 (EMC Update) v0.22_NRA_model_for_NEMO2 (EMC Update) v0.25_NRA_model_for_NEMO2 (EMC Update) v0.29.2_NRA_model_for_NEMO2 (EMC Update) v0.29.5" xfId="1565" xr:uid="{00000000-0005-0000-0000-0000C8050000}"/>
    <cellStyle name="%_NRA_model_for_NEMO2 (EMC Update) v0.22_NRA_model_for_NEMO2 (EMC Update) v0.25_NRA_model_for_NEMO2 (EMC Update) v0.29.2_NRA_model_for_NEMO2 (EMC Update) v0.29.5_NRA_model_for_NEMO2 (EMC Update) v0 30 1" xfId="1566" xr:uid="{00000000-0005-0000-0000-0000C9050000}"/>
    <cellStyle name="%_NRA_model_for_NEMO2 (EMC Update) v0.22_NRA_model_for_NEMO2 (EMC Update) v0.25_NRA_model_for_NEMO2 (EMC Update) v0.29.3" xfId="1567" xr:uid="{00000000-0005-0000-0000-0000CA050000}"/>
    <cellStyle name="%_NRA_model_for_NEMO2 (EMC Update) v0.22_NRA_model_for_NEMO2 (EMC Update) v0.25_NRA_model_for_NEMO2 (EMC Update) v0.29.3_NRA_model_for_NEMO2 (EMC Update) v0 30 1" xfId="1568" xr:uid="{00000000-0005-0000-0000-0000CB050000}"/>
    <cellStyle name="%_NRA_model_for_NEMO2 (EMC Update) v0.22_NRA_model_for_NEMO2 (EMC Update) v0.25_NRA_model_for_NEMO2 (EMC Update) v0.29.3_NRA_model_for_NEMO2 (EMC Update) v0.29.5" xfId="1569" xr:uid="{00000000-0005-0000-0000-0000CC050000}"/>
    <cellStyle name="%_NRA_model_for_NEMO2 (EMC Update) v0.22_NRA_model_for_NEMO2 (EMC Update) v0.25_NRA_model_for_NEMO2 (EMC Update) v0.29.3_NRA_model_for_NEMO2 (EMC Update) v0.29.5_NRA_model_for_NEMO2 (EMC Update) v0 30 1" xfId="1570" xr:uid="{00000000-0005-0000-0000-0000CD050000}"/>
    <cellStyle name="%_NRA_model_for_NEMO2 (EMC Update) v0.22_NRA_model_for_NEMO2 (EMC Update) v0.25_NRA_model_for_NEMO2 (EMC Update) v0.29.4" xfId="1571" xr:uid="{00000000-0005-0000-0000-0000CE050000}"/>
    <cellStyle name="%_NRA_model_for_NEMO2 (EMC Update) v0.22_NRA_model_for_NEMO2 (EMC Update) v0.25_NRA_model_for_NEMO2 (EMC Update) v0.29.4_NRA_model_for_NEMO2 (EMC Update) v0 30 1" xfId="1572" xr:uid="{00000000-0005-0000-0000-0000CF050000}"/>
    <cellStyle name="%_NRA_model_for_NEMO2 (EMC Update) v0.22_NRA_model_for_NEMO2 (EMC Update) v0.25_NRA_model_for_NEMO2 (EMC Update) v0.29.4_NRA_model_for_NEMO2 (EMC Update) v0.29.5" xfId="1573" xr:uid="{00000000-0005-0000-0000-0000D0050000}"/>
    <cellStyle name="%_NRA_model_for_NEMO2 (EMC Update) v0.22_NRA_model_for_NEMO2 (EMC Update) v0.25_NRA_model_for_NEMO2 (EMC Update) v0.29.4_NRA_model_for_NEMO2 (EMC Update) v0.29.5_NRA_model_for_NEMO2 (EMC Update) v0 30 1" xfId="1574" xr:uid="{00000000-0005-0000-0000-0000D1050000}"/>
    <cellStyle name="%_NRA_model_for_NEMO2 (EMC Update) v0.22_NRA_model_for_NEMO2 (EMC Update) v0.25_NRA_model_for_NEMO2 (EMC Update) v0.29.5" xfId="1575" xr:uid="{00000000-0005-0000-0000-0000D2050000}"/>
    <cellStyle name="%_NRA_model_for_NEMO2 (EMC Update) v0.22_NRA_model_for_NEMO2 (EMC Update) v0.25_NRA_model_for_NEMO2 (EMC Update) v0.29.5_NRA_model_for_NEMO2 (EMC Update) v0 30 1" xfId="1576" xr:uid="{00000000-0005-0000-0000-0000D3050000}"/>
    <cellStyle name="%_NRA_model_for_NEMO2 (EMC Update) v0.22_NRA_model_for_NEMO2 (EMC Update) v0.25_NRA_model_for_NEMO2 (EMC Update) v0.29_NRA_model_for_NEMO2 (EMC Update) v0 30 1" xfId="1577" xr:uid="{00000000-0005-0000-0000-0000D4050000}"/>
    <cellStyle name="%_NRA_model_for_NEMO2 (EMC Update) v0.22_NRA_model_for_NEMO2 (EMC Update) v0.25_NRA_model_for_NEMO2 (EMC Update) v0.29_NRA_model_for_NEMO2 (EMC Update) v0.29.2" xfId="1578" xr:uid="{00000000-0005-0000-0000-0000D5050000}"/>
    <cellStyle name="%_NRA_model_for_NEMO2 (EMC Update) v0.22_NRA_model_for_NEMO2 (EMC Update) v0.25_NRA_model_for_NEMO2 (EMC Update) v0.29_NRA_model_for_NEMO2 (EMC Update) v0.29.2_NRA_model_for_NEMO2 (EMC Update) v0 30 1" xfId="1579" xr:uid="{00000000-0005-0000-0000-0000D6050000}"/>
    <cellStyle name="%_NRA_model_for_NEMO2 (EMC Update) v0.22_NRA_model_for_NEMO2 (EMC Update) v0.25_NRA_model_for_NEMO2 (EMC Update) v0.29_NRA_model_for_NEMO2 (EMC Update) v0.29.2_NRA_model_for_NEMO2 (EMC Update) v0.29.3" xfId="1580" xr:uid="{00000000-0005-0000-0000-0000D7050000}"/>
    <cellStyle name="%_NRA_model_for_NEMO2 (EMC Update) v0.22_NRA_model_for_NEMO2 (EMC Update) v0.25_NRA_model_for_NEMO2 (EMC Update) v0.29_NRA_model_for_NEMO2 (EMC Update) v0.29.2_NRA_model_for_NEMO2 (EMC Update) v0.29.3_NRA_model_for_NEMO2 (EMC Update) v0 30 1" xfId="1581" xr:uid="{00000000-0005-0000-0000-0000D8050000}"/>
    <cellStyle name="%_NRA_model_for_NEMO2 (EMC Update) v0.22_NRA_model_for_NEMO2 (EMC Update) v0.25_NRA_model_for_NEMO2 (EMC Update) v0.29_NRA_model_for_NEMO2 (EMC Update) v0.29.2_NRA_model_for_NEMO2 (EMC Update) v0.29.3_NRA_model_for_NEMO2 (EMC Update) v0.29.5" xfId="1582" xr:uid="{00000000-0005-0000-0000-0000D9050000}"/>
    <cellStyle name="%_NRA_model_for_NEMO2 (EMC Update) v0.22_NRA_model_for_NEMO2 (EMC Update) v0.25_NRA_model_for_NEMO2 (EMC Update) v0.29_NRA_model_for_NEMO2 (EMC Update) v0.29.2_NRA_model_for_NEMO2 (EMC Update) v0.29.4" xfId="1583" xr:uid="{00000000-0005-0000-0000-0000DA050000}"/>
    <cellStyle name="%_NRA_model_for_NEMO2 (EMC Update) v0.22_NRA_model_for_NEMO2 (EMC Update) v0.25_NRA_model_for_NEMO2 (EMC Update) v0.29_NRA_model_for_NEMO2 (EMC Update) v0.29.2_NRA_model_for_NEMO2 (EMC Update) v0.29.4_NRA_model_for_NEMO2 (EMC Update) v0 30 1" xfId="1584" xr:uid="{00000000-0005-0000-0000-0000DB050000}"/>
    <cellStyle name="%_NRA_model_for_NEMO2 (EMC Update) v0.22_NRA_model_for_NEMO2 (EMC Update) v0.25_NRA_model_for_NEMO2 (EMC Update) v0.29_NRA_model_for_NEMO2 (EMC Update) v0.29.2_NRA_model_for_NEMO2 (EMC Update) v0.29.4_NRA_model_for_NEMO2 (EMC Update) v0.29.5" xfId="1585" xr:uid="{00000000-0005-0000-0000-0000DC050000}"/>
    <cellStyle name="%_NRA_model_for_NEMO2 (EMC Update) v0.22_NRA_model_for_NEMO2 (EMC Update) v0.25_NRA_model_for_NEMO2 (EMC Update) v0.29_NRA_model_for_NEMO2 (EMC Update) v0.29.2_NRA_model_for_NEMO2 (EMC Update) v0.29.5" xfId="1586" xr:uid="{00000000-0005-0000-0000-0000DD050000}"/>
    <cellStyle name="%_NRA_model_for_NEMO2 (EMC Update) v0.22_NRA_model_for_NEMO2 (EMC Update) v0.25_NRA_model_for_NEMO2 (EMC Update) v0.29_NRA_model_for_NEMO2 (EMC Update) v0.29.2_NRA_model_for_NEMO2 (EMC Update) v0.29.5_NRA_model_for_NEMO2 (EMC Update) v0 30 1" xfId="1587" xr:uid="{00000000-0005-0000-0000-0000DE050000}"/>
    <cellStyle name="%_NRA_model_for_NEMO2 (EMC Update) v0.22_NRA_model_for_NEMO2 (EMC Update) v0.25_NRA_model_for_NEMO2 (EMC Update) v0.29_NRA_model_for_NEMO2 (EMC Update) v0.29.3" xfId="1588" xr:uid="{00000000-0005-0000-0000-0000DF050000}"/>
    <cellStyle name="%_NRA_model_for_NEMO2 (EMC Update) v0.22_NRA_model_for_NEMO2 (EMC Update) v0.25_NRA_model_for_NEMO2 (EMC Update) v0.29_NRA_model_for_NEMO2 (EMC Update) v0.29.3_NRA_model_for_NEMO2 (EMC Update) v0 30 1" xfId="1589" xr:uid="{00000000-0005-0000-0000-0000E0050000}"/>
    <cellStyle name="%_NRA_model_for_NEMO2 (EMC Update) v0.22_NRA_model_for_NEMO2 (EMC Update) v0.25_NRA_model_for_NEMO2 (EMC Update) v0.29_NRA_model_for_NEMO2 (EMC Update) v0.29.3_NRA_model_for_NEMO2 (EMC Update) v0.29.5" xfId="1590" xr:uid="{00000000-0005-0000-0000-0000E1050000}"/>
    <cellStyle name="%_NRA_model_for_NEMO2 (EMC Update) v0.22_NRA_model_for_NEMO2 (EMC Update) v0.25_NRA_model_for_NEMO2 (EMC Update) v0.29_NRA_model_for_NEMO2 (EMC Update) v0.29.3_NRA_model_for_NEMO2 (EMC Update) v0.29.5_NRA_model_for_NEMO2 (EMC Update) v0 30 1" xfId="1591" xr:uid="{00000000-0005-0000-0000-0000E2050000}"/>
    <cellStyle name="%_NRA_model_for_NEMO2 (EMC Update) v0.22_NRA_model_for_NEMO2 (EMC Update) v0.25_NRA_model_for_NEMO2 (EMC Update) v0.29_NRA_model_for_NEMO2 (EMC Update) v0.29.4" xfId="1592" xr:uid="{00000000-0005-0000-0000-0000E3050000}"/>
    <cellStyle name="%_NRA_model_for_NEMO2 (EMC Update) v0.22_NRA_model_for_NEMO2 (EMC Update) v0.25_NRA_model_for_NEMO2 (EMC Update) v0.29_NRA_model_for_NEMO2 (EMC Update) v0.29.4_NRA_model_for_NEMO2 (EMC Update) v0 30 1" xfId="1593" xr:uid="{00000000-0005-0000-0000-0000E4050000}"/>
    <cellStyle name="%_NRA_model_for_NEMO2 (EMC Update) v0.22_NRA_model_for_NEMO2 (EMC Update) v0.25_NRA_model_for_NEMO2 (EMC Update) v0.29_NRA_model_for_NEMO2 (EMC Update) v0.29.4_NRA_model_for_NEMO2 (EMC Update) v0.29.5" xfId="1594" xr:uid="{00000000-0005-0000-0000-0000E5050000}"/>
    <cellStyle name="%_NRA_model_for_NEMO2 (EMC Update) v0.22_NRA_model_for_NEMO2 (EMC Update) v0.25_NRA_model_for_NEMO2 (EMC Update) v0.29_NRA_model_for_NEMO2 (EMC Update) v0.29.4_NRA_model_for_NEMO2 (EMC Update) v0.29.5_NRA_model_for_NEMO2 (EMC Update) v0 30 1" xfId="1595" xr:uid="{00000000-0005-0000-0000-0000E6050000}"/>
    <cellStyle name="%_NRA_model_for_NEMO2 (EMC Update) v0.22_NRA_model_for_NEMO2 (EMC Update) v0.25_NRA_model_for_NEMO2 (EMC Update) v0.29_NRA_model_for_NEMO2 (EMC Update) v0.29.5" xfId="1596" xr:uid="{00000000-0005-0000-0000-0000E7050000}"/>
    <cellStyle name="%_NRA_model_for_NEMO2 (EMC Update) v0.22_NRA_model_for_NEMO2 (EMC Update) v0.25_NRA_model_for_NEMO2 (EMC Update) v0.29_NRA_model_for_NEMO2 (EMC Update) v0.29.5_NRA_model_for_NEMO2 (EMC Update) v0 30 1" xfId="1597" xr:uid="{00000000-0005-0000-0000-0000E8050000}"/>
    <cellStyle name="%_NRA_model_for_NEMO2 (EMC Update) v0.22_NRA_model_for_NEMO2 (EMC Update) v0.26" xfId="1598" xr:uid="{00000000-0005-0000-0000-0000E9050000}"/>
    <cellStyle name="%_NRA_model_for_NEMO2 (EMC Update) v0.22_NRA_model_for_NEMO2 (EMC Update) v0.26_NRA_model_for_NEMO2 (EMC Update) v0 30 1" xfId="1599" xr:uid="{00000000-0005-0000-0000-0000EA050000}"/>
    <cellStyle name="%_NRA_model_for_NEMO2 (EMC Update) v0.22_NRA_model_for_NEMO2 (EMC Update) v0.26_NRA_model_for_NEMO2 (EMC Update) v0.29" xfId="1600" xr:uid="{00000000-0005-0000-0000-0000EB050000}"/>
    <cellStyle name="%_NRA_model_for_NEMO2 (EMC Update) v0.22_NRA_model_for_NEMO2 (EMC Update) v0.26_NRA_model_for_NEMO2 (EMC Update) v0.29.2" xfId="1601" xr:uid="{00000000-0005-0000-0000-0000EC050000}"/>
    <cellStyle name="%_NRA_model_for_NEMO2 (EMC Update) v0.22_NRA_model_for_NEMO2 (EMC Update) v0.26_NRA_model_for_NEMO2 (EMC Update) v0.29.2_NRA_model_for_NEMO2 (EMC Update) v0 30 1" xfId="1602" xr:uid="{00000000-0005-0000-0000-0000ED050000}"/>
    <cellStyle name="%_NRA_model_for_NEMO2 (EMC Update) v0.22_NRA_model_for_NEMO2 (EMC Update) v0.26_NRA_model_for_NEMO2 (EMC Update) v0.29.2_NRA_model_for_NEMO2 (EMC Update) v0.29.3" xfId="1603" xr:uid="{00000000-0005-0000-0000-0000EE050000}"/>
    <cellStyle name="%_NRA_model_for_NEMO2 (EMC Update) v0.22_NRA_model_for_NEMO2 (EMC Update) v0.26_NRA_model_for_NEMO2 (EMC Update) v0.29.2_NRA_model_for_NEMO2 (EMC Update) v0.29.3_NRA_model_for_NEMO2 (EMC Update) v0 30 1" xfId="1604" xr:uid="{00000000-0005-0000-0000-0000EF050000}"/>
    <cellStyle name="%_NRA_model_for_NEMO2 (EMC Update) v0.22_NRA_model_for_NEMO2 (EMC Update) v0.26_NRA_model_for_NEMO2 (EMC Update) v0.29.2_NRA_model_for_NEMO2 (EMC Update) v0.29.3_NRA_model_for_NEMO2 (EMC Update) v0.29.5" xfId="1605" xr:uid="{00000000-0005-0000-0000-0000F0050000}"/>
    <cellStyle name="%_NRA_model_for_NEMO2 (EMC Update) v0.22_NRA_model_for_NEMO2 (EMC Update) v0.26_NRA_model_for_NEMO2 (EMC Update) v0.29.2_NRA_model_for_NEMO2 (EMC Update) v0.29.3_NRA_model_for_NEMO2 (EMC Update) v0.29.5_NRA_model_for_NEMO2 (EMC Update) v0 30 1" xfId="1606" xr:uid="{00000000-0005-0000-0000-0000F1050000}"/>
    <cellStyle name="%_NRA_model_for_NEMO2 (EMC Update) v0.22_NRA_model_for_NEMO2 (EMC Update) v0.26_NRA_model_for_NEMO2 (EMC Update) v0.29.2_NRA_model_for_NEMO2 (EMC Update) v0.29.4" xfId="1607" xr:uid="{00000000-0005-0000-0000-0000F2050000}"/>
    <cellStyle name="%_NRA_model_for_NEMO2 (EMC Update) v0.22_NRA_model_for_NEMO2 (EMC Update) v0.26_NRA_model_for_NEMO2 (EMC Update) v0.29.2_NRA_model_for_NEMO2 (EMC Update) v0.29.4_NRA_model_for_NEMO2 (EMC Update) v0 30 1" xfId="1608" xr:uid="{00000000-0005-0000-0000-0000F3050000}"/>
    <cellStyle name="%_NRA_model_for_NEMO2 (EMC Update) v0.22_NRA_model_for_NEMO2 (EMC Update) v0.26_NRA_model_for_NEMO2 (EMC Update) v0.29.2_NRA_model_for_NEMO2 (EMC Update) v0.29.4_NRA_model_for_NEMO2 (EMC Update) v0.29.5" xfId="1609" xr:uid="{00000000-0005-0000-0000-0000F4050000}"/>
    <cellStyle name="%_NRA_model_for_NEMO2 (EMC Update) v0.22_NRA_model_for_NEMO2 (EMC Update) v0.26_NRA_model_for_NEMO2 (EMC Update) v0.29.2_NRA_model_for_NEMO2 (EMC Update) v0.29.4_NRA_model_for_NEMO2 (EMC Update) v0.29.5_NRA_model_for_NEMO2 (EMC Update) v0 30 1" xfId="1610" xr:uid="{00000000-0005-0000-0000-0000F5050000}"/>
    <cellStyle name="%_NRA_model_for_NEMO2 (EMC Update) v0.22_NRA_model_for_NEMO2 (EMC Update) v0.26_NRA_model_for_NEMO2 (EMC Update) v0.29.2_NRA_model_for_NEMO2 (EMC Update) v0.29.5" xfId="1611" xr:uid="{00000000-0005-0000-0000-0000F6050000}"/>
    <cellStyle name="%_NRA_model_for_NEMO2 (EMC Update) v0.22_NRA_model_for_NEMO2 (EMC Update) v0.26_NRA_model_for_NEMO2 (EMC Update) v0.29.2_NRA_model_for_NEMO2 (EMC Update) v0.29.5_NRA_model_for_NEMO2 (EMC Update) v0 30 1" xfId="1612" xr:uid="{00000000-0005-0000-0000-0000F7050000}"/>
    <cellStyle name="%_NRA_model_for_NEMO2 (EMC Update) v0.22_NRA_model_for_NEMO2 (EMC Update) v0.26_NRA_model_for_NEMO2 (EMC Update) v0.29.3" xfId="1613" xr:uid="{00000000-0005-0000-0000-0000F8050000}"/>
    <cellStyle name="%_NRA_model_for_NEMO2 (EMC Update) v0.22_NRA_model_for_NEMO2 (EMC Update) v0.26_NRA_model_for_NEMO2 (EMC Update) v0.29.3_NRA_model_for_NEMO2 (EMC Update) v0 30 1" xfId="1614" xr:uid="{00000000-0005-0000-0000-0000F9050000}"/>
    <cellStyle name="%_NRA_model_for_NEMO2 (EMC Update) v0.22_NRA_model_for_NEMO2 (EMC Update) v0.26_NRA_model_for_NEMO2 (EMC Update) v0.29.3_NRA_model_for_NEMO2 (EMC Update) v0.29.5" xfId="1615" xr:uid="{00000000-0005-0000-0000-0000FA050000}"/>
    <cellStyle name="%_NRA_model_for_NEMO2 (EMC Update) v0.22_NRA_model_for_NEMO2 (EMC Update) v0.26_NRA_model_for_NEMO2 (EMC Update) v0.29.3_NRA_model_for_NEMO2 (EMC Update) v0.29.5_NRA_model_for_NEMO2 (EMC Update) v0 30 1" xfId="1616" xr:uid="{00000000-0005-0000-0000-0000FB050000}"/>
    <cellStyle name="%_NRA_model_for_NEMO2 (EMC Update) v0.22_NRA_model_for_NEMO2 (EMC Update) v0.26_NRA_model_for_NEMO2 (EMC Update) v0.29.4" xfId="1617" xr:uid="{00000000-0005-0000-0000-0000FC050000}"/>
    <cellStyle name="%_NRA_model_for_NEMO2 (EMC Update) v0.22_NRA_model_for_NEMO2 (EMC Update) v0.26_NRA_model_for_NEMO2 (EMC Update) v0.29.4_NRA_model_for_NEMO2 (EMC Update) v0 30 1" xfId="1618" xr:uid="{00000000-0005-0000-0000-0000FD050000}"/>
    <cellStyle name="%_NRA_model_for_NEMO2 (EMC Update) v0.22_NRA_model_for_NEMO2 (EMC Update) v0.26_NRA_model_for_NEMO2 (EMC Update) v0.29.4_NRA_model_for_NEMO2 (EMC Update) v0.29.5" xfId="1619" xr:uid="{00000000-0005-0000-0000-0000FE050000}"/>
    <cellStyle name="%_NRA_model_for_NEMO2 (EMC Update) v0.22_NRA_model_for_NEMO2 (EMC Update) v0.26_NRA_model_for_NEMO2 (EMC Update) v0.29.4_NRA_model_for_NEMO2 (EMC Update) v0.29.5_NRA_model_for_NEMO2 (EMC Update) v0 30 1" xfId="1620" xr:uid="{00000000-0005-0000-0000-0000FF050000}"/>
    <cellStyle name="%_NRA_model_for_NEMO2 (EMC Update) v0.22_NRA_model_for_NEMO2 (EMC Update) v0.26_NRA_model_for_NEMO2 (EMC Update) v0.29.5" xfId="1621" xr:uid="{00000000-0005-0000-0000-000000060000}"/>
    <cellStyle name="%_NRA_model_for_NEMO2 (EMC Update) v0.22_NRA_model_for_NEMO2 (EMC Update) v0.26_NRA_model_for_NEMO2 (EMC Update) v0.29.5_NRA_model_for_NEMO2 (EMC Update) v0 30 1" xfId="1622" xr:uid="{00000000-0005-0000-0000-000001060000}"/>
    <cellStyle name="%_NRA_model_for_NEMO2 (EMC Update) v0.22_NRA_model_for_NEMO2 (EMC Update) v0.26_NRA_model_for_NEMO2 (EMC Update) v0.29_NRA_model_for_NEMO2 (EMC Update) v0 30 1" xfId="1623" xr:uid="{00000000-0005-0000-0000-000002060000}"/>
    <cellStyle name="%_NRA_model_for_NEMO2 (EMC Update) v0.22_NRA_model_for_NEMO2 (EMC Update) v0.26_NRA_model_for_NEMO2 (EMC Update) v0.29_NRA_model_for_NEMO2 (EMC Update) v0.29.2" xfId="1624" xr:uid="{00000000-0005-0000-0000-000003060000}"/>
    <cellStyle name="%_NRA_model_for_NEMO2 (EMC Update) v0.22_NRA_model_for_NEMO2 (EMC Update) v0.26_NRA_model_for_NEMO2 (EMC Update) v0.29_NRA_model_for_NEMO2 (EMC Update) v0.29.2_NRA_model_for_NEMO2 (EMC Update) v0 30 1" xfId="1625" xr:uid="{00000000-0005-0000-0000-000004060000}"/>
    <cellStyle name="%_NRA_model_for_NEMO2 (EMC Update) v0.22_NRA_model_for_NEMO2 (EMC Update) v0.26_NRA_model_for_NEMO2 (EMC Update) v0.29_NRA_model_for_NEMO2 (EMC Update) v0.29.2_NRA_model_for_NEMO2 (EMC Update) v0.29.3" xfId="1626" xr:uid="{00000000-0005-0000-0000-000005060000}"/>
    <cellStyle name="%_NRA_model_for_NEMO2 (EMC Update) v0.22_NRA_model_for_NEMO2 (EMC Update) v0.26_NRA_model_for_NEMO2 (EMC Update) v0.29_NRA_model_for_NEMO2 (EMC Update) v0.29.2_NRA_model_for_NEMO2 (EMC Update) v0.29.3_NRA_model_for_NEMO2 (EMC Update) v0 30 1" xfId="1627" xr:uid="{00000000-0005-0000-0000-000006060000}"/>
    <cellStyle name="%_NRA_model_for_NEMO2 (EMC Update) v0.22_NRA_model_for_NEMO2 (EMC Update) v0.26_NRA_model_for_NEMO2 (EMC Update) v0.29_NRA_model_for_NEMO2 (EMC Update) v0.29.2_NRA_model_for_NEMO2 (EMC Update) v0.29.3_NRA_model_for_NEMO2 (EMC Update) v0.29.5" xfId="1628" xr:uid="{00000000-0005-0000-0000-000007060000}"/>
    <cellStyle name="%_NRA_model_for_NEMO2 (EMC Update) v0.22_NRA_model_for_NEMO2 (EMC Update) v0.26_NRA_model_for_NEMO2 (EMC Update) v0.29_NRA_model_for_NEMO2 (EMC Update) v0.29.2_NRA_model_for_NEMO2 (EMC Update) v0.29.4" xfId="1629" xr:uid="{00000000-0005-0000-0000-000008060000}"/>
    <cellStyle name="%_NRA_model_for_NEMO2 (EMC Update) v0.22_NRA_model_for_NEMO2 (EMC Update) v0.26_NRA_model_for_NEMO2 (EMC Update) v0.29_NRA_model_for_NEMO2 (EMC Update) v0.29.2_NRA_model_for_NEMO2 (EMC Update) v0.29.4_NRA_model_for_NEMO2 (EMC Update) v0 30 1" xfId="1630" xr:uid="{00000000-0005-0000-0000-000009060000}"/>
    <cellStyle name="%_NRA_model_for_NEMO2 (EMC Update) v0.22_NRA_model_for_NEMO2 (EMC Update) v0.26_NRA_model_for_NEMO2 (EMC Update) v0.29_NRA_model_for_NEMO2 (EMC Update) v0.29.2_NRA_model_for_NEMO2 (EMC Update) v0.29.4_NRA_model_for_NEMO2 (EMC Update) v0.29.5" xfId="1631" xr:uid="{00000000-0005-0000-0000-00000A060000}"/>
    <cellStyle name="%_NRA_model_for_NEMO2 (EMC Update) v0.22_NRA_model_for_NEMO2 (EMC Update) v0.26_NRA_model_for_NEMO2 (EMC Update) v0.29_NRA_model_for_NEMO2 (EMC Update) v0.29.2_NRA_model_for_NEMO2 (EMC Update) v0.29.5" xfId="1632" xr:uid="{00000000-0005-0000-0000-00000B060000}"/>
    <cellStyle name="%_NRA_model_for_NEMO2 (EMC Update) v0.22_NRA_model_for_NEMO2 (EMC Update) v0.26_NRA_model_for_NEMO2 (EMC Update) v0.29_NRA_model_for_NEMO2 (EMC Update) v0.29.2_NRA_model_for_NEMO2 (EMC Update) v0.29.5_NRA_model_for_NEMO2 (EMC Update) v0 30 1" xfId="1633" xr:uid="{00000000-0005-0000-0000-00000C060000}"/>
    <cellStyle name="%_NRA_model_for_NEMO2 (EMC Update) v0.22_NRA_model_for_NEMO2 (EMC Update) v0.26_NRA_model_for_NEMO2 (EMC Update) v0.29_NRA_model_for_NEMO2 (EMC Update) v0.29.3" xfId="1634" xr:uid="{00000000-0005-0000-0000-00000D060000}"/>
    <cellStyle name="%_NRA_model_for_NEMO2 (EMC Update) v0.22_NRA_model_for_NEMO2 (EMC Update) v0.26_NRA_model_for_NEMO2 (EMC Update) v0.29_NRA_model_for_NEMO2 (EMC Update) v0.29.3_NRA_model_for_NEMO2 (EMC Update) v0 30 1" xfId="1635" xr:uid="{00000000-0005-0000-0000-00000E060000}"/>
    <cellStyle name="%_NRA_model_for_NEMO2 (EMC Update) v0.22_NRA_model_for_NEMO2 (EMC Update) v0.26_NRA_model_for_NEMO2 (EMC Update) v0.29_NRA_model_for_NEMO2 (EMC Update) v0.29.3_NRA_model_for_NEMO2 (EMC Update) v0.29.5" xfId="1636" xr:uid="{00000000-0005-0000-0000-00000F060000}"/>
    <cellStyle name="%_NRA_model_for_NEMO2 (EMC Update) v0.22_NRA_model_for_NEMO2 (EMC Update) v0.26_NRA_model_for_NEMO2 (EMC Update) v0.29_NRA_model_for_NEMO2 (EMC Update) v0.29.3_NRA_model_for_NEMO2 (EMC Update) v0.29.5_NRA_model_for_NEMO2 (EMC Update) v0 30 1" xfId="1637" xr:uid="{00000000-0005-0000-0000-000010060000}"/>
    <cellStyle name="%_NRA_model_for_NEMO2 (EMC Update) v0.22_NRA_model_for_NEMO2 (EMC Update) v0.26_NRA_model_for_NEMO2 (EMC Update) v0.29_NRA_model_for_NEMO2 (EMC Update) v0.29.4" xfId="1638" xr:uid="{00000000-0005-0000-0000-000011060000}"/>
    <cellStyle name="%_NRA_model_for_NEMO2 (EMC Update) v0.22_NRA_model_for_NEMO2 (EMC Update) v0.26_NRA_model_for_NEMO2 (EMC Update) v0.29_NRA_model_for_NEMO2 (EMC Update) v0.29.4_NRA_model_for_NEMO2 (EMC Update) v0 30 1" xfId="1639" xr:uid="{00000000-0005-0000-0000-000012060000}"/>
    <cellStyle name="%_NRA_model_for_NEMO2 (EMC Update) v0.22_NRA_model_for_NEMO2 (EMC Update) v0.26_NRA_model_for_NEMO2 (EMC Update) v0.29_NRA_model_for_NEMO2 (EMC Update) v0.29.4_NRA_model_for_NEMO2 (EMC Update) v0.29.5" xfId="1640" xr:uid="{00000000-0005-0000-0000-000013060000}"/>
    <cellStyle name="%_NRA_model_for_NEMO2 (EMC Update) v0.22_NRA_model_for_NEMO2 (EMC Update) v0.26_NRA_model_for_NEMO2 (EMC Update) v0.29_NRA_model_for_NEMO2 (EMC Update) v0.29.4_NRA_model_for_NEMO2 (EMC Update) v0.29.5_NRA_model_for_NEMO2 (EMC Update) v0 30 1" xfId="1641" xr:uid="{00000000-0005-0000-0000-000014060000}"/>
    <cellStyle name="%_NRA_model_for_NEMO2 (EMC Update) v0.22_NRA_model_for_NEMO2 (EMC Update) v0.26_NRA_model_for_NEMO2 (EMC Update) v0.29_NRA_model_for_NEMO2 (EMC Update) v0.29.5" xfId="1642" xr:uid="{00000000-0005-0000-0000-000015060000}"/>
    <cellStyle name="%_NRA_model_for_NEMO2 (EMC Update) v0.22_NRA_model_for_NEMO2 (EMC Update) v0.26_NRA_model_for_NEMO2 (EMC Update) v0.29_NRA_model_for_NEMO2 (EMC Update) v0.29.5_NRA_model_for_NEMO2 (EMC Update) v0 30 1" xfId="1643" xr:uid="{00000000-0005-0000-0000-000016060000}"/>
    <cellStyle name="%_NRA_model_for_NEMO2 (EMC Update) v0.22_NRA_model_for_NEMO2 (EMC Update) v0.29" xfId="1644" xr:uid="{00000000-0005-0000-0000-000017060000}"/>
    <cellStyle name="%_NRA_model_for_NEMO2 (EMC Update) v0.22_NRA_model_for_NEMO2 (EMC Update) v0.29.2" xfId="1645" xr:uid="{00000000-0005-0000-0000-000018060000}"/>
    <cellStyle name="%_NRA_model_for_NEMO2 (EMC Update) v0.22_NRA_model_for_NEMO2 (EMC Update) v0.29.2_NRA_model_for_NEMO2 (EMC Update) v0 30 1" xfId="1646" xr:uid="{00000000-0005-0000-0000-000019060000}"/>
    <cellStyle name="%_NRA_model_for_NEMO2 (EMC Update) v0.22_NRA_model_for_NEMO2 (EMC Update) v0.29.2_NRA_model_for_NEMO2 (EMC Update) v0.29.3" xfId="1647" xr:uid="{00000000-0005-0000-0000-00001A060000}"/>
    <cellStyle name="%_NRA_model_for_NEMO2 (EMC Update) v0.22_NRA_model_for_NEMO2 (EMC Update) v0.29.2_NRA_model_for_NEMO2 (EMC Update) v0.29.3_NRA_model_for_NEMO2 (EMC Update) v0 30 1" xfId="1648" xr:uid="{00000000-0005-0000-0000-00001B060000}"/>
    <cellStyle name="%_NRA_model_for_NEMO2 (EMC Update) v0.22_NRA_model_for_NEMO2 (EMC Update) v0.29.2_NRA_model_for_NEMO2 (EMC Update) v0.29.3_NRA_model_for_NEMO2 (EMC Update) v0.29.5" xfId="1649" xr:uid="{00000000-0005-0000-0000-00001C060000}"/>
    <cellStyle name="%_NRA_model_for_NEMO2 (EMC Update) v0.22_NRA_model_for_NEMO2 (EMC Update) v0.29.2_NRA_model_for_NEMO2 (EMC Update) v0.29.3_NRA_model_for_NEMO2 (EMC Update) v0.29.5_NRA_model_for_NEMO2 (EMC Update) v0 30 1" xfId="1650" xr:uid="{00000000-0005-0000-0000-00001D060000}"/>
    <cellStyle name="%_NRA_model_for_NEMO2 (EMC Update) v0.22_NRA_model_for_NEMO2 (EMC Update) v0.29.2_NRA_model_for_NEMO2 (EMC Update) v0.29.4" xfId="1651" xr:uid="{00000000-0005-0000-0000-00001E060000}"/>
    <cellStyle name="%_NRA_model_for_NEMO2 (EMC Update) v0.22_NRA_model_for_NEMO2 (EMC Update) v0.29.2_NRA_model_for_NEMO2 (EMC Update) v0.29.4_NRA_model_for_NEMO2 (EMC Update) v0 30 1" xfId="1652" xr:uid="{00000000-0005-0000-0000-00001F060000}"/>
    <cellStyle name="%_NRA_model_for_NEMO2 (EMC Update) v0.22_NRA_model_for_NEMO2 (EMC Update) v0.29.2_NRA_model_for_NEMO2 (EMC Update) v0.29.4_NRA_model_for_NEMO2 (EMC Update) v0.29.5" xfId="1653" xr:uid="{00000000-0005-0000-0000-000020060000}"/>
    <cellStyle name="%_NRA_model_for_NEMO2 (EMC Update) v0.22_NRA_model_for_NEMO2 (EMC Update) v0.29.2_NRA_model_for_NEMO2 (EMC Update) v0.29.4_NRA_model_for_NEMO2 (EMC Update) v0.29.5_NRA_model_for_NEMO2 (EMC Update) v0 30 1" xfId="1654" xr:uid="{00000000-0005-0000-0000-000021060000}"/>
    <cellStyle name="%_NRA_model_for_NEMO2 (EMC Update) v0.22_NRA_model_for_NEMO2 (EMC Update) v0.29.2_NRA_model_for_NEMO2 (EMC Update) v0.29.5" xfId="1655" xr:uid="{00000000-0005-0000-0000-000022060000}"/>
    <cellStyle name="%_NRA_model_for_NEMO2 (EMC Update) v0.22_NRA_model_for_NEMO2 (EMC Update) v0.29.2_NRA_model_for_NEMO2 (EMC Update) v0.29.5_NRA_model_for_NEMO2 (EMC Update) v0 30 1" xfId="1656" xr:uid="{00000000-0005-0000-0000-000023060000}"/>
    <cellStyle name="%_NRA_model_for_NEMO2 (EMC Update) v0.22_NRA_model_for_NEMO2 (EMC Update) v0.29.3" xfId="1657" xr:uid="{00000000-0005-0000-0000-000024060000}"/>
    <cellStyle name="%_NRA_model_for_NEMO2 (EMC Update) v0.22_NRA_model_for_NEMO2 (EMC Update) v0.29.3_NRA_model_for_NEMO2 (EMC Update) v0 30 1" xfId="1658" xr:uid="{00000000-0005-0000-0000-000025060000}"/>
    <cellStyle name="%_NRA_model_for_NEMO2 (EMC Update) v0.22_NRA_model_for_NEMO2 (EMC Update) v0.29.3_NRA_model_for_NEMO2 (EMC Update) v0.29.5" xfId="1659" xr:uid="{00000000-0005-0000-0000-000026060000}"/>
    <cellStyle name="%_NRA_model_for_NEMO2 (EMC Update) v0.22_NRA_model_for_NEMO2 (EMC Update) v0.29.3_NRA_model_for_NEMO2 (EMC Update) v0.29.5_NRA_model_for_NEMO2 (EMC Update) v0 30 1" xfId="1660" xr:uid="{00000000-0005-0000-0000-000027060000}"/>
    <cellStyle name="%_NRA_model_for_NEMO2 (EMC Update) v0.22_NRA_model_for_NEMO2 (EMC Update) v0.29.4" xfId="1661" xr:uid="{00000000-0005-0000-0000-000028060000}"/>
    <cellStyle name="%_NRA_model_for_NEMO2 (EMC Update) v0.22_NRA_model_for_NEMO2 (EMC Update) v0.29.4_NRA_model_for_NEMO2 (EMC Update) v0 30 1" xfId="1662" xr:uid="{00000000-0005-0000-0000-000029060000}"/>
    <cellStyle name="%_NRA_model_for_NEMO2 (EMC Update) v0.22_NRA_model_for_NEMO2 (EMC Update) v0.29.4_NRA_model_for_NEMO2 (EMC Update) v0.29.5" xfId="1663" xr:uid="{00000000-0005-0000-0000-00002A060000}"/>
    <cellStyle name="%_NRA_model_for_NEMO2 (EMC Update) v0.22_NRA_model_for_NEMO2 (EMC Update) v0.29.4_NRA_model_for_NEMO2 (EMC Update) v0.29.5_NRA_model_for_NEMO2 (EMC Update) v0 30 1" xfId="1664" xr:uid="{00000000-0005-0000-0000-00002B060000}"/>
    <cellStyle name="%_NRA_model_for_NEMO2 (EMC Update) v0.22_NRA_model_for_NEMO2 (EMC Update) v0.29.5" xfId="1665" xr:uid="{00000000-0005-0000-0000-00002C060000}"/>
    <cellStyle name="%_NRA_model_for_NEMO2 (EMC Update) v0.22_NRA_model_for_NEMO2 (EMC Update) v0.29.5_NRA_model_for_NEMO2 (EMC Update) v0 30 1" xfId="1666" xr:uid="{00000000-0005-0000-0000-00002D060000}"/>
    <cellStyle name="%_NRA_model_for_NEMO2 (EMC Update) v0.22_NRA_model_for_NEMO2 (EMC Update) v0.29_NRA_model_for_NEMO2 (EMC Update) v0 30 1" xfId="1667" xr:uid="{00000000-0005-0000-0000-00002E060000}"/>
    <cellStyle name="%_NRA_model_for_NEMO2 (EMC Update) v0.22_NRA_model_for_NEMO2 (EMC Update) v0.29_NRA_model_for_NEMO2 (EMC Update) v0.29.2" xfId="1668" xr:uid="{00000000-0005-0000-0000-00002F060000}"/>
    <cellStyle name="%_NRA_model_for_NEMO2 (EMC Update) v0.22_NRA_model_for_NEMO2 (EMC Update) v0.29_NRA_model_for_NEMO2 (EMC Update) v0.29.2_NRA_model_for_NEMO2 (EMC Update) v0 30 1" xfId="1669" xr:uid="{00000000-0005-0000-0000-000030060000}"/>
    <cellStyle name="%_NRA_model_for_NEMO2 (EMC Update) v0.22_NRA_model_for_NEMO2 (EMC Update) v0.29_NRA_model_for_NEMO2 (EMC Update) v0.29.2_NRA_model_for_NEMO2 (EMC Update) v0.29.3" xfId="1670" xr:uid="{00000000-0005-0000-0000-000031060000}"/>
    <cellStyle name="%_NRA_model_for_NEMO2 (EMC Update) v0.22_NRA_model_for_NEMO2 (EMC Update) v0.29_NRA_model_for_NEMO2 (EMC Update) v0.29.2_NRA_model_for_NEMO2 (EMC Update) v0.29.3_NRA_model_for_NEMO2 (EMC Update) v0 30 1" xfId="1671" xr:uid="{00000000-0005-0000-0000-000032060000}"/>
    <cellStyle name="%_NRA_model_for_NEMO2 (EMC Update) v0.22_NRA_model_for_NEMO2 (EMC Update) v0.29_NRA_model_for_NEMO2 (EMC Update) v0.29.2_NRA_model_for_NEMO2 (EMC Update) v0.29.3_NRA_model_for_NEMO2 (EMC Update) v0.29.5" xfId="1672" xr:uid="{00000000-0005-0000-0000-000033060000}"/>
    <cellStyle name="%_NRA_model_for_NEMO2 (EMC Update) v0.22_NRA_model_for_NEMO2 (EMC Update) v0.29_NRA_model_for_NEMO2 (EMC Update) v0.29.2_NRA_model_for_NEMO2 (EMC Update) v0.29.3_NRA_model_for_NEMO2 (EMC Update) v0.29.5_NRA_model_for_NEMO2 (EMC Update) v0 30 1" xfId="1673" xr:uid="{00000000-0005-0000-0000-000034060000}"/>
    <cellStyle name="%_NRA_model_for_NEMO2 (EMC Update) v0.22_NRA_model_for_NEMO2 (EMC Update) v0.29_NRA_model_for_NEMO2 (EMC Update) v0.29.2_NRA_model_for_NEMO2 (EMC Update) v0.29.4" xfId="1674" xr:uid="{00000000-0005-0000-0000-000035060000}"/>
    <cellStyle name="%_NRA_model_for_NEMO2 (EMC Update) v0.22_NRA_model_for_NEMO2 (EMC Update) v0.29_NRA_model_for_NEMO2 (EMC Update) v0.29.2_NRA_model_for_NEMO2 (EMC Update) v0.29.4_NRA_model_for_NEMO2 (EMC Update) v0 30 1" xfId="1675" xr:uid="{00000000-0005-0000-0000-000036060000}"/>
    <cellStyle name="%_NRA_model_for_NEMO2 (EMC Update) v0.22_NRA_model_for_NEMO2 (EMC Update) v0.29_NRA_model_for_NEMO2 (EMC Update) v0.29.2_NRA_model_for_NEMO2 (EMC Update) v0.29.4_NRA_model_for_NEMO2 (EMC Update) v0.29.5" xfId="1676" xr:uid="{00000000-0005-0000-0000-000037060000}"/>
    <cellStyle name="%_NRA_model_for_NEMO2 (EMC Update) v0.22_NRA_model_for_NEMO2 (EMC Update) v0.29_NRA_model_for_NEMO2 (EMC Update) v0.29.2_NRA_model_for_NEMO2 (EMC Update) v0.29.4_NRA_model_for_NEMO2 (EMC Update) v0.29.5_NRA_model_for_NEMO2 (EMC Update) v0 30 1" xfId="1677" xr:uid="{00000000-0005-0000-0000-000038060000}"/>
    <cellStyle name="%_NRA_model_for_NEMO2 (EMC Update) v0.22_NRA_model_for_NEMO2 (EMC Update) v0.29_NRA_model_for_NEMO2 (EMC Update) v0.29.2_NRA_model_for_NEMO2 (EMC Update) v0.29.5" xfId="1678" xr:uid="{00000000-0005-0000-0000-000039060000}"/>
    <cellStyle name="%_NRA_model_for_NEMO2 (EMC Update) v0.22_NRA_model_for_NEMO2 (EMC Update) v0.29_NRA_model_for_NEMO2 (EMC Update) v0.29.2_NRA_model_for_NEMO2 (EMC Update) v0.29.5_NRA_model_for_NEMO2 (EMC Update) v0 30 1" xfId="1679" xr:uid="{00000000-0005-0000-0000-00003A060000}"/>
    <cellStyle name="%_NRA_model_for_NEMO2 (EMC Update) v0.22_NRA_model_for_NEMO2 (EMC Update) v0.29_NRA_model_for_NEMO2 (EMC Update) v0.29.3" xfId="1680" xr:uid="{00000000-0005-0000-0000-00003B060000}"/>
    <cellStyle name="%_NRA_model_for_NEMO2 (EMC Update) v0.22_NRA_model_for_NEMO2 (EMC Update) v0.29_NRA_model_for_NEMO2 (EMC Update) v0.29.3_NRA_model_for_NEMO2 (EMC Update) v0 30 1" xfId="1681" xr:uid="{00000000-0005-0000-0000-00003C060000}"/>
    <cellStyle name="%_NRA_model_for_NEMO2 (EMC Update) v0.22_NRA_model_for_NEMO2 (EMC Update) v0.29_NRA_model_for_NEMO2 (EMC Update) v0.29.3_NRA_model_for_NEMO2 (EMC Update) v0.29.5" xfId="1682" xr:uid="{00000000-0005-0000-0000-00003D060000}"/>
    <cellStyle name="%_NRA_model_for_NEMO2 (EMC Update) v0.22_NRA_model_for_NEMO2 (EMC Update) v0.29_NRA_model_for_NEMO2 (EMC Update) v0.29.3_NRA_model_for_NEMO2 (EMC Update) v0.29.5_NRA_model_for_NEMO2 (EMC Update) v0 30 1" xfId="1683" xr:uid="{00000000-0005-0000-0000-00003E060000}"/>
    <cellStyle name="%_NRA_model_for_NEMO2 (EMC Update) v0.22_NRA_model_for_NEMO2 (EMC Update) v0.29_NRA_model_for_NEMO2 (EMC Update) v0.29.4" xfId="1684" xr:uid="{00000000-0005-0000-0000-00003F060000}"/>
    <cellStyle name="%_NRA_model_for_NEMO2 (EMC Update) v0.22_NRA_model_for_NEMO2 (EMC Update) v0.29_NRA_model_for_NEMO2 (EMC Update) v0.29.4_NRA_model_for_NEMO2 (EMC Update) v0 30 1" xfId="1685" xr:uid="{00000000-0005-0000-0000-000040060000}"/>
    <cellStyle name="%_NRA_model_for_NEMO2 (EMC Update) v0.22_NRA_model_for_NEMO2 (EMC Update) v0.29_NRA_model_for_NEMO2 (EMC Update) v0.29.4_NRA_model_for_NEMO2 (EMC Update) v0.29.5" xfId="1686" xr:uid="{00000000-0005-0000-0000-000041060000}"/>
    <cellStyle name="%_NRA_model_for_NEMO2 (EMC Update) v0.22_NRA_model_for_NEMO2 (EMC Update) v0.29_NRA_model_for_NEMO2 (EMC Update) v0.29.4_NRA_model_for_NEMO2 (EMC Update) v0.29.5_NRA_model_for_NEMO2 (EMC Update) v0 30 1" xfId="1687" xr:uid="{00000000-0005-0000-0000-000042060000}"/>
    <cellStyle name="%_NRA_model_for_NEMO2 (EMC Update) v0.22_NRA_model_for_NEMO2 (EMC Update) v0.29_NRA_model_for_NEMO2 (EMC Update) v0.29.5" xfId="1688" xr:uid="{00000000-0005-0000-0000-000043060000}"/>
    <cellStyle name="%_NRA_model_for_NEMO2 (EMC Update) v0.22_NRA_model_for_NEMO2 (EMC Update) v0.29_NRA_model_for_NEMO2 (EMC Update) v0.29.5_NRA_model_for_NEMO2 (EMC Update) v0 30 1" xfId="1689" xr:uid="{00000000-0005-0000-0000-000044060000}"/>
    <cellStyle name="%_NRA_model_for_NEMO2 (EMC Update) v0.25" xfId="1690" xr:uid="{00000000-0005-0000-0000-000045060000}"/>
    <cellStyle name="%_NRA_model_for_NEMO2 (EMC Update) v0.25_NRA_model_for_NEMO2 (EMC Update) v0 30 1" xfId="1691" xr:uid="{00000000-0005-0000-0000-000046060000}"/>
    <cellStyle name="%_NRA_model_for_NEMO2 (EMC Update) v0.25_NRA_model_for_NEMO2 (EMC Update) v0.26" xfId="1692" xr:uid="{00000000-0005-0000-0000-000047060000}"/>
    <cellStyle name="%_NRA_model_for_NEMO2 (EMC Update) v0.25_NRA_model_for_NEMO2 (EMC Update) v0.26_NRA_model_for_NEMO2 (EMC Update) v0 30 1" xfId="1693" xr:uid="{00000000-0005-0000-0000-000048060000}"/>
    <cellStyle name="%_NRA_model_for_NEMO2 (EMC Update) v0.25_NRA_model_for_NEMO2 (EMC Update) v0.26_NRA_model_for_NEMO2 (EMC Update) v0.29" xfId="1694" xr:uid="{00000000-0005-0000-0000-000049060000}"/>
    <cellStyle name="%_NRA_model_for_NEMO2 (EMC Update) v0.25_NRA_model_for_NEMO2 (EMC Update) v0.26_NRA_model_for_NEMO2 (EMC Update) v0.29.2" xfId="1695" xr:uid="{00000000-0005-0000-0000-00004A060000}"/>
    <cellStyle name="%_NRA_model_for_NEMO2 (EMC Update) v0.25_NRA_model_for_NEMO2 (EMC Update) v0.26_NRA_model_for_NEMO2 (EMC Update) v0.29.2_NRA_model_for_NEMO2 (EMC Update) v0 30 1" xfId="1696" xr:uid="{00000000-0005-0000-0000-00004B060000}"/>
    <cellStyle name="%_NRA_model_for_NEMO2 (EMC Update) v0.25_NRA_model_for_NEMO2 (EMC Update) v0.26_NRA_model_for_NEMO2 (EMC Update) v0.29.2_NRA_model_for_NEMO2 (EMC Update) v0.29.3" xfId="1697" xr:uid="{00000000-0005-0000-0000-00004C060000}"/>
    <cellStyle name="%_NRA_model_for_NEMO2 (EMC Update) v0.25_NRA_model_for_NEMO2 (EMC Update) v0.26_NRA_model_for_NEMO2 (EMC Update) v0.29.2_NRA_model_for_NEMO2 (EMC Update) v0.29.3_NRA_model_for_NEMO2 (EMC Update) v0 30 1" xfId="1698" xr:uid="{00000000-0005-0000-0000-00004D060000}"/>
    <cellStyle name="%_NRA_model_for_NEMO2 (EMC Update) v0.25_NRA_model_for_NEMO2 (EMC Update) v0.26_NRA_model_for_NEMO2 (EMC Update) v0.29.2_NRA_model_for_NEMO2 (EMC Update) v0.29.3_NRA_model_for_NEMO2 (EMC Update) v0.29.5" xfId="1699" xr:uid="{00000000-0005-0000-0000-00004E060000}"/>
    <cellStyle name="%_NRA_model_for_NEMO2 (EMC Update) v0.25_NRA_model_for_NEMO2 (EMC Update) v0.26_NRA_model_for_NEMO2 (EMC Update) v0.29.2_NRA_model_for_NEMO2 (EMC Update) v0.29.3_NRA_model_for_NEMO2 (EMC Update) v0.29.5_NRA_model_for_NEMO2 (EMC Update) v0 30 1" xfId="1700" xr:uid="{00000000-0005-0000-0000-00004F060000}"/>
    <cellStyle name="%_NRA_model_for_NEMO2 (EMC Update) v0.25_NRA_model_for_NEMO2 (EMC Update) v0.26_NRA_model_for_NEMO2 (EMC Update) v0.29.2_NRA_model_for_NEMO2 (EMC Update) v0.29.4" xfId="1701" xr:uid="{00000000-0005-0000-0000-000050060000}"/>
    <cellStyle name="%_NRA_model_for_NEMO2 (EMC Update) v0.25_NRA_model_for_NEMO2 (EMC Update) v0.26_NRA_model_for_NEMO2 (EMC Update) v0.29.2_NRA_model_for_NEMO2 (EMC Update) v0.29.4_NRA_model_for_NEMO2 (EMC Update) v0 30 1" xfId="1702" xr:uid="{00000000-0005-0000-0000-000051060000}"/>
    <cellStyle name="%_NRA_model_for_NEMO2 (EMC Update) v0.25_NRA_model_for_NEMO2 (EMC Update) v0.26_NRA_model_for_NEMO2 (EMC Update) v0.29.2_NRA_model_for_NEMO2 (EMC Update) v0.29.4_NRA_model_for_NEMO2 (EMC Update) v0.29.5" xfId="1703" xr:uid="{00000000-0005-0000-0000-000052060000}"/>
    <cellStyle name="%_NRA_model_for_NEMO2 (EMC Update) v0.25_NRA_model_for_NEMO2 (EMC Update) v0.26_NRA_model_for_NEMO2 (EMC Update) v0.29.2_NRA_model_for_NEMO2 (EMC Update) v0.29.4_NRA_model_for_NEMO2 (EMC Update) v0.29.5_NRA_model_for_NEMO2 (EMC Update) v0 30 1" xfId="1704" xr:uid="{00000000-0005-0000-0000-000053060000}"/>
    <cellStyle name="%_NRA_model_for_NEMO2 (EMC Update) v0.25_NRA_model_for_NEMO2 (EMC Update) v0.26_NRA_model_for_NEMO2 (EMC Update) v0.29.2_NRA_model_for_NEMO2 (EMC Update) v0.29.5" xfId="1705" xr:uid="{00000000-0005-0000-0000-000054060000}"/>
    <cellStyle name="%_NRA_model_for_NEMO2 (EMC Update) v0.25_NRA_model_for_NEMO2 (EMC Update) v0.26_NRA_model_for_NEMO2 (EMC Update) v0.29.2_NRA_model_for_NEMO2 (EMC Update) v0.29.5_NRA_model_for_NEMO2 (EMC Update) v0 30 1" xfId="1706" xr:uid="{00000000-0005-0000-0000-000055060000}"/>
    <cellStyle name="%_NRA_model_for_NEMO2 (EMC Update) v0.25_NRA_model_for_NEMO2 (EMC Update) v0.26_NRA_model_for_NEMO2 (EMC Update) v0.29.3" xfId="1707" xr:uid="{00000000-0005-0000-0000-000056060000}"/>
    <cellStyle name="%_NRA_model_for_NEMO2 (EMC Update) v0.25_NRA_model_for_NEMO2 (EMC Update) v0.26_NRA_model_for_NEMO2 (EMC Update) v0.29.3_NRA_model_for_NEMO2 (EMC Update) v0 30 1" xfId="1708" xr:uid="{00000000-0005-0000-0000-000057060000}"/>
    <cellStyle name="%_NRA_model_for_NEMO2 (EMC Update) v0.25_NRA_model_for_NEMO2 (EMC Update) v0.26_NRA_model_for_NEMO2 (EMC Update) v0.29.3_NRA_model_for_NEMO2 (EMC Update) v0.29.5" xfId="1709" xr:uid="{00000000-0005-0000-0000-000058060000}"/>
    <cellStyle name="%_NRA_model_for_NEMO2 (EMC Update) v0.25_NRA_model_for_NEMO2 (EMC Update) v0.26_NRA_model_for_NEMO2 (EMC Update) v0.29.3_NRA_model_for_NEMO2 (EMC Update) v0.29.5_NRA_model_for_NEMO2 (EMC Update) v0 30 1" xfId="1710" xr:uid="{00000000-0005-0000-0000-000059060000}"/>
    <cellStyle name="%_NRA_model_for_NEMO2 (EMC Update) v0.25_NRA_model_for_NEMO2 (EMC Update) v0.26_NRA_model_for_NEMO2 (EMC Update) v0.29.4" xfId="1711" xr:uid="{00000000-0005-0000-0000-00005A060000}"/>
    <cellStyle name="%_NRA_model_for_NEMO2 (EMC Update) v0.25_NRA_model_for_NEMO2 (EMC Update) v0.26_NRA_model_for_NEMO2 (EMC Update) v0.29.4_NRA_model_for_NEMO2 (EMC Update) v0 30 1" xfId="1712" xr:uid="{00000000-0005-0000-0000-00005B060000}"/>
    <cellStyle name="%_NRA_model_for_NEMO2 (EMC Update) v0.25_NRA_model_for_NEMO2 (EMC Update) v0.26_NRA_model_for_NEMO2 (EMC Update) v0.29.4_NRA_model_for_NEMO2 (EMC Update) v0.29.5" xfId="1713" xr:uid="{00000000-0005-0000-0000-00005C060000}"/>
    <cellStyle name="%_NRA_model_for_NEMO2 (EMC Update) v0.25_NRA_model_for_NEMO2 (EMC Update) v0.26_NRA_model_for_NEMO2 (EMC Update) v0.29.4_NRA_model_for_NEMO2 (EMC Update) v0.29.5_NRA_model_for_NEMO2 (EMC Update) v0 30 1" xfId="1714" xr:uid="{00000000-0005-0000-0000-00005D060000}"/>
    <cellStyle name="%_NRA_model_for_NEMO2 (EMC Update) v0.25_NRA_model_for_NEMO2 (EMC Update) v0.26_NRA_model_for_NEMO2 (EMC Update) v0.29.5" xfId="1715" xr:uid="{00000000-0005-0000-0000-00005E060000}"/>
    <cellStyle name="%_NRA_model_for_NEMO2 (EMC Update) v0.25_NRA_model_for_NEMO2 (EMC Update) v0.26_NRA_model_for_NEMO2 (EMC Update) v0.29.5_NRA_model_for_NEMO2 (EMC Update) v0 30 1" xfId="1716" xr:uid="{00000000-0005-0000-0000-00005F060000}"/>
    <cellStyle name="%_NRA_model_for_NEMO2 (EMC Update) v0.25_NRA_model_for_NEMO2 (EMC Update) v0.26_NRA_model_for_NEMO2 (EMC Update) v0.29_NRA_model_for_NEMO2 (EMC Update) v0 30 1" xfId="1717" xr:uid="{00000000-0005-0000-0000-000060060000}"/>
    <cellStyle name="%_NRA_model_for_NEMO2 (EMC Update) v0.25_NRA_model_for_NEMO2 (EMC Update) v0.26_NRA_model_for_NEMO2 (EMC Update) v0.29_NRA_model_for_NEMO2 (EMC Update) v0.29.2" xfId="1718" xr:uid="{00000000-0005-0000-0000-000061060000}"/>
    <cellStyle name="%_NRA_model_for_NEMO2 (EMC Update) v0.25_NRA_model_for_NEMO2 (EMC Update) v0.26_NRA_model_for_NEMO2 (EMC Update) v0.29_NRA_model_for_NEMO2 (EMC Update) v0.29.2_NRA_model_for_NEMO2 (EMC Update) v0 30 1" xfId="1719" xr:uid="{00000000-0005-0000-0000-000062060000}"/>
    <cellStyle name="%_NRA_model_for_NEMO2 (EMC Update) v0.25_NRA_model_for_NEMO2 (EMC Update) v0.26_NRA_model_for_NEMO2 (EMC Update) v0.29_NRA_model_for_NEMO2 (EMC Update) v0.29.2_NRA_model_for_NEMO2 (EMC Update) v0.29.3" xfId="1720" xr:uid="{00000000-0005-0000-0000-000063060000}"/>
    <cellStyle name="%_NRA_model_for_NEMO2 (EMC Update) v0.25_NRA_model_for_NEMO2 (EMC Update) v0.26_NRA_model_for_NEMO2 (EMC Update) v0.29_NRA_model_for_NEMO2 (EMC Update) v0.29.2_NRA_model_for_NEMO2 (EMC Update) v0.29.3_NRA_model_for_NEMO2 (EMC Update) v0 30 1" xfId="1721" xr:uid="{00000000-0005-0000-0000-000064060000}"/>
    <cellStyle name="%_NRA_model_for_NEMO2 (EMC Update) v0.25_NRA_model_for_NEMO2 (EMC Update) v0.26_NRA_model_for_NEMO2 (EMC Update) v0.29_NRA_model_for_NEMO2 (EMC Update) v0.29.2_NRA_model_for_NEMO2 (EMC Update) v0.29.3_NRA_model_for_NEMO2 (EMC Update) v0.29.5" xfId="1722" xr:uid="{00000000-0005-0000-0000-000065060000}"/>
    <cellStyle name="%_NRA_model_for_NEMO2 (EMC Update) v0.25_NRA_model_for_NEMO2 (EMC Update) v0.26_NRA_model_for_NEMO2 (EMC Update) v0.29_NRA_model_for_NEMO2 (EMC Update) v0.29.2_NRA_model_for_NEMO2 (EMC Update) v0.29.4" xfId="1723" xr:uid="{00000000-0005-0000-0000-000066060000}"/>
    <cellStyle name="%_NRA_model_for_NEMO2 (EMC Update) v0.25_NRA_model_for_NEMO2 (EMC Update) v0.26_NRA_model_for_NEMO2 (EMC Update) v0.29_NRA_model_for_NEMO2 (EMC Update) v0.29.2_NRA_model_for_NEMO2 (EMC Update) v0.29.4_NRA_model_for_NEMO2 (EMC Update) v0 30 1" xfId="1724" xr:uid="{00000000-0005-0000-0000-000067060000}"/>
    <cellStyle name="%_NRA_model_for_NEMO2 (EMC Update) v0.25_NRA_model_for_NEMO2 (EMC Update) v0.26_NRA_model_for_NEMO2 (EMC Update) v0.29_NRA_model_for_NEMO2 (EMC Update) v0.29.2_NRA_model_for_NEMO2 (EMC Update) v0.29.4_NRA_model_for_NEMO2 (EMC Update) v0.29.5" xfId="1725" xr:uid="{00000000-0005-0000-0000-000068060000}"/>
    <cellStyle name="%_NRA_model_for_NEMO2 (EMC Update) v0.25_NRA_model_for_NEMO2 (EMC Update) v0.26_NRA_model_for_NEMO2 (EMC Update) v0.29_NRA_model_for_NEMO2 (EMC Update) v0.29.2_NRA_model_for_NEMO2 (EMC Update) v0.29.5" xfId="1726" xr:uid="{00000000-0005-0000-0000-000069060000}"/>
    <cellStyle name="%_NRA_model_for_NEMO2 (EMC Update) v0.25_NRA_model_for_NEMO2 (EMC Update) v0.26_NRA_model_for_NEMO2 (EMC Update) v0.29_NRA_model_for_NEMO2 (EMC Update) v0.29.2_NRA_model_for_NEMO2 (EMC Update) v0.29.5_NRA_model_for_NEMO2 (EMC Update) v0 30 1" xfId="1727" xr:uid="{00000000-0005-0000-0000-00006A060000}"/>
    <cellStyle name="%_NRA_model_for_NEMO2 (EMC Update) v0.25_NRA_model_for_NEMO2 (EMC Update) v0.26_NRA_model_for_NEMO2 (EMC Update) v0.29_NRA_model_for_NEMO2 (EMC Update) v0.29.3" xfId="1728" xr:uid="{00000000-0005-0000-0000-00006B060000}"/>
    <cellStyle name="%_NRA_model_for_NEMO2 (EMC Update) v0.25_NRA_model_for_NEMO2 (EMC Update) v0.26_NRA_model_for_NEMO2 (EMC Update) v0.29_NRA_model_for_NEMO2 (EMC Update) v0.29.3_NRA_model_for_NEMO2 (EMC Update) v0 30 1" xfId="1729" xr:uid="{00000000-0005-0000-0000-00006C060000}"/>
    <cellStyle name="%_NRA_model_for_NEMO2 (EMC Update) v0.25_NRA_model_for_NEMO2 (EMC Update) v0.26_NRA_model_for_NEMO2 (EMC Update) v0.29_NRA_model_for_NEMO2 (EMC Update) v0.29.3_NRA_model_for_NEMO2 (EMC Update) v0.29.5" xfId="1730" xr:uid="{00000000-0005-0000-0000-00006D060000}"/>
    <cellStyle name="%_NRA_model_for_NEMO2 (EMC Update) v0.25_NRA_model_for_NEMO2 (EMC Update) v0.26_NRA_model_for_NEMO2 (EMC Update) v0.29_NRA_model_for_NEMO2 (EMC Update) v0.29.3_NRA_model_for_NEMO2 (EMC Update) v0.29.5_NRA_model_for_NEMO2 (EMC Update) v0 30 1" xfId="1731" xr:uid="{00000000-0005-0000-0000-00006E060000}"/>
    <cellStyle name="%_NRA_model_for_NEMO2 (EMC Update) v0.25_NRA_model_for_NEMO2 (EMC Update) v0.26_NRA_model_for_NEMO2 (EMC Update) v0.29_NRA_model_for_NEMO2 (EMC Update) v0.29.4" xfId="1732" xr:uid="{00000000-0005-0000-0000-00006F060000}"/>
    <cellStyle name="%_NRA_model_for_NEMO2 (EMC Update) v0.25_NRA_model_for_NEMO2 (EMC Update) v0.26_NRA_model_for_NEMO2 (EMC Update) v0.29_NRA_model_for_NEMO2 (EMC Update) v0.29.4_NRA_model_for_NEMO2 (EMC Update) v0 30 1" xfId="1733" xr:uid="{00000000-0005-0000-0000-000070060000}"/>
    <cellStyle name="%_NRA_model_for_NEMO2 (EMC Update) v0.25_NRA_model_for_NEMO2 (EMC Update) v0.26_NRA_model_for_NEMO2 (EMC Update) v0.29_NRA_model_for_NEMO2 (EMC Update) v0.29.4_NRA_model_for_NEMO2 (EMC Update) v0.29.5" xfId="1734" xr:uid="{00000000-0005-0000-0000-000071060000}"/>
    <cellStyle name="%_NRA_model_for_NEMO2 (EMC Update) v0.25_NRA_model_for_NEMO2 (EMC Update) v0.26_NRA_model_for_NEMO2 (EMC Update) v0.29_NRA_model_for_NEMO2 (EMC Update) v0.29.4_NRA_model_for_NEMO2 (EMC Update) v0.29.5_NRA_model_for_NEMO2 (EMC Update) v0 30 1" xfId="1735" xr:uid="{00000000-0005-0000-0000-000072060000}"/>
    <cellStyle name="%_NRA_model_for_NEMO2 (EMC Update) v0.25_NRA_model_for_NEMO2 (EMC Update) v0.26_NRA_model_for_NEMO2 (EMC Update) v0.29_NRA_model_for_NEMO2 (EMC Update) v0.29.5" xfId="1736" xr:uid="{00000000-0005-0000-0000-000073060000}"/>
    <cellStyle name="%_NRA_model_for_NEMO2 (EMC Update) v0.25_NRA_model_for_NEMO2 (EMC Update) v0.26_NRA_model_for_NEMO2 (EMC Update) v0.29_NRA_model_for_NEMO2 (EMC Update) v0.29.5_NRA_model_for_NEMO2 (EMC Update) v0 30 1" xfId="1737" xr:uid="{00000000-0005-0000-0000-000074060000}"/>
    <cellStyle name="%_NRA_model_for_NEMO2 (EMC Update) v0.25_NRA_model_for_NEMO2 (EMC Update) v0.29" xfId="1738" xr:uid="{00000000-0005-0000-0000-000075060000}"/>
    <cellStyle name="%_NRA_model_for_NEMO2 (EMC Update) v0.25_NRA_model_for_NEMO2 (EMC Update) v0.29.2" xfId="1739" xr:uid="{00000000-0005-0000-0000-000076060000}"/>
    <cellStyle name="%_NRA_model_for_NEMO2 (EMC Update) v0.25_NRA_model_for_NEMO2 (EMC Update) v0.29.2_NRA_model_for_NEMO2 (EMC Update) v0 30 1" xfId="1740" xr:uid="{00000000-0005-0000-0000-000077060000}"/>
    <cellStyle name="%_NRA_model_for_NEMO2 (EMC Update) v0.25_NRA_model_for_NEMO2 (EMC Update) v0.29.2_NRA_model_for_NEMO2 (EMC Update) v0.29.3" xfId="1741" xr:uid="{00000000-0005-0000-0000-000078060000}"/>
    <cellStyle name="%_NRA_model_for_NEMO2 (EMC Update) v0.25_NRA_model_for_NEMO2 (EMC Update) v0.29.2_NRA_model_for_NEMO2 (EMC Update) v0.29.3_NRA_model_for_NEMO2 (EMC Update) v0 30 1" xfId="1742" xr:uid="{00000000-0005-0000-0000-000079060000}"/>
    <cellStyle name="%_NRA_model_for_NEMO2 (EMC Update) v0.25_NRA_model_for_NEMO2 (EMC Update) v0.29.2_NRA_model_for_NEMO2 (EMC Update) v0.29.3_NRA_model_for_NEMO2 (EMC Update) v0.29.5" xfId="1743" xr:uid="{00000000-0005-0000-0000-00007A060000}"/>
    <cellStyle name="%_NRA_model_for_NEMO2 (EMC Update) v0.25_NRA_model_for_NEMO2 (EMC Update) v0.29.2_NRA_model_for_NEMO2 (EMC Update) v0.29.3_NRA_model_for_NEMO2 (EMC Update) v0.29.5_NRA_model_for_NEMO2 (EMC Update) v0 30 1" xfId="1744" xr:uid="{00000000-0005-0000-0000-00007B060000}"/>
    <cellStyle name="%_NRA_model_for_NEMO2 (EMC Update) v0.25_NRA_model_for_NEMO2 (EMC Update) v0.29.2_NRA_model_for_NEMO2 (EMC Update) v0.29.4" xfId="1745" xr:uid="{00000000-0005-0000-0000-00007C060000}"/>
    <cellStyle name="%_NRA_model_for_NEMO2 (EMC Update) v0.25_NRA_model_for_NEMO2 (EMC Update) v0.29.2_NRA_model_for_NEMO2 (EMC Update) v0.29.4_NRA_model_for_NEMO2 (EMC Update) v0 30 1" xfId="1746" xr:uid="{00000000-0005-0000-0000-00007D060000}"/>
    <cellStyle name="%_NRA_model_for_NEMO2 (EMC Update) v0.25_NRA_model_for_NEMO2 (EMC Update) v0.29.2_NRA_model_for_NEMO2 (EMC Update) v0.29.4_NRA_model_for_NEMO2 (EMC Update) v0.29.5" xfId="1747" xr:uid="{00000000-0005-0000-0000-00007E060000}"/>
    <cellStyle name="%_NRA_model_for_NEMO2 (EMC Update) v0.25_NRA_model_for_NEMO2 (EMC Update) v0.29.2_NRA_model_for_NEMO2 (EMC Update) v0.29.4_NRA_model_for_NEMO2 (EMC Update) v0.29.5_NRA_model_for_NEMO2 (EMC Update) v0 30 1" xfId="1748" xr:uid="{00000000-0005-0000-0000-00007F060000}"/>
    <cellStyle name="%_NRA_model_for_NEMO2 (EMC Update) v0.25_NRA_model_for_NEMO2 (EMC Update) v0.29.2_NRA_model_for_NEMO2 (EMC Update) v0.29.5" xfId="1749" xr:uid="{00000000-0005-0000-0000-000080060000}"/>
    <cellStyle name="%_NRA_model_for_NEMO2 (EMC Update) v0.25_NRA_model_for_NEMO2 (EMC Update) v0.29.2_NRA_model_for_NEMO2 (EMC Update) v0.29.5_NRA_model_for_NEMO2 (EMC Update) v0 30 1" xfId="1750" xr:uid="{00000000-0005-0000-0000-000081060000}"/>
    <cellStyle name="%_NRA_model_for_NEMO2 (EMC Update) v0.25_NRA_model_for_NEMO2 (EMC Update) v0.29.3" xfId="1751" xr:uid="{00000000-0005-0000-0000-000082060000}"/>
    <cellStyle name="%_NRA_model_for_NEMO2 (EMC Update) v0.25_NRA_model_for_NEMO2 (EMC Update) v0.29.3_NRA_model_for_NEMO2 (EMC Update) v0 30 1" xfId="1752" xr:uid="{00000000-0005-0000-0000-000083060000}"/>
    <cellStyle name="%_NRA_model_for_NEMO2 (EMC Update) v0.25_NRA_model_for_NEMO2 (EMC Update) v0.29.3_NRA_model_for_NEMO2 (EMC Update) v0.29.5" xfId="1753" xr:uid="{00000000-0005-0000-0000-000084060000}"/>
    <cellStyle name="%_NRA_model_for_NEMO2 (EMC Update) v0.25_NRA_model_for_NEMO2 (EMC Update) v0.29.3_NRA_model_for_NEMO2 (EMC Update) v0.29.5_NRA_model_for_NEMO2 (EMC Update) v0 30 1" xfId="1754" xr:uid="{00000000-0005-0000-0000-000085060000}"/>
    <cellStyle name="%_NRA_model_for_NEMO2 (EMC Update) v0.25_NRA_model_for_NEMO2 (EMC Update) v0.29.4" xfId="1755" xr:uid="{00000000-0005-0000-0000-000086060000}"/>
    <cellStyle name="%_NRA_model_for_NEMO2 (EMC Update) v0.25_NRA_model_for_NEMO2 (EMC Update) v0.29.4_NRA_model_for_NEMO2 (EMC Update) v0 30 1" xfId="1756" xr:uid="{00000000-0005-0000-0000-000087060000}"/>
    <cellStyle name="%_NRA_model_for_NEMO2 (EMC Update) v0.25_NRA_model_for_NEMO2 (EMC Update) v0.29.4_NRA_model_for_NEMO2 (EMC Update) v0.29.5" xfId="1757" xr:uid="{00000000-0005-0000-0000-000088060000}"/>
    <cellStyle name="%_NRA_model_for_NEMO2 (EMC Update) v0.25_NRA_model_for_NEMO2 (EMC Update) v0.29.4_NRA_model_for_NEMO2 (EMC Update) v0.29.5_NRA_model_for_NEMO2 (EMC Update) v0 30 1" xfId="1758" xr:uid="{00000000-0005-0000-0000-000089060000}"/>
    <cellStyle name="%_NRA_model_for_NEMO2 (EMC Update) v0.25_NRA_model_for_NEMO2 (EMC Update) v0.29.5" xfId="1759" xr:uid="{00000000-0005-0000-0000-00008A060000}"/>
    <cellStyle name="%_NRA_model_for_NEMO2 (EMC Update) v0.25_NRA_model_for_NEMO2 (EMC Update) v0.29.5_NRA_model_for_NEMO2 (EMC Update) v0 30 1" xfId="1760" xr:uid="{00000000-0005-0000-0000-00008B060000}"/>
    <cellStyle name="%_NRA_model_for_NEMO2 (EMC Update) v0.25_NRA_model_for_NEMO2 (EMC Update) v0.29_NRA_model_for_NEMO2 (EMC Update) v0 30 1" xfId="1761" xr:uid="{00000000-0005-0000-0000-00008C060000}"/>
    <cellStyle name="%_NRA_model_for_NEMO2 (EMC Update) v0.25_NRA_model_for_NEMO2 (EMC Update) v0.29_NRA_model_for_NEMO2 (EMC Update) v0.29.2" xfId="1762" xr:uid="{00000000-0005-0000-0000-00008D060000}"/>
    <cellStyle name="%_NRA_model_for_NEMO2 (EMC Update) v0.25_NRA_model_for_NEMO2 (EMC Update) v0.29_NRA_model_for_NEMO2 (EMC Update) v0.29.2_NRA_model_for_NEMO2 (EMC Update) v0 30 1" xfId="1763" xr:uid="{00000000-0005-0000-0000-00008E060000}"/>
    <cellStyle name="%_NRA_model_for_NEMO2 (EMC Update) v0.25_NRA_model_for_NEMO2 (EMC Update) v0.29_NRA_model_for_NEMO2 (EMC Update) v0.29.2_NRA_model_for_NEMO2 (EMC Update) v0.29.3" xfId="1764" xr:uid="{00000000-0005-0000-0000-00008F060000}"/>
    <cellStyle name="%_NRA_model_for_NEMO2 (EMC Update) v0.25_NRA_model_for_NEMO2 (EMC Update) v0.29_NRA_model_for_NEMO2 (EMC Update) v0.29.2_NRA_model_for_NEMO2 (EMC Update) v0.29.3_NRA_model_for_NEMO2 (EMC Update) v0 30 1" xfId="1765" xr:uid="{00000000-0005-0000-0000-000090060000}"/>
    <cellStyle name="%_NRA_model_for_NEMO2 (EMC Update) v0.25_NRA_model_for_NEMO2 (EMC Update) v0.29_NRA_model_for_NEMO2 (EMC Update) v0.29.2_NRA_model_for_NEMO2 (EMC Update) v0.29.3_NRA_model_for_NEMO2 (EMC Update) v0.29.5" xfId="1766" xr:uid="{00000000-0005-0000-0000-000091060000}"/>
    <cellStyle name="%_NRA_model_for_NEMO2 (EMC Update) v0.25_NRA_model_for_NEMO2 (EMC Update) v0.29_NRA_model_for_NEMO2 (EMC Update) v0.29.2_NRA_model_for_NEMO2 (EMC Update) v0.29.3_NRA_model_for_NEMO2 (EMC Update) v0.29.5_NRA_model_for_NEMO2 (EMC Update) v0 30 1" xfId="1767" xr:uid="{00000000-0005-0000-0000-000092060000}"/>
    <cellStyle name="%_NRA_model_for_NEMO2 (EMC Update) v0.25_NRA_model_for_NEMO2 (EMC Update) v0.29_NRA_model_for_NEMO2 (EMC Update) v0.29.2_NRA_model_for_NEMO2 (EMC Update) v0.29.4" xfId="1768" xr:uid="{00000000-0005-0000-0000-000093060000}"/>
    <cellStyle name="%_NRA_model_for_NEMO2 (EMC Update) v0.25_NRA_model_for_NEMO2 (EMC Update) v0.29_NRA_model_for_NEMO2 (EMC Update) v0.29.2_NRA_model_for_NEMO2 (EMC Update) v0.29.4_NRA_model_for_NEMO2 (EMC Update) v0 30 1" xfId="1769" xr:uid="{00000000-0005-0000-0000-000094060000}"/>
    <cellStyle name="%_NRA_model_for_NEMO2 (EMC Update) v0.25_NRA_model_for_NEMO2 (EMC Update) v0.29_NRA_model_for_NEMO2 (EMC Update) v0.29.2_NRA_model_for_NEMO2 (EMC Update) v0.29.4_NRA_model_for_NEMO2 (EMC Update) v0.29.5" xfId="1770" xr:uid="{00000000-0005-0000-0000-000095060000}"/>
    <cellStyle name="%_NRA_model_for_NEMO2 (EMC Update) v0.25_NRA_model_for_NEMO2 (EMC Update) v0.29_NRA_model_for_NEMO2 (EMC Update) v0.29.2_NRA_model_for_NEMO2 (EMC Update) v0.29.4_NRA_model_for_NEMO2 (EMC Update) v0.29.5_NRA_model_for_NEMO2 (EMC Update) v0 30 1" xfId="1771" xr:uid="{00000000-0005-0000-0000-000096060000}"/>
    <cellStyle name="%_NRA_model_for_NEMO2 (EMC Update) v0.25_NRA_model_for_NEMO2 (EMC Update) v0.29_NRA_model_for_NEMO2 (EMC Update) v0.29.2_NRA_model_for_NEMO2 (EMC Update) v0.29.5" xfId="1772" xr:uid="{00000000-0005-0000-0000-000097060000}"/>
    <cellStyle name="%_NRA_model_for_NEMO2 (EMC Update) v0.25_NRA_model_for_NEMO2 (EMC Update) v0.29_NRA_model_for_NEMO2 (EMC Update) v0.29.2_NRA_model_for_NEMO2 (EMC Update) v0.29.5_NRA_model_for_NEMO2 (EMC Update) v0 30 1" xfId="1773" xr:uid="{00000000-0005-0000-0000-000098060000}"/>
    <cellStyle name="%_NRA_model_for_NEMO2 (EMC Update) v0.25_NRA_model_for_NEMO2 (EMC Update) v0.29_NRA_model_for_NEMO2 (EMC Update) v0.29.3" xfId="1774" xr:uid="{00000000-0005-0000-0000-000099060000}"/>
    <cellStyle name="%_NRA_model_for_NEMO2 (EMC Update) v0.25_NRA_model_for_NEMO2 (EMC Update) v0.29_NRA_model_for_NEMO2 (EMC Update) v0.29.3_NRA_model_for_NEMO2 (EMC Update) v0 30 1" xfId="1775" xr:uid="{00000000-0005-0000-0000-00009A060000}"/>
    <cellStyle name="%_NRA_model_for_NEMO2 (EMC Update) v0.25_NRA_model_for_NEMO2 (EMC Update) v0.29_NRA_model_for_NEMO2 (EMC Update) v0.29.3_NRA_model_for_NEMO2 (EMC Update) v0.29.5" xfId="1776" xr:uid="{00000000-0005-0000-0000-00009B060000}"/>
    <cellStyle name="%_NRA_model_for_NEMO2 (EMC Update) v0.25_NRA_model_for_NEMO2 (EMC Update) v0.29_NRA_model_for_NEMO2 (EMC Update) v0.29.3_NRA_model_for_NEMO2 (EMC Update) v0.29.5_NRA_model_for_NEMO2 (EMC Update) v0 30 1" xfId="1777" xr:uid="{00000000-0005-0000-0000-00009C060000}"/>
    <cellStyle name="%_NRA_model_for_NEMO2 (EMC Update) v0.25_NRA_model_for_NEMO2 (EMC Update) v0.29_NRA_model_for_NEMO2 (EMC Update) v0.29.4" xfId="1778" xr:uid="{00000000-0005-0000-0000-00009D060000}"/>
    <cellStyle name="%_NRA_model_for_NEMO2 (EMC Update) v0.25_NRA_model_for_NEMO2 (EMC Update) v0.29_NRA_model_for_NEMO2 (EMC Update) v0.29.4_NRA_model_for_NEMO2 (EMC Update) v0 30 1" xfId="1779" xr:uid="{00000000-0005-0000-0000-00009E060000}"/>
    <cellStyle name="%_NRA_model_for_NEMO2 (EMC Update) v0.25_NRA_model_for_NEMO2 (EMC Update) v0.29_NRA_model_for_NEMO2 (EMC Update) v0.29.4_NRA_model_for_NEMO2 (EMC Update) v0.29.5" xfId="1780" xr:uid="{00000000-0005-0000-0000-00009F060000}"/>
    <cellStyle name="%_NRA_model_for_NEMO2 (EMC Update) v0.25_NRA_model_for_NEMO2 (EMC Update) v0.29_NRA_model_for_NEMO2 (EMC Update) v0.29.4_NRA_model_for_NEMO2 (EMC Update) v0.29.5_NRA_model_for_NEMO2 (EMC Update) v0 30 1" xfId="1781" xr:uid="{00000000-0005-0000-0000-0000A0060000}"/>
    <cellStyle name="%_NRA_model_for_NEMO2 (EMC Update) v0.25_NRA_model_for_NEMO2 (EMC Update) v0.29_NRA_model_for_NEMO2 (EMC Update) v0.29.5" xfId="1782" xr:uid="{00000000-0005-0000-0000-0000A1060000}"/>
    <cellStyle name="%_NRA_model_for_NEMO2 (EMC Update) v0.25_NRA_model_for_NEMO2 (EMC Update) v0.29_NRA_model_for_NEMO2 (EMC Update) v0.29.5_NRA_model_for_NEMO2 (EMC Update) v0 30 1" xfId="1783" xr:uid="{00000000-0005-0000-0000-0000A2060000}"/>
    <cellStyle name="%_NRA_model_for_NEMO2 (EMC Update) v0.26" xfId="1784" xr:uid="{00000000-0005-0000-0000-0000A3060000}"/>
    <cellStyle name="%_NRA_model_for_NEMO2 (EMC Update) v0.26_NRA_model_for_NEMO2 (EMC Update) v0 30 1" xfId="1785" xr:uid="{00000000-0005-0000-0000-0000A4060000}"/>
    <cellStyle name="%_NRA_model_for_NEMO2 (EMC Update) v0.26_NRA_model_for_NEMO2 (EMC Update) v0.29" xfId="1786" xr:uid="{00000000-0005-0000-0000-0000A5060000}"/>
    <cellStyle name="%_NRA_model_for_NEMO2 (EMC Update) v0.26_NRA_model_for_NEMO2 (EMC Update) v0.29.2" xfId="1787" xr:uid="{00000000-0005-0000-0000-0000A6060000}"/>
    <cellStyle name="%_NRA_model_for_NEMO2 (EMC Update) v0.26_NRA_model_for_NEMO2 (EMC Update) v0.29.2_NRA_model_for_NEMO2 (EMC Update) v0 30 1" xfId="1788" xr:uid="{00000000-0005-0000-0000-0000A7060000}"/>
    <cellStyle name="%_NRA_model_for_NEMO2 (EMC Update) v0.26_NRA_model_for_NEMO2 (EMC Update) v0.29.2_NRA_model_for_NEMO2 (EMC Update) v0.29.3" xfId="1789" xr:uid="{00000000-0005-0000-0000-0000A8060000}"/>
    <cellStyle name="%_NRA_model_for_NEMO2 (EMC Update) v0.26_NRA_model_for_NEMO2 (EMC Update) v0.29.2_NRA_model_for_NEMO2 (EMC Update) v0.29.3_NRA_model_for_NEMO2 (EMC Update) v0 30 1" xfId="1790" xr:uid="{00000000-0005-0000-0000-0000A9060000}"/>
    <cellStyle name="%_NRA_model_for_NEMO2 (EMC Update) v0.26_NRA_model_for_NEMO2 (EMC Update) v0.29.2_NRA_model_for_NEMO2 (EMC Update) v0.29.3_NRA_model_for_NEMO2 (EMC Update) v0.29.5" xfId="1791" xr:uid="{00000000-0005-0000-0000-0000AA060000}"/>
    <cellStyle name="%_NRA_model_for_NEMO2 (EMC Update) v0.26_NRA_model_for_NEMO2 (EMC Update) v0.29.2_NRA_model_for_NEMO2 (EMC Update) v0.29.3_NRA_model_for_NEMO2 (EMC Update) v0.29.5_NRA_model_for_NEMO2 (EMC Update) v0 30 1" xfId="1792" xr:uid="{00000000-0005-0000-0000-0000AB060000}"/>
    <cellStyle name="%_NRA_model_for_NEMO2 (EMC Update) v0.26_NRA_model_for_NEMO2 (EMC Update) v0.29.2_NRA_model_for_NEMO2 (EMC Update) v0.29.4" xfId="1793" xr:uid="{00000000-0005-0000-0000-0000AC060000}"/>
    <cellStyle name="%_NRA_model_for_NEMO2 (EMC Update) v0.26_NRA_model_for_NEMO2 (EMC Update) v0.29.2_NRA_model_for_NEMO2 (EMC Update) v0.29.4_NRA_model_for_NEMO2 (EMC Update) v0 30 1" xfId="1794" xr:uid="{00000000-0005-0000-0000-0000AD060000}"/>
    <cellStyle name="%_NRA_model_for_NEMO2 (EMC Update) v0.26_NRA_model_for_NEMO2 (EMC Update) v0.29.2_NRA_model_for_NEMO2 (EMC Update) v0.29.4_NRA_model_for_NEMO2 (EMC Update) v0.29.5" xfId="1795" xr:uid="{00000000-0005-0000-0000-0000AE060000}"/>
    <cellStyle name="%_NRA_model_for_NEMO2 (EMC Update) v0.26_NRA_model_for_NEMO2 (EMC Update) v0.29.2_NRA_model_for_NEMO2 (EMC Update) v0.29.4_NRA_model_for_NEMO2 (EMC Update) v0.29.5_NRA_model_for_NEMO2 (EMC Update) v0 30 1" xfId="1796" xr:uid="{00000000-0005-0000-0000-0000AF060000}"/>
    <cellStyle name="%_NRA_model_for_NEMO2 (EMC Update) v0.26_NRA_model_for_NEMO2 (EMC Update) v0.29.2_NRA_model_for_NEMO2 (EMC Update) v0.29.5" xfId="1797" xr:uid="{00000000-0005-0000-0000-0000B0060000}"/>
    <cellStyle name="%_NRA_model_for_NEMO2 (EMC Update) v0.26_NRA_model_for_NEMO2 (EMC Update) v0.29.2_NRA_model_for_NEMO2 (EMC Update) v0.29.5_NRA_model_for_NEMO2 (EMC Update) v0 30 1" xfId="1798" xr:uid="{00000000-0005-0000-0000-0000B1060000}"/>
    <cellStyle name="%_NRA_model_for_NEMO2 (EMC Update) v0.26_NRA_model_for_NEMO2 (EMC Update) v0.29.3" xfId="1799" xr:uid="{00000000-0005-0000-0000-0000B2060000}"/>
    <cellStyle name="%_NRA_model_for_NEMO2 (EMC Update) v0.26_NRA_model_for_NEMO2 (EMC Update) v0.29.3_NRA_model_for_NEMO2 (EMC Update) v0 30 1" xfId="1800" xr:uid="{00000000-0005-0000-0000-0000B3060000}"/>
    <cellStyle name="%_NRA_model_for_NEMO2 (EMC Update) v0.26_NRA_model_for_NEMO2 (EMC Update) v0.29.3_NRA_model_for_NEMO2 (EMC Update) v0.29.5" xfId="1801" xr:uid="{00000000-0005-0000-0000-0000B4060000}"/>
    <cellStyle name="%_NRA_model_for_NEMO2 (EMC Update) v0.26_NRA_model_for_NEMO2 (EMC Update) v0.29.3_NRA_model_for_NEMO2 (EMC Update) v0.29.5_NRA_model_for_NEMO2 (EMC Update) v0 30 1" xfId="1802" xr:uid="{00000000-0005-0000-0000-0000B5060000}"/>
    <cellStyle name="%_NRA_model_for_NEMO2 (EMC Update) v0.26_NRA_model_for_NEMO2 (EMC Update) v0.29.4" xfId="1803" xr:uid="{00000000-0005-0000-0000-0000B6060000}"/>
    <cellStyle name="%_NRA_model_for_NEMO2 (EMC Update) v0.26_NRA_model_for_NEMO2 (EMC Update) v0.29.4_NRA_model_for_NEMO2 (EMC Update) v0 30 1" xfId="1804" xr:uid="{00000000-0005-0000-0000-0000B7060000}"/>
    <cellStyle name="%_NRA_model_for_NEMO2 (EMC Update) v0.26_NRA_model_for_NEMO2 (EMC Update) v0.29.4_NRA_model_for_NEMO2 (EMC Update) v0.29.5" xfId="1805" xr:uid="{00000000-0005-0000-0000-0000B8060000}"/>
    <cellStyle name="%_NRA_model_for_NEMO2 (EMC Update) v0.26_NRA_model_for_NEMO2 (EMC Update) v0.29.4_NRA_model_for_NEMO2 (EMC Update) v0.29.5_NRA_model_for_NEMO2 (EMC Update) v0 30 1" xfId="1806" xr:uid="{00000000-0005-0000-0000-0000B9060000}"/>
    <cellStyle name="%_NRA_model_for_NEMO2 (EMC Update) v0.26_NRA_model_for_NEMO2 (EMC Update) v0.29.5" xfId="1807" xr:uid="{00000000-0005-0000-0000-0000BA060000}"/>
    <cellStyle name="%_NRA_model_for_NEMO2 (EMC Update) v0.26_NRA_model_for_NEMO2 (EMC Update) v0.29.5_NRA_model_for_NEMO2 (EMC Update) v0 30 1" xfId="1808" xr:uid="{00000000-0005-0000-0000-0000BB060000}"/>
    <cellStyle name="%_NRA_model_for_NEMO2 (EMC Update) v0.26_NRA_model_for_NEMO2 (EMC Update) v0.29_NRA_model_for_NEMO2 (EMC Update) v0 30 1" xfId="1809" xr:uid="{00000000-0005-0000-0000-0000BC060000}"/>
    <cellStyle name="%_NRA_model_for_NEMO2 (EMC Update) v0.26_NRA_model_for_NEMO2 (EMC Update) v0.29_NRA_model_for_NEMO2 (EMC Update) v0.29.2" xfId="1810" xr:uid="{00000000-0005-0000-0000-0000BD060000}"/>
    <cellStyle name="%_NRA_model_for_NEMO2 (EMC Update) v0.26_NRA_model_for_NEMO2 (EMC Update) v0.29_NRA_model_for_NEMO2 (EMC Update) v0.29.2_NRA_model_for_NEMO2 (EMC Update) v0 30 1" xfId="1811" xr:uid="{00000000-0005-0000-0000-0000BE060000}"/>
    <cellStyle name="%_NRA_model_for_NEMO2 (EMC Update) v0.26_NRA_model_for_NEMO2 (EMC Update) v0.29_NRA_model_for_NEMO2 (EMC Update) v0.29.2_NRA_model_for_NEMO2 (EMC Update) v0.29.3" xfId="1812" xr:uid="{00000000-0005-0000-0000-0000BF060000}"/>
    <cellStyle name="%_NRA_model_for_NEMO2 (EMC Update) v0.26_NRA_model_for_NEMO2 (EMC Update) v0.29_NRA_model_for_NEMO2 (EMC Update) v0.29.2_NRA_model_for_NEMO2 (EMC Update) v0.29.3_NRA_model_for_NEMO2 (EMC Update) v0 30 1" xfId="1813" xr:uid="{00000000-0005-0000-0000-0000C0060000}"/>
    <cellStyle name="%_NRA_model_for_NEMO2 (EMC Update) v0.26_NRA_model_for_NEMO2 (EMC Update) v0.29_NRA_model_for_NEMO2 (EMC Update) v0.29.2_NRA_model_for_NEMO2 (EMC Update) v0.29.3_NRA_model_for_NEMO2 (EMC Update) v0.29.5" xfId="1814" xr:uid="{00000000-0005-0000-0000-0000C1060000}"/>
    <cellStyle name="%_NRA_model_for_NEMO2 (EMC Update) v0.26_NRA_model_for_NEMO2 (EMC Update) v0.29_NRA_model_for_NEMO2 (EMC Update) v0.29.2_NRA_model_for_NEMO2 (EMC Update) v0.29.3_NRA_model_for_NEMO2 (EMC Update) v0.29.5_NRA_model_for_NEMO2 (EMC Update) v0 30 1" xfId="1815" xr:uid="{00000000-0005-0000-0000-0000C2060000}"/>
    <cellStyle name="%_NRA_model_for_NEMO2 (EMC Update) v0.26_NRA_model_for_NEMO2 (EMC Update) v0.29_NRA_model_for_NEMO2 (EMC Update) v0.29.2_NRA_model_for_NEMO2 (EMC Update) v0.29.4" xfId="1816" xr:uid="{00000000-0005-0000-0000-0000C3060000}"/>
    <cellStyle name="%_NRA_model_for_NEMO2 (EMC Update) v0.26_NRA_model_for_NEMO2 (EMC Update) v0.29_NRA_model_for_NEMO2 (EMC Update) v0.29.2_NRA_model_for_NEMO2 (EMC Update) v0.29.4_NRA_model_for_NEMO2 (EMC Update) v0 30 1" xfId="1817" xr:uid="{00000000-0005-0000-0000-0000C4060000}"/>
    <cellStyle name="%_NRA_model_for_NEMO2 (EMC Update) v0.26_NRA_model_for_NEMO2 (EMC Update) v0.29_NRA_model_for_NEMO2 (EMC Update) v0.29.2_NRA_model_for_NEMO2 (EMC Update) v0.29.4_NRA_model_for_NEMO2 (EMC Update) v0.29.5" xfId="1818" xr:uid="{00000000-0005-0000-0000-0000C5060000}"/>
    <cellStyle name="%_NRA_model_for_NEMO2 (EMC Update) v0.26_NRA_model_for_NEMO2 (EMC Update) v0.29_NRA_model_for_NEMO2 (EMC Update) v0.29.2_NRA_model_for_NEMO2 (EMC Update) v0.29.4_NRA_model_for_NEMO2 (EMC Update) v0.29.5_NRA_model_for_NEMO2 (EMC Update) v0 30 1" xfId="1819" xr:uid="{00000000-0005-0000-0000-0000C6060000}"/>
    <cellStyle name="%_NRA_model_for_NEMO2 (EMC Update) v0.26_NRA_model_for_NEMO2 (EMC Update) v0.29_NRA_model_for_NEMO2 (EMC Update) v0.29.2_NRA_model_for_NEMO2 (EMC Update) v0.29.5" xfId="1820" xr:uid="{00000000-0005-0000-0000-0000C7060000}"/>
    <cellStyle name="%_NRA_model_for_NEMO2 (EMC Update) v0.26_NRA_model_for_NEMO2 (EMC Update) v0.29_NRA_model_for_NEMO2 (EMC Update) v0.29.2_NRA_model_for_NEMO2 (EMC Update) v0.29.5_NRA_model_for_NEMO2 (EMC Update) v0 30 1" xfId="1821" xr:uid="{00000000-0005-0000-0000-0000C8060000}"/>
    <cellStyle name="%_NRA_model_for_NEMO2 (EMC Update) v0.26_NRA_model_for_NEMO2 (EMC Update) v0.29_NRA_model_for_NEMO2 (EMC Update) v0.29.3" xfId="1822" xr:uid="{00000000-0005-0000-0000-0000C9060000}"/>
    <cellStyle name="%_NRA_model_for_NEMO2 (EMC Update) v0.26_NRA_model_for_NEMO2 (EMC Update) v0.29_NRA_model_for_NEMO2 (EMC Update) v0.29.3_NRA_model_for_NEMO2 (EMC Update) v0 30 1" xfId="1823" xr:uid="{00000000-0005-0000-0000-0000CA060000}"/>
    <cellStyle name="%_NRA_model_for_NEMO2 (EMC Update) v0.26_NRA_model_for_NEMO2 (EMC Update) v0.29_NRA_model_for_NEMO2 (EMC Update) v0.29.3_NRA_model_for_NEMO2 (EMC Update) v0.29.5" xfId="1824" xr:uid="{00000000-0005-0000-0000-0000CB060000}"/>
    <cellStyle name="%_NRA_model_for_NEMO2 (EMC Update) v0.26_NRA_model_for_NEMO2 (EMC Update) v0.29_NRA_model_for_NEMO2 (EMC Update) v0.29.3_NRA_model_for_NEMO2 (EMC Update) v0.29.5_NRA_model_for_NEMO2 (EMC Update) v0 30 1" xfId="1825" xr:uid="{00000000-0005-0000-0000-0000CC060000}"/>
    <cellStyle name="%_NRA_model_for_NEMO2 (EMC Update) v0.26_NRA_model_for_NEMO2 (EMC Update) v0.29_NRA_model_for_NEMO2 (EMC Update) v0.29.4" xfId="1826" xr:uid="{00000000-0005-0000-0000-0000CD060000}"/>
    <cellStyle name="%_NRA_model_for_NEMO2 (EMC Update) v0.26_NRA_model_for_NEMO2 (EMC Update) v0.29_NRA_model_for_NEMO2 (EMC Update) v0.29.4_NRA_model_for_NEMO2 (EMC Update) v0 30 1" xfId="1827" xr:uid="{00000000-0005-0000-0000-0000CE060000}"/>
    <cellStyle name="%_NRA_model_for_NEMO2 (EMC Update) v0.26_NRA_model_for_NEMO2 (EMC Update) v0.29_NRA_model_for_NEMO2 (EMC Update) v0.29.4_NRA_model_for_NEMO2 (EMC Update) v0.29.5" xfId="1828" xr:uid="{00000000-0005-0000-0000-0000CF060000}"/>
    <cellStyle name="%_NRA_model_for_NEMO2 (EMC Update) v0.26_NRA_model_for_NEMO2 (EMC Update) v0.29_NRA_model_for_NEMO2 (EMC Update) v0.29.4_NRA_model_for_NEMO2 (EMC Update) v0.29.5_NRA_model_for_NEMO2 (EMC Update) v0 30 1" xfId="1829" xr:uid="{00000000-0005-0000-0000-0000D0060000}"/>
    <cellStyle name="%_NRA_model_for_NEMO2 (EMC Update) v0.26_NRA_model_for_NEMO2 (EMC Update) v0.29_NRA_model_for_NEMO2 (EMC Update) v0.29.5" xfId="1830" xr:uid="{00000000-0005-0000-0000-0000D1060000}"/>
    <cellStyle name="%_NRA_model_for_NEMO2 (EMC Update) v0.26_NRA_model_for_NEMO2 (EMC Update) v0.29_NRA_model_for_NEMO2 (EMC Update) v0.29.5_NRA_model_for_NEMO2 (EMC Update) v0 30 1" xfId="1831" xr:uid="{00000000-0005-0000-0000-0000D2060000}"/>
    <cellStyle name="%_NRA_model_for_NEMO2 (EMC Update) v0.29" xfId="1832" xr:uid="{00000000-0005-0000-0000-0000D3060000}"/>
    <cellStyle name="%_NRA_model_for_NEMO2 (EMC Update) v0.29.2" xfId="1833" xr:uid="{00000000-0005-0000-0000-0000D4060000}"/>
    <cellStyle name="%_NRA_model_for_NEMO2 (EMC Update) v0.29.2_NRA_model_for_NEMO2 (EMC Update) v0 30 1" xfId="1834" xr:uid="{00000000-0005-0000-0000-0000D5060000}"/>
    <cellStyle name="%_NRA_model_for_NEMO2 (EMC Update) v0.29.2_NRA_model_for_NEMO2 (EMC Update) v0.29.3" xfId="1835" xr:uid="{00000000-0005-0000-0000-0000D6060000}"/>
    <cellStyle name="%_NRA_model_for_NEMO2 (EMC Update) v0.29.2_NRA_model_for_NEMO2 (EMC Update) v0.29.3_NRA_model_for_NEMO2 (EMC Update) v0 30 1" xfId="1836" xr:uid="{00000000-0005-0000-0000-0000D7060000}"/>
    <cellStyle name="%_NRA_model_for_NEMO2 (EMC Update) v0.29.2_NRA_model_for_NEMO2 (EMC Update) v0.29.3_NRA_model_for_NEMO2 (EMC Update) v0.29.5" xfId="1837" xr:uid="{00000000-0005-0000-0000-0000D8060000}"/>
    <cellStyle name="%_NRA_model_for_NEMO2 (EMC Update) v0.29.2_NRA_model_for_NEMO2 (EMC Update) v0.29.3_NRA_model_for_NEMO2 (EMC Update) v0.29.5_NRA_model_for_NEMO2 (EMC Update) v0 30 1" xfId="1838" xr:uid="{00000000-0005-0000-0000-0000D9060000}"/>
    <cellStyle name="%_NRA_model_for_NEMO2 (EMC Update) v0.29.2_NRA_model_for_NEMO2 (EMC Update) v0.29.4" xfId="1839" xr:uid="{00000000-0005-0000-0000-0000DA060000}"/>
    <cellStyle name="%_NRA_model_for_NEMO2 (EMC Update) v0.29.2_NRA_model_for_NEMO2 (EMC Update) v0.29.4_NRA_model_for_NEMO2 (EMC Update) v0 30 1" xfId="1840" xr:uid="{00000000-0005-0000-0000-0000DB060000}"/>
    <cellStyle name="%_NRA_model_for_NEMO2 (EMC Update) v0.29.2_NRA_model_for_NEMO2 (EMC Update) v0.29.4_NRA_model_for_NEMO2 (EMC Update) v0.29.5" xfId="1841" xr:uid="{00000000-0005-0000-0000-0000DC060000}"/>
    <cellStyle name="%_NRA_model_for_NEMO2 (EMC Update) v0.29.2_NRA_model_for_NEMO2 (EMC Update) v0.29.4_NRA_model_for_NEMO2 (EMC Update) v0.29.5_NRA_model_for_NEMO2 (EMC Update) v0 30 1" xfId="1842" xr:uid="{00000000-0005-0000-0000-0000DD060000}"/>
    <cellStyle name="%_NRA_model_for_NEMO2 (EMC Update) v0.29.2_NRA_model_for_NEMO2 (EMC Update) v0.29.5" xfId="1843" xr:uid="{00000000-0005-0000-0000-0000DE060000}"/>
    <cellStyle name="%_NRA_model_for_NEMO2 (EMC Update) v0.29.2_NRA_model_for_NEMO2 (EMC Update) v0.29.5_NRA_model_for_NEMO2 (EMC Update) v0 30 1" xfId="1844" xr:uid="{00000000-0005-0000-0000-0000DF060000}"/>
    <cellStyle name="%_NRA_model_for_NEMO2 (EMC Update) v0.29.3" xfId="1845" xr:uid="{00000000-0005-0000-0000-0000E0060000}"/>
    <cellStyle name="%_NRA_model_for_NEMO2 (EMC Update) v0.29.3_NRA_model_for_NEMO2 (EMC Update) v0 30 1" xfId="1846" xr:uid="{00000000-0005-0000-0000-0000E1060000}"/>
    <cellStyle name="%_NRA_model_for_NEMO2 (EMC Update) v0.29.3_NRA_model_for_NEMO2 (EMC Update) v0.29.5" xfId="1847" xr:uid="{00000000-0005-0000-0000-0000E2060000}"/>
    <cellStyle name="%_NRA_model_for_NEMO2 (EMC Update) v0.29.3_NRA_model_for_NEMO2 (EMC Update) v0.29.5_NRA_model_for_NEMO2 (EMC Update) v0 30 1" xfId="1848" xr:uid="{00000000-0005-0000-0000-0000E3060000}"/>
    <cellStyle name="%_NRA_model_for_NEMO2 (EMC Update) v0.29.4" xfId="1849" xr:uid="{00000000-0005-0000-0000-0000E4060000}"/>
    <cellStyle name="%_NRA_model_for_NEMO2 (EMC Update) v0.29.4_NRA_model_for_NEMO2 (EMC Update) v0 30 1" xfId="1850" xr:uid="{00000000-0005-0000-0000-0000E5060000}"/>
    <cellStyle name="%_NRA_model_for_NEMO2 (EMC Update) v0.29.4_NRA_model_for_NEMO2 (EMC Update) v0.29.5" xfId="1851" xr:uid="{00000000-0005-0000-0000-0000E6060000}"/>
    <cellStyle name="%_NRA_model_for_NEMO2 (EMC Update) v0.29.4_NRA_model_for_NEMO2 (EMC Update) v0.29.5_NRA_model_for_NEMO2 (EMC Update) v0 30 1" xfId="1852" xr:uid="{00000000-0005-0000-0000-0000E7060000}"/>
    <cellStyle name="%_NRA_model_for_NEMO2 (EMC Update) v0.29.5" xfId="1853" xr:uid="{00000000-0005-0000-0000-0000E8060000}"/>
    <cellStyle name="%_NRA_model_for_NEMO2 (EMC Update) v0.29.5_NRA_model_for_NEMO2 (EMC Update) v0 30 1" xfId="1854" xr:uid="{00000000-0005-0000-0000-0000E9060000}"/>
    <cellStyle name="%_NRA_model_for_NEMO2 (EMC Update) v0.29_NRA_model_for_NEMO2 (EMC Update) v0 30 1" xfId="1855" xr:uid="{00000000-0005-0000-0000-0000EA060000}"/>
    <cellStyle name="%_NRA_model_for_NEMO2 (EMC Update) v0.29_NRA_model_for_NEMO2 (EMC Update) v0.29.2" xfId="1856" xr:uid="{00000000-0005-0000-0000-0000EB060000}"/>
    <cellStyle name="%_NRA_model_for_NEMO2 (EMC Update) v0.29_NRA_model_for_NEMO2 (EMC Update) v0.29.2_NRA_model_for_NEMO2 (EMC Update) v0 30 1" xfId="1857" xr:uid="{00000000-0005-0000-0000-0000EC060000}"/>
    <cellStyle name="%_NRA_model_for_NEMO2 (EMC Update) v0.29_NRA_model_for_NEMO2 (EMC Update) v0.29.2_NRA_model_for_NEMO2 (EMC Update) v0.29.3" xfId="1858" xr:uid="{00000000-0005-0000-0000-0000ED060000}"/>
    <cellStyle name="%_NRA_model_for_NEMO2 (EMC Update) v0.29_NRA_model_for_NEMO2 (EMC Update) v0.29.2_NRA_model_for_NEMO2 (EMC Update) v0.29.3_NRA_model_for_NEMO2 (EMC Update) v0 30 1" xfId="1859" xr:uid="{00000000-0005-0000-0000-0000EE060000}"/>
    <cellStyle name="%_NRA_model_for_NEMO2 (EMC Update) v0.29_NRA_model_for_NEMO2 (EMC Update) v0.29.2_NRA_model_for_NEMO2 (EMC Update) v0.29.3_NRA_model_for_NEMO2 (EMC Update) v0.29.5" xfId="1860" xr:uid="{00000000-0005-0000-0000-0000EF060000}"/>
    <cellStyle name="%_NRA_model_for_NEMO2 (EMC Update) v0.29_NRA_model_for_NEMO2 (EMC Update) v0.29.2_NRA_model_for_NEMO2 (EMC Update) v0.29.3_NRA_model_for_NEMO2 (EMC Update) v0.29.5_NRA_model_for_NEMO2 (EMC Update) v0 30 1" xfId="1861" xr:uid="{00000000-0005-0000-0000-0000F0060000}"/>
    <cellStyle name="%_NRA_model_for_NEMO2 (EMC Update) v0.29_NRA_model_for_NEMO2 (EMC Update) v0.29.2_NRA_model_for_NEMO2 (EMC Update) v0.29.4" xfId="1862" xr:uid="{00000000-0005-0000-0000-0000F1060000}"/>
    <cellStyle name="%_NRA_model_for_NEMO2 (EMC Update) v0.29_NRA_model_for_NEMO2 (EMC Update) v0.29.2_NRA_model_for_NEMO2 (EMC Update) v0.29.4_NRA_model_for_NEMO2 (EMC Update) v0 30 1" xfId="1863" xr:uid="{00000000-0005-0000-0000-0000F2060000}"/>
    <cellStyle name="%_NRA_model_for_NEMO2 (EMC Update) v0.29_NRA_model_for_NEMO2 (EMC Update) v0.29.2_NRA_model_for_NEMO2 (EMC Update) v0.29.4_NRA_model_for_NEMO2 (EMC Update) v0.29.5" xfId="1864" xr:uid="{00000000-0005-0000-0000-0000F3060000}"/>
    <cellStyle name="%_NRA_model_for_NEMO2 (EMC Update) v0.29_NRA_model_for_NEMO2 (EMC Update) v0.29.2_NRA_model_for_NEMO2 (EMC Update) v0.29.4_NRA_model_for_NEMO2 (EMC Update) v0.29.5_NRA_model_for_NEMO2 (EMC Update) v0 30 1" xfId="1865" xr:uid="{00000000-0005-0000-0000-0000F4060000}"/>
    <cellStyle name="%_NRA_model_for_NEMO2 (EMC Update) v0.29_NRA_model_for_NEMO2 (EMC Update) v0.29.2_NRA_model_for_NEMO2 (EMC Update) v0.29.5" xfId="1866" xr:uid="{00000000-0005-0000-0000-0000F5060000}"/>
    <cellStyle name="%_NRA_model_for_NEMO2 (EMC Update) v0.29_NRA_model_for_NEMO2 (EMC Update) v0.29.2_NRA_model_for_NEMO2 (EMC Update) v0.29.5_NRA_model_for_NEMO2 (EMC Update) v0 30 1" xfId="1867" xr:uid="{00000000-0005-0000-0000-0000F6060000}"/>
    <cellStyle name="%_NRA_model_for_NEMO2 (EMC Update) v0.29_NRA_model_for_NEMO2 (EMC Update) v0.29.3" xfId="1868" xr:uid="{00000000-0005-0000-0000-0000F7060000}"/>
    <cellStyle name="%_NRA_model_for_NEMO2 (EMC Update) v0.29_NRA_model_for_NEMO2 (EMC Update) v0.29.3_NRA_model_for_NEMO2 (EMC Update) v0 30 1" xfId="1869" xr:uid="{00000000-0005-0000-0000-0000F8060000}"/>
    <cellStyle name="%_NRA_model_for_NEMO2 (EMC Update) v0.29_NRA_model_for_NEMO2 (EMC Update) v0.29.3_NRA_model_for_NEMO2 (EMC Update) v0.29.5" xfId="1870" xr:uid="{00000000-0005-0000-0000-0000F9060000}"/>
    <cellStyle name="%_NRA_model_for_NEMO2 (EMC Update) v0.29_NRA_model_for_NEMO2 (EMC Update) v0.29.3_NRA_model_for_NEMO2 (EMC Update) v0.29.5_NRA_model_for_NEMO2 (EMC Update) v0 30 1" xfId="1871" xr:uid="{00000000-0005-0000-0000-0000FA060000}"/>
    <cellStyle name="%_NRA_model_for_NEMO2 (EMC Update) v0.29_NRA_model_for_NEMO2 (EMC Update) v0.29.4" xfId="1872" xr:uid="{00000000-0005-0000-0000-0000FB060000}"/>
    <cellStyle name="%_NRA_model_for_NEMO2 (EMC Update) v0.29_NRA_model_for_NEMO2 (EMC Update) v0.29.4_NRA_model_for_NEMO2 (EMC Update) v0 30 1" xfId="1873" xr:uid="{00000000-0005-0000-0000-0000FC060000}"/>
    <cellStyle name="%_NRA_model_for_NEMO2 (EMC Update) v0.29_NRA_model_for_NEMO2 (EMC Update) v0.29.4_NRA_model_for_NEMO2 (EMC Update) v0.29.5" xfId="1874" xr:uid="{00000000-0005-0000-0000-0000FD060000}"/>
    <cellStyle name="%_NRA_model_for_NEMO2 (EMC Update) v0.29_NRA_model_for_NEMO2 (EMC Update) v0.29.4_NRA_model_for_NEMO2 (EMC Update) v0.29.5_NRA_model_for_NEMO2 (EMC Update) v0 30 1" xfId="1875" xr:uid="{00000000-0005-0000-0000-0000FE060000}"/>
    <cellStyle name="%_NRA_model_for_NEMO2 (EMC Update) v0.29_NRA_model_for_NEMO2 (EMC Update) v0.29.5" xfId="1876" xr:uid="{00000000-0005-0000-0000-0000FF060000}"/>
    <cellStyle name="%_NRA_model_for_NEMO2 (EMC Update) v0.29_NRA_model_for_NEMO2 (EMC Update) v0.29.5_NRA_model_for_NEMO2 (EMC Update) v0 30 1" xfId="1877" xr:uid="{00000000-0005-0000-0000-000000070000}"/>
    <cellStyle name="%_NRA_model_for_NEMO2 _NRA_model_for_NEMO2 (EMC Update) v0 30 1" xfId="1878" xr:uid="{00000000-0005-0000-0000-000001070000}"/>
    <cellStyle name="%_NRA_model_for_NEMO2 _NRA_model_for_NEMO2 (EMC Update) v0.29.5" xfId="1879" xr:uid="{00000000-0005-0000-0000-000002070000}"/>
    <cellStyle name="%_NRA_model_for_NEMO2 _NRA_model_for_NEMO2 (EMC Update) v0.29.5_NRA_model_for_NEMO2 (EMC Update) v0 30 1" xfId="1880" xr:uid="{00000000-0005-0000-0000-000003070000}"/>
    <cellStyle name="_2.0 Emergency Process" xfId="1881" xr:uid="{00000000-0005-0000-0000-000004070000}"/>
    <cellStyle name="_Payroll - Dave Moon v2" xfId="1882" xr:uid="{00000000-0005-0000-0000-000005070000}"/>
    <cellStyle name="=C:\WINNT\SYSTEM32\COMMAND.COM" xfId="3" xr:uid="{00000000-0005-0000-0000-000006070000}"/>
    <cellStyle name="=C:\WINNT\SYSTEM32\COMMAND.COM 2" xfId="7" xr:uid="{00000000-0005-0000-0000-000007070000}"/>
    <cellStyle name="=C:\WINNT\SYSTEM32\COMMAND.COM 2 2" xfId="8" xr:uid="{00000000-0005-0000-0000-000008070000}"/>
    <cellStyle name="=C:\WINNT\SYSTEM32\COMMAND.COM 2 2 10" xfId="9" xr:uid="{00000000-0005-0000-0000-000009070000}"/>
    <cellStyle name="=C:\WINNT\SYSTEM32\COMMAND.COM 2 2 2" xfId="10" xr:uid="{00000000-0005-0000-0000-00000A070000}"/>
    <cellStyle name="=C:\WINNT\SYSTEM32\COMMAND.COM 3" xfId="11" xr:uid="{00000000-0005-0000-0000-00000B070000}"/>
    <cellStyle name="=C:\WINNT\SYSTEM32\COMMAND.COM 3 2" xfId="77" xr:uid="{00000000-0005-0000-0000-00000C070000}"/>
    <cellStyle name="=C:\WINNT\SYSTEM32\COMMAND.COM 4" xfId="12" xr:uid="{00000000-0005-0000-0000-00000D070000}"/>
    <cellStyle name="=C:\WINNT\SYSTEM32\COMMAND.COM_Gas_Run_060918" xfId="13" xr:uid="{00000000-0005-0000-0000-00000E070000}"/>
    <cellStyle name="20 % - Markeringsfarve1" xfId="1883" xr:uid="{00000000-0005-0000-0000-00000F070000}"/>
    <cellStyle name="20 % - Markeringsfarve2" xfId="1884" xr:uid="{00000000-0005-0000-0000-000010070000}"/>
    <cellStyle name="20 % - Markeringsfarve3" xfId="1885" xr:uid="{00000000-0005-0000-0000-000011070000}"/>
    <cellStyle name="20 % - Markeringsfarve4" xfId="1886" xr:uid="{00000000-0005-0000-0000-000012070000}"/>
    <cellStyle name="20 % - Markeringsfarve5" xfId="1887" xr:uid="{00000000-0005-0000-0000-000013070000}"/>
    <cellStyle name="20 % - Markeringsfarve6" xfId="1888" xr:uid="{00000000-0005-0000-0000-000014070000}"/>
    <cellStyle name="20% - Accent1 2" xfId="2073" xr:uid="{00000000-0005-0000-0000-000015070000}"/>
    <cellStyle name="20% - Accent2 2" xfId="2074" xr:uid="{00000000-0005-0000-0000-000016070000}"/>
    <cellStyle name="20% - Accent3 2" xfId="2075" xr:uid="{00000000-0005-0000-0000-000017070000}"/>
    <cellStyle name="20% - Accent4 2" xfId="2076" xr:uid="{00000000-0005-0000-0000-000018070000}"/>
    <cellStyle name="20% - Accent5 2" xfId="2077" xr:uid="{00000000-0005-0000-0000-000019070000}"/>
    <cellStyle name="20% - Accent6 2" xfId="2078" xr:uid="{00000000-0005-0000-0000-00001A070000}"/>
    <cellStyle name="20% - Dekorfärg1" xfId="1889" xr:uid="{00000000-0005-0000-0000-00001B070000}"/>
    <cellStyle name="20% - Dekorfärg2" xfId="1890" xr:uid="{00000000-0005-0000-0000-00001C070000}"/>
    <cellStyle name="20% - Dekorfärg3" xfId="1891" xr:uid="{00000000-0005-0000-0000-00001D070000}"/>
    <cellStyle name="20% - Dekorfärg4" xfId="1892" xr:uid="{00000000-0005-0000-0000-00001E070000}"/>
    <cellStyle name="20% - Dekorfärg5" xfId="1893" xr:uid="{00000000-0005-0000-0000-00001F070000}"/>
    <cellStyle name="20% - Dekorfärg6" xfId="1894" xr:uid="{00000000-0005-0000-0000-000020070000}"/>
    <cellStyle name="40 % - Markeringsfarve1" xfId="1895" xr:uid="{00000000-0005-0000-0000-000021070000}"/>
    <cellStyle name="40 % - Markeringsfarve2" xfId="1896" xr:uid="{00000000-0005-0000-0000-000022070000}"/>
    <cellStyle name="40 % - Markeringsfarve3" xfId="1897" xr:uid="{00000000-0005-0000-0000-000023070000}"/>
    <cellStyle name="40 % - Markeringsfarve4" xfId="1898" xr:uid="{00000000-0005-0000-0000-000024070000}"/>
    <cellStyle name="40 % - Markeringsfarve5" xfId="1899" xr:uid="{00000000-0005-0000-0000-000025070000}"/>
    <cellStyle name="40 % - Markeringsfarve6" xfId="1900" xr:uid="{00000000-0005-0000-0000-000026070000}"/>
    <cellStyle name="40% - Accent1 2" xfId="2079" xr:uid="{00000000-0005-0000-0000-000027070000}"/>
    <cellStyle name="40% - Accent2 2" xfId="2080" xr:uid="{00000000-0005-0000-0000-000028070000}"/>
    <cellStyle name="40% - Accent3 2" xfId="2081" xr:uid="{00000000-0005-0000-0000-000029070000}"/>
    <cellStyle name="40% - Accent4 2" xfId="2082" xr:uid="{00000000-0005-0000-0000-00002A070000}"/>
    <cellStyle name="40% - Accent5 2" xfId="2083" xr:uid="{00000000-0005-0000-0000-00002B070000}"/>
    <cellStyle name="40% - Accent6 2" xfId="2084" xr:uid="{00000000-0005-0000-0000-00002C070000}"/>
    <cellStyle name="40% - Dekorfärg1" xfId="1901" xr:uid="{00000000-0005-0000-0000-00002D070000}"/>
    <cellStyle name="40% - Dekorfärg2" xfId="1902" xr:uid="{00000000-0005-0000-0000-00002E070000}"/>
    <cellStyle name="40% - Dekorfärg3" xfId="1903" xr:uid="{00000000-0005-0000-0000-00002F070000}"/>
    <cellStyle name="40% - Dekorfärg4" xfId="1904" xr:uid="{00000000-0005-0000-0000-000030070000}"/>
    <cellStyle name="40% - Dekorfärg5" xfId="1905" xr:uid="{00000000-0005-0000-0000-000031070000}"/>
    <cellStyle name="40% - Dekorfärg6" xfId="1906" xr:uid="{00000000-0005-0000-0000-000032070000}"/>
    <cellStyle name="60 % - Markeringsfarve1" xfId="1907" xr:uid="{00000000-0005-0000-0000-000033070000}"/>
    <cellStyle name="60 % - Markeringsfarve2" xfId="1908" xr:uid="{00000000-0005-0000-0000-000034070000}"/>
    <cellStyle name="60 % - Markeringsfarve3" xfId="1909" xr:uid="{00000000-0005-0000-0000-000035070000}"/>
    <cellStyle name="60 % - Markeringsfarve4" xfId="1910" xr:uid="{00000000-0005-0000-0000-000036070000}"/>
    <cellStyle name="60 % - Markeringsfarve5" xfId="1911" xr:uid="{00000000-0005-0000-0000-000037070000}"/>
    <cellStyle name="60 % - Markeringsfarve6" xfId="1912" xr:uid="{00000000-0005-0000-0000-000038070000}"/>
    <cellStyle name="60% - Dekorfärg1" xfId="1913" xr:uid="{00000000-0005-0000-0000-000039070000}"/>
    <cellStyle name="60% - Dekorfärg2" xfId="1914" xr:uid="{00000000-0005-0000-0000-00003A070000}"/>
    <cellStyle name="60% - Dekorfärg3" xfId="1915" xr:uid="{00000000-0005-0000-0000-00003B070000}"/>
    <cellStyle name="60% - Dekorfärg4" xfId="1916" xr:uid="{00000000-0005-0000-0000-00003C070000}"/>
    <cellStyle name="60% - Dekorfärg5" xfId="1917" xr:uid="{00000000-0005-0000-0000-00003D070000}"/>
    <cellStyle name="60% - Dekorfärg6" xfId="1918" xr:uid="{00000000-0005-0000-0000-00003E070000}"/>
    <cellStyle name="Accent1 - 20%" xfId="1919" xr:uid="{00000000-0005-0000-0000-00003F070000}"/>
    <cellStyle name="Accent1 - 40%" xfId="1920" xr:uid="{00000000-0005-0000-0000-000040070000}"/>
    <cellStyle name="Accent1 - 60%" xfId="1921" xr:uid="{00000000-0005-0000-0000-000041070000}"/>
    <cellStyle name="Accent2 - 20%" xfId="1922" xr:uid="{00000000-0005-0000-0000-000042070000}"/>
    <cellStyle name="Accent2 - 40%" xfId="1923" xr:uid="{00000000-0005-0000-0000-000043070000}"/>
    <cellStyle name="Accent2 - 60%" xfId="1924" xr:uid="{00000000-0005-0000-0000-000044070000}"/>
    <cellStyle name="Accent3 - 20%" xfId="1925" xr:uid="{00000000-0005-0000-0000-000045070000}"/>
    <cellStyle name="Accent3 - 40%" xfId="1926" xr:uid="{00000000-0005-0000-0000-000046070000}"/>
    <cellStyle name="Accent3 - 60%" xfId="1927" xr:uid="{00000000-0005-0000-0000-000047070000}"/>
    <cellStyle name="Accent4 - 20%" xfId="1928" xr:uid="{00000000-0005-0000-0000-000048070000}"/>
    <cellStyle name="Accent4 - 40%" xfId="1929" xr:uid="{00000000-0005-0000-0000-000049070000}"/>
    <cellStyle name="Accent4 - 60%" xfId="1930" xr:uid="{00000000-0005-0000-0000-00004A070000}"/>
    <cellStyle name="Accent5 - 20%" xfId="1931" xr:uid="{00000000-0005-0000-0000-00004B070000}"/>
    <cellStyle name="Accent5 - 40%" xfId="1932" xr:uid="{00000000-0005-0000-0000-00004C070000}"/>
    <cellStyle name="Accent5 - 60%" xfId="1933" xr:uid="{00000000-0005-0000-0000-00004D070000}"/>
    <cellStyle name="Accent6 - 20%" xfId="1934" xr:uid="{00000000-0005-0000-0000-00004E070000}"/>
    <cellStyle name="Accent6 - 40%" xfId="1935" xr:uid="{00000000-0005-0000-0000-00004F070000}"/>
    <cellStyle name="Accent6 - 60%" xfId="1936" xr:uid="{00000000-0005-0000-0000-000050070000}"/>
    <cellStyle name="Advarselstekst" xfId="1937" xr:uid="{00000000-0005-0000-0000-000051070000}"/>
    <cellStyle name="Anteckning" xfId="1938" xr:uid="{00000000-0005-0000-0000-000052070000}"/>
    <cellStyle name="Bemærk!" xfId="1939" xr:uid="{00000000-0005-0000-0000-000053070000}"/>
    <cellStyle name="Beräkning" xfId="1940" xr:uid="{00000000-0005-0000-0000-000054070000}"/>
    <cellStyle name="Beregning" xfId="1941" xr:uid="{00000000-0005-0000-0000-000055070000}"/>
    <cellStyle name="BMInputNormal" xfId="1942" xr:uid="{00000000-0005-0000-0000-000056070000}"/>
    <cellStyle name="Bra" xfId="1943" xr:uid="{00000000-0005-0000-0000-000057070000}"/>
    <cellStyle name="column Head Underlined" xfId="1944" xr:uid="{00000000-0005-0000-0000-000058070000}"/>
    <cellStyle name="column Head Underlined 2" xfId="2137" xr:uid="{B37A77FA-526D-4DDF-9E21-DE24724A3417}"/>
    <cellStyle name="Column Heading" xfId="1945" xr:uid="{00000000-0005-0000-0000-000059070000}"/>
    <cellStyle name="Column Heading 2" xfId="2138" xr:uid="{0AA0598D-1EF0-48CE-8E10-2B3261C855F3}"/>
    <cellStyle name="Comma" xfId="75" builtinId="3"/>
    <cellStyle name="Comma 10" xfId="15" xr:uid="{00000000-0005-0000-0000-00005B070000}"/>
    <cellStyle name="Comma 10 2" xfId="2118" xr:uid="{CD584773-FF87-4B7C-A54B-AB26D216C403}"/>
    <cellStyle name="Comma 11" xfId="14" xr:uid="{00000000-0005-0000-0000-00005C070000}"/>
    <cellStyle name="Comma 11 2" xfId="78" xr:uid="{00000000-0005-0000-0000-00005D070000}"/>
    <cellStyle name="Comma 12" xfId="16" xr:uid="{00000000-0005-0000-0000-00005E070000}"/>
    <cellStyle name="Comma 12 2" xfId="2119" xr:uid="{894C71AE-70F0-4B44-9428-C4EBA8739726}"/>
    <cellStyle name="Comma 13" xfId="17" xr:uid="{00000000-0005-0000-0000-00005F070000}"/>
    <cellStyle name="Comma 13 2" xfId="2120" xr:uid="{B06A6589-CD7D-4D7E-AC52-E5F52EB425B1}"/>
    <cellStyle name="Comma 14" xfId="18" xr:uid="{00000000-0005-0000-0000-000060070000}"/>
    <cellStyle name="Comma 14 2" xfId="2121" xr:uid="{09FBD97F-D588-4127-9881-182BBF706E5E}"/>
    <cellStyle name="Comma 15" xfId="2096" xr:uid="{00000000-0005-0000-0000-000061070000}"/>
    <cellStyle name="Comma 15 2" xfId="2148" xr:uid="{3523C545-386A-455D-AA8E-64E0F21B8C42}"/>
    <cellStyle name="Comma 16" xfId="2133" xr:uid="{D0E0EDCC-DC73-4C8D-AFCF-BF6C0638D2DB}"/>
    <cellStyle name="Comma 17" xfId="19" xr:uid="{00000000-0005-0000-0000-000062070000}"/>
    <cellStyle name="Comma 17 2" xfId="2122" xr:uid="{5B5772FA-88F0-4A17-ACF9-D6856F7062F5}"/>
    <cellStyle name="Comma 18" xfId="20" xr:uid="{00000000-0005-0000-0000-000063070000}"/>
    <cellStyle name="Comma 18 2" xfId="2123" xr:uid="{090FA9B9-CB95-4574-ABDB-0049283CFC21}"/>
    <cellStyle name="Comma 2" xfId="21" xr:uid="{00000000-0005-0000-0000-000064070000}"/>
    <cellStyle name="Comma 2 2" xfId="22" xr:uid="{00000000-0005-0000-0000-000065070000}"/>
    <cellStyle name="Comma 2 2 2" xfId="2124" xr:uid="{B735ECDE-3772-4B62-BCEC-B0FAD3D0932D}"/>
    <cellStyle name="Comma 2 3" xfId="86" xr:uid="{00000000-0005-0000-0000-000066070000}"/>
    <cellStyle name="Comma 2 3 2" xfId="2136" xr:uid="{2E20D9E5-CC24-4304-9140-803911E004A7}"/>
    <cellStyle name="Comma 2_InputSA" xfId="23" xr:uid="{00000000-0005-0000-0000-000067070000}"/>
    <cellStyle name="Comma 20" xfId="24" xr:uid="{00000000-0005-0000-0000-000068070000}"/>
    <cellStyle name="Comma 20 2" xfId="2125" xr:uid="{BE3E96D3-96CF-417F-970B-BF888DC44489}"/>
    <cellStyle name="Comma 21" xfId="25" xr:uid="{00000000-0005-0000-0000-000069070000}"/>
    <cellStyle name="Comma 21 2" xfId="2126" xr:uid="{AF47530E-B1AE-4125-AB1C-07D6C91FAE15}"/>
    <cellStyle name="Comma 25" xfId="26" xr:uid="{00000000-0005-0000-0000-00006A070000}"/>
    <cellStyle name="Comma 25 2" xfId="2127" xr:uid="{CBC463A3-347E-459C-89AA-D6395DFA50DF}"/>
    <cellStyle name="Comma 26" xfId="27" xr:uid="{00000000-0005-0000-0000-00006B070000}"/>
    <cellStyle name="Comma 26 2" xfId="2128" xr:uid="{CBA622D3-1C72-40E3-B0DF-B5CADFD23B82}"/>
    <cellStyle name="Comma 3" xfId="28" xr:uid="{00000000-0005-0000-0000-00006C070000}"/>
    <cellStyle name="Comma 3 2" xfId="1946" xr:uid="{00000000-0005-0000-0000-00006D070000}"/>
    <cellStyle name="Comma 3 2 2" xfId="2139" xr:uid="{66D3036F-F4DA-4B50-9491-9BF6E89E1D29}"/>
    <cellStyle name="Comma 3 3" xfId="2129" xr:uid="{FD5BDB31-C169-4C43-9C64-D562F1AAD938}"/>
    <cellStyle name="Comma 4" xfId="29" xr:uid="{00000000-0005-0000-0000-00006E070000}"/>
    <cellStyle name="Comma 4 2" xfId="30" xr:uid="{00000000-0005-0000-0000-00006F070000}"/>
    <cellStyle name="Comma 4 3" xfId="2092" xr:uid="{00000000-0005-0000-0000-000070070000}"/>
    <cellStyle name="Comma 4 3 2" xfId="2145" xr:uid="{263AA53A-8DAB-4965-8455-5B6541749129}"/>
    <cellStyle name="Comma 5" xfId="31" xr:uid="{00000000-0005-0000-0000-000071070000}"/>
    <cellStyle name="Comma 6" xfId="32" xr:uid="{00000000-0005-0000-0000-000072070000}"/>
    <cellStyle name="Comma 7" xfId="33" xr:uid="{00000000-0005-0000-0000-000073070000}"/>
    <cellStyle name="Comma 7 2" xfId="2130" xr:uid="{E1ACA4A8-EEE0-40C0-A6A4-0249DF5C4CE3}"/>
    <cellStyle name="Comma 8" xfId="34" xr:uid="{00000000-0005-0000-0000-000074070000}"/>
    <cellStyle name="Comma 8 2" xfId="2131" xr:uid="{631580BF-82D9-4E24-BBE8-0C205508486F}"/>
    <cellStyle name="Comma 9" xfId="35" xr:uid="{00000000-0005-0000-0000-000075070000}"/>
    <cellStyle name="Comma 9 2" xfId="2132" xr:uid="{7DC1D76F-E7ED-4DD8-8E8E-22A94978289E}"/>
    <cellStyle name="Dålig" xfId="1947" xr:uid="{00000000-0005-0000-0000-000076070000}"/>
    <cellStyle name="DateLong" xfId="36" xr:uid="{00000000-0005-0000-0000-000077070000}"/>
    <cellStyle name="DateLong 2" xfId="79" xr:uid="{00000000-0005-0000-0000-000078070000}"/>
    <cellStyle name="Emphasis 1" xfId="1948" xr:uid="{00000000-0005-0000-0000-000079070000}"/>
    <cellStyle name="Emphasis 2" xfId="1949" xr:uid="{00000000-0005-0000-0000-00007A070000}"/>
    <cellStyle name="Emphasis 3" xfId="1950" xr:uid="{00000000-0005-0000-0000-00007B070000}"/>
    <cellStyle name="Euro" xfId="37" xr:uid="{00000000-0005-0000-0000-00007C070000}"/>
    <cellStyle name="Euro 2" xfId="1951" xr:uid="{00000000-0005-0000-0000-00007D070000}"/>
    <cellStyle name="EYBlocked" xfId="1952" xr:uid="{00000000-0005-0000-0000-00007E070000}"/>
    <cellStyle name="EYCallUp" xfId="1953" xr:uid="{00000000-0005-0000-0000-00007F070000}"/>
    <cellStyle name="EYCheck" xfId="1954" xr:uid="{00000000-0005-0000-0000-000080070000}"/>
    <cellStyle name="EYDate" xfId="1955" xr:uid="{00000000-0005-0000-0000-000081070000}"/>
    <cellStyle name="EYDeviant" xfId="1956" xr:uid="{00000000-0005-0000-0000-000082070000}"/>
    <cellStyle name="EYHeader1" xfId="1957" xr:uid="{00000000-0005-0000-0000-000083070000}"/>
    <cellStyle name="EYHeader2" xfId="1958" xr:uid="{00000000-0005-0000-0000-000084070000}"/>
    <cellStyle name="EYHeader3" xfId="1959" xr:uid="{00000000-0005-0000-0000-000085070000}"/>
    <cellStyle name="EYInputDate" xfId="1960" xr:uid="{00000000-0005-0000-0000-000086070000}"/>
    <cellStyle name="EYInputPercent" xfId="1961" xr:uid="{00000000-0005-0000-0000-000087070000}"/>
    <cellStyle name="EYInputValue" xfId="1962" xr:uid="{00000000-0005-0000-0000-000088070000}"/>
    <cellStyle name="EYNormal" xfId="38" xr:uid="{00000000-0005-0000-0000-000089070000}"/>
    <cellStyle name="EYNormal 2" xfId="1963" xr:uid="{00000000-0005-0000-0000-00008A070000}"/>
    <cellStyle name="EYPercent" xfId="1964" xr:uid="{00000000-0005-0000-0000-00008B070000}"/>
    <cellStyle name="EYPercentCapped" xfId="1965" xr:uid="{00000000-0005-0000-0000-00008C070000}"/>
    <cellStyle name="EYSubTotal" xfId="1966" xr:uid="{00000000-0005-0000-0000-00008D070000}"/>
    <cellStyle name="EYTotal" xfId="1967" xr:uid="{00000000-0005-0000-0000-00008E070000}"/>
    <cellStyle name="EYWIP" xfId="1968" xr:uid="{00000000-0005-0000-0000-00008F070000}"/>
    <cellStyle name="Factor" xfId="39" xr:uid="{00000000-0005-0000-0000-000090070000}"/>
    <cellStyle name="Factor 2" xfId="80" xr:uid="{00000000-0005-0000-0000-000091070000}"/>
    <cellStyle name="Färg1" xfId="1969" xr:uid="{00000000-0005-0000-0000-000092070000}"/>
    <cellStyle name="Färg2" xfId="1970" xr:uid="{00000000-0005-0000-0000-000093070000}"/>
    <cellStyle name="Färg3" xfId="1971" xr:uid="{00000000-0005-0000-0000-000094070000}"/>
    <cellStyle name="Färg4" xfId="1972" xr:uid="{00000000-0005-0000-0000-000095070000}"/>
    <cellStyle name="Färg5" xfId="1973" xr:uid="{00000000-0005-0000-0000-000096070000}"/>
    <cellStyle name="Färg6" xfId="1974" xr:uid="{00000000-0005-0000-0000-000097070000}"/>
    <cellStyle name="Förklarande text" xfId="1975" xr:uid="{00000000-0005-0000-0000-000098070000}"/>
    <cellStyle name="Forklarende tekst" xfId="1976" xr:uid="{00000000-0005-0000-0000-000099070000}"/>
    <cellStyle name="General" xfId="1977" xr:uid="{00000000-0005-0000-0000-00009A070000}"/>
    <cellStyle name="God" xfId="1978" xr:uid="{00000000-0005-0000-0000-00009B070000}"/>
    <cellStyle name="Heading 4" xfId="2114" builtinId="19"/>
    <cellStyle name="Hyperlink" xfId="2" builtinId="8" hidden="1"/>
    <cellStyle name="Hyperlink" xfId="2113" builtinId="8"/>
    <cellStyle name="Hyperlink 2" xfId="2072" xr:uid="{00000000-0005-0000-0000-00009F070000}"/>
    <cellStyle name="Hyperlink 3" xfId="2116" xr:uid="{00000000-0005-0000-0000-0000A0070000}"/>
    <cellStyle name="Indata" xfId="1979" xr:uid="{00000000-0005-0000-0000-0000A1070000}"/>
    <cellStyle name="InputData" xfId="40" xr:uid="{00000000-0005-0000-0000-0000A2070000}"/>
    <cellStyle name="Kontrollcell" xfId="1980" xr:uid="{00000000-0005-0000-0000-0000A3070000}"/>
    <cellStyle name="Kontroller celle" xfId="1981" xr:uid="{00000000-0005-0000-0000-0000A4070000}"/>
    <cellStyle name="Länkad cell" xfId="1982" xr:uid="{00000000-0005-0000-0000-0000A5070000}"/>
    <cellStyle name="Main Heading" xfId="1983" xr:uid="{00000000-0005-0000-0000-0000A6070000}"/>
    <cellStyle name="Main Heading 2" xfId="2140" xr:uid="{8B87BFF7-BCEF-4A81-9A6C-93F0891401A1}"/>
    <cellStyle name="Markeringsfarve1" xfId="1984" xr:uid="{00000000-0005-0000-0000-0000A7070000}"/>
    <cellStyle name="Markeringsfarve2" xfId="1985" xr:uid="{00000000-0005-0000-0000-0000A8070000}"/>
    <cellStyle name="Markeringsfarve3" xfId="1986" xr:uid="{00000000-0005-0000-0000-0000A9070000}"/>
    <cellStyle name="Markeringsfarve4" xfId="1987" xr:uid="{00000000-0005-0000-0000-0000AA070000}"/>
    <cellStyle name="Markeringsfarve5" xfId="1988" xr:uid="{00000000-0005-0000-0000-0000AB070000}"/>
    <cellStyle name="Markeringsfarve6" xfId="1989" xr:uid="{00000000-0005-0000-0000-0000AC070000}"/>
    <cellStyle name="NGBlocked" xfId="1990" xr:uid="{00000000-0005-0000-0000-0000AD070000}"/>
    <cellStyle name="NGCallUp" xfId="1991" xr:uid="{00000000-0005-0000-0000-0000AE070000}"/>
    <cellStyle name="NGCheck" xfId="1992" xr:uid="{00000000-0005-0000-0000-0000AF070000}"/>
    <cellStyle name="NGDate" xfId="1993" xr:uid="{00000000-0005-0000-0000-0000B0070000}"/>
    <cellStyle name="NGDeviant" xfId="1994" xr:uid="{00000000-0005-0000-0000-0000B1070000}"/>
    <cellStyle name="NGHeader1" xfId="1995" xr:uid="{00000000-0005-0000-0000-0000B2070000}"/>
    <cellStyle name="NGHeader2" xfId="1996" xr:uid="{00000000-0005-0000-0000-0000B3070000}"/>
    <cellStyle name="NGHeader3" xfId="1997" xr:uid="{00000000-0005-0000-0000-0000B4070000}"/>
    <cellStyle name="NGInputDate" xfId="1998" xr:uid="{00000000-0005-0000-0000-0000B5070000}"/>
    <cellStyle name="NGInputDate 3 18" xfId="2111" xr:uid="{00000000-0005-0000-0000-0000B6070000}"/>
    <cellStyle name="NGInputPercent" xfId="1999" xr:uid="{00000000-0005-0000-0000-0000B7070000}"/>
    <cellStyle name="NGInputValue" xfId="2000" xr:uid="{00000000-0005-0000-0000-0000B8070000}"/>
    <cellStyle name="NGNormal" xfId="2001" xr:uid="{00000000-0005-0000-0000-0000B9070000}"/>
    <cellStyle name="NGPercent" xfId="2002" xr:uid="{00000000-0005-0000-0000-0000BA070000}"/>
    <cellStyle name="NGPercentCapped" xfId="2003" xr:uid="{00000000-0005-0000-0000-0000BB070000}"/>
    <cellStyle name="NGSubTotal" xfId="2004" xr:uid="{00000000-0005-0000-0000-0000BC070000}"/>
    <cellStyle name="NGTotal" xfId="2005" xr:uid="{00000000-0005-0000-0000-0000BD070000}"/>
    <cellStyle name="NGWIP" xfId="2006" xr:uid="{00000000-0005-0000-0000-0000BE070000}"/>
    <cellStyle name="Normal" xfId="0" builtinId="0" customBuiltin="1"/>
    <cellStyle name="Normal 10" xfId="41" xr:uid="{00000000-0005-0000-0000-0000C0070000}"/>
    <cellStyle name="Normal 11" xfId="42" xr:uid="{00000000-0005-0000-0000-0000C1070000}"/>
    <cellStyle name="Normal 11 2" xfId="81" xr:uid="{00000000-0005-0000-0000-0000C2070000}"/>
    <cellStyle name="Normal 12" xfId="4" xr:uid="{00000000-0005-0000-0000-0000C3070000}"/>
    <cellStyle name="Normal 13" xfId="84" xr:uid="{00000000-0005-0000-0000-0000C4070000}"/>
    <cellStyle name="Normal 13 2" xfId="43" xr:uid="{00000000-0005-0000-0000-0000C5070000}"/>
    <cellStyle name="Normal 13 2 2" xfId="44" xr:uid="{00000000-0005-0000-0000-0000C6070000}"/>
    <cellStyle name="Normal 13 2_SHETL" xfId="45" xr:uid="{00000000-0005-0000-0000-0000C7070000}"/>
    <cellStyle name="Normal 14" xfId="2115" xr:uid="{00000000-0005-0000-0000-0000C8070000}"/>
    <cellStyle name="Normal 15" xfId="2103" xr:uid="{00000000-0005-0000-0000-0000C9070000}"/>
    <cellStyle name="Normal 15 2" xfId="2149" xr:uid="{4088F4E7-4EC9-467F-AAD9-7FB1137612D2}"/>
    <cellStyle name="Normal 2" xfId="46" xr:uid="{00000000-0005-0000-0000-0000CA070000}"/>
    <cellStyle name="Normal 2 2" xfId="47" xr:uid="{00000000-0005-0000-0000-0000CB070000}"/>
    <cellStyle name="Normal 2 2 2" xfId="2095" xr:uid="{00000000-0005-0000-0000-0000CC070000}"/>
    <cellStyle name="Normal 2 3" xfId="85" xr:uid="{00000000-0005-0000-0000-0000CD070000}"/>
    <cellStyle name="Normal 2 3 2" xfId="2135" xr:uid="{2159FD3B-8484-42BB-BD59-F53EDBEC6D27}"/>
    <cellStyle name="Normal 2_InputSA" xfId="48" xr:uid="{00000000-0005-0000-0000-0000CE070000}"/>
    <cellStyle name="Normal 28" xfId="2110" xr:uid="{00000000-0005-0000-0000-0000CF070000}"/>
    <cellStyle name="Normal 3" xfId="49" xr:uid="{00000000-0005-0000-0000-0000D0070000}"/>
    <cellStyle name="Normal 3 2" xfId="50" xr:uid="{00000000-0005-0000-0000-0000D1070000}"/>
    <cellStyle name="Normal 3 3" xfId="2007" xr:uid="{00000000-0005-0000-0000-0000D2070000}"/>
    <cellStyle name="Normal 3 3 2" xfId="51" xr:uid="{00000000-0005-0000-0000-0000D3070000}"/>
    <cellStyle name="Normal 3_Financial Analysis template" xfId="52" xr:uid="{00000000-0005-0000-0000-0000D4070000}"/>
    <cellStyle name="Normal 31" xfId="2097" xr:uid="{00000000-0005-0000-0000-0000D5070000}"/>
    <cellStyle name="Normal 33" xfId="2101" xr:uid="{00000000-0005-0000-0000-0000D6070000}"/>
    <cellStyle name="Normal 34" xfId="2099" xr:uid="{00000000-0005-0000-0000-0000D7070000}"/>
    <cellStyle name="Normal 36" xfId="2098" xr:uid="{00000000-0005-0000-0000-0000D8070000}"/>
    <cellStyle name="Normal 37" xfId="2100" xr:uid="{00000000-0005-0000-0000-0000D9070000}"/>
    <cellStyle name="Normal 39" xfId="2102" xr:uid="{00000000-0005-0000-0000-0000DA070000}"/>
    <cellStyle name="Normal 4" xfId="53" xr:uid="{00000000-0005-0000-0000-0000DB070000}"/>
    <cellStyle name="Normal 4 2" xfId="54" xr:uid="{00000000-0005-0000-0000-0000DC070000}"/>
    <cellStyle name="Normal 4 3" xfId="2085" xr:uid="{00000000-0005-0000-0000-0000DD070000}"/>
    <cellStyle name="Normal 4_InputSA" xfId="55" xr:uid="{00000000-0005-0000-0000-0000DE070000}"/>
    <cellStyle name="Normal 40" xfId="2105" xr:uid="{00000000-0005-0000-0000-0000DF070000}"/>
    <cellStyle name="Normal 41" xfId="2104" xr:uid="{00000000-0005-0000-0000-0000E0070000}"/>
    <cellStyle name="Normal 44" xfId="2107" xr:uid="{00000000-0005-0000-0000-0000E1070000}"/>
    <cellStyle name="Normal 45" xfId="2108" xr:uid="{00000000-0005-0000-0000-0000E2070000}"/>
    <cellStyle name="Normal 46" xfId="2106" xr:uid="{00000000-0005-0000-0000-0000E3070000}"/>
    <cellStyle name="Normal 47" xfId="2109" xr:uid="{00000000-0005-0000-0000-0000E4070000}"/>
    <cellStyle name="Normal 49" xfId="2112" xr:uid="{00000000-0005-0000-0000-0000E5070000}"/>
    <cellStyle name="Normal 5" xfId="56" xr:uid="{00000000-0005-0000-0000-0000E6070000}"/>
    <cellStyle name="Normal 5 2" xfId="57" xr:uid="{00000000-0005-0000-0000-0000E7070000}"/>
    <cellStyle name="Normal 5 3" xfId="2086" xr:uid="{00000000-0005-0000-0000-0000E8070000}"/>
    <cellStyle name="Normal 54" xfId="58" xr:uid="{00000000-0005-0000-0000-0000E9070000}"/>
    <cellStyle name="Normal 58" xfId="59" xr:uid="{00000000-0005-0000-0000-0000EA070000}"/>
    <cellStyle name="Normal 6" xfId="60" xr:uid="{00000000-0005-0000-0000-0000EB070000}"/>
    <cellStyle name="Normal 6 2" xfId="2087" xr:uid="{00000000-0005-0000-0000-0000EC070000}"/>
    <cellStyle name="Normal 7" xfId="61" xr:uid="{00000000-0005-0000-0000-0000ED070000}"/>
    <cellStyle name="Normal 7 2" xfId="2094" xr:uid="{00000000-0005-0000-0000-0000EE070000}"/>
    <cellStyle name="Normal 7 2 2" xfId="2147" xr:uid="{C42C99A0-5DEA-4B6F-9BDF-B1399A00668F}"/>
    <cellStyle name="Normal 7 3" xfId="2090" xr:uid="{00000000-0005-0000-0000-0000EF070000}"/>
    <cellStyle name="Normal 7 3 2" xfId="2143" xr:uid="{FD5B71D3-9E71-476A-B31A-6D47388106F1}"/>
    <cellStyle name="Normal 8" xfId="62" xr:uid="{00000000-0005-0000-0000-0000F0070000}"/>
    <cellStyle name="Normal 8 2" xfId="2091" xr:uid="{00000000-0005-0000-0000-0000F1070000}"/>
    <cellStyle name="Normal 8 2 2" xfId="2144" xr:uid="{CC1578D9-48F7-4506-9634-F28689818771}"/>
    <cellStyle name="Normal 9" xfId="63" xr:uid="{00000000-0005-0000-0000-0000F2070000}"/>
    <cellStyle name="Note 2" xfId="2088" xr:uid="{00000000-0005-0000-0000-0000F3070000}"/>
    <cellStyle name="Note 3" xfId="2089" xr:uid="{00000000-0005-0000-0000-0000F4070000}"/>
    <cellStyle name="Overskrift 1" xfId="2008" xr:uid="{00000000-0005-0000-0000-0000F5070000}"/>
    <cellStyle name="Overskrift 2" xfId="2009" xr:uid="{00000000-0005-0000-0000-0000F6070000}"/>
    <cellStyle name="Overskrift 3" xfId="2010" xr:uid="{00000000-0005-0000-0000-0000F7070000}"/>
    <cellStyle name="Overskrift 4" xfId="2011" xr:uid="{00000000-0005-0000-0000-0000F8070000}"/>
    <cellStyle name="Per cent" xfId="1" builtinId="5"/>
    <cellStyle name="Percent 15" xfId="65" xr:uid="{00000000-0005-0000-0000-0000FA070000}"/>
    <cellStyle name="Percent 2" xfId="66" xr:uid="{00000000-0005-0000-0000-0000FB070000}"/>
    <cellStyle name="Percent 2 2" xfId="67" xr:uid="{00000000-0005-0000-0000-0000FC070000}"/>
    <cellStyle name="Percent 2 3" xfId="2012" xr:uid="{00000000-0005-0000-0000-0000FD070000}"/>
    <cellStyle name="Percent 3" xfId="68" xr:uid="{00000000-0005-0000-0000-0000FE070000}"/>
    <cellStyle name="Percent 3 2" xfId="2013" xr:uid="{00000000-0005-0000-0000-0000FF070000}"/>
    <cellStyle name="Percent 4" xfId="69" xr:uid="{00000000-0005-0000-0000-000000080000}"/>
    <cellStyle name="Percent 4 2" xfId="2093" xr:uid="{00000000-0005-0000-0000-000001080000}"/>
    <cellStyle name="Percent 4 2 2" xfId="2146" xr:uid="{3616C4EA-E7DD-45E1-8C10-43FBACF1B905}"/>
    <cellStyle name="Percent 5" xfId="70" xr:uid="{00000000-0005-0000-0000-000002080000}"/>
    <cellStyle name="Percent 5 2" xfId="83" xr:uid="{00000000-0005-0000-0000-000003080000}"/>
    <cellStyle name="Percent 6" xfId="64" xr:uid="{00000000-0005-0000-0000-000004080000}"/>
    <cellStyle name="Percent 6 2" xfId="82" xr:uid="{00000000-0005-0000-0000-000005080000}"/>
    <cellStyle name="Percent 7" xfId="76" xr:uid="{00000000-0005-0000-0000-000006080000}"/>
    <cellStyle name="Percent 7 2" xfId="2134" xr:uid="{EF7FF934-DFE8-402A-96EE-B309910BC5B0}"/>
    <cellStyle name="Percent 8" xfId="2071" xr:uid="{00000000-0005-0000-0000-000007080000}"/>
    <cellStyle name="Percent 9" xfId="2117" xr:uid="{94A4FE4B-C91C-41FE-9ACA-736C5F0048B9}"/>
    <cellStyle name="Percent 9 2 2" xfId="71" xr:uid="{00000000-0005-0000-0000-000008080000}"/>
    <cellStyle name="Percent 9 3" xfId="72" xr:uid="{00000000-0005-0000-0000-000009080000}"/>
    <cellStyle name="RangeName" xfId="73" xr:uid="{00000000-0005-0000-0000-00000A080000}"/>
    <cellStyle name="Rubrik" xfId="2014" xr:uid="{00000000-0005-0000-0000-00000B080000}"/>
    <cellStyle name="Rubrik 1" xfId="2015" xr:uid="{00000000-0005-0000-0000-00000C080000}"/>
    <cellStyle name="Rubrik 2" xfId="2016" xr:uid="{00000000-0005-0000-0000-00000D080000}"/>
    <cellStyle name="Rubrik 3" xfId="2017" xr:uid="{00000000-0005-0000-0000-00000E080000}"/>
    <cellStyle name="Rubrik 4" xfId="2018" xr:uid="{00000000-0005-0000-0000-00000F080000}"/>
    <cellStyle name="Sammenkædet celle" xfId="2019" xr:uid="{00000000-0005-0000-0000-000010080000}"/>
    <cellStyle name="SAPBEXaggData" xfId="2020" xr:uid="{00000000-0005-0000-0000-000011080000}"/>
    <cellStyle name="SAPBEXaggDataEmph" xfId="2021" xr:uid="{00000000-0005-0000-0000-000012080000}"/>
    <cellStyle name="SAPBEXaggItem" xfId="2022" xr:uid="{00000000-0005-0000-0000-000013080000}"/>
    <cellStyle name="SAPBEXaggItemX" xfId="2023" xr:uid="{00000000-0005-0000-0000-000014080000}"/>
    <cellStyle name="SAPBEXchaText" xfId="2024" xr:uid="{00000000-0005-0000-0000-000015080000}"/>
    <cellStyle name="SAPBEXexcBad7" xfId="2025" xr:uid="{00000000-0005-0000-0000-000016080000}"/>
    <cellStyle name="SAPBEXexcBad8" xfId="2026" xr:uid="{00000000-0005-0000-0000-000017080000}"/>
    <cellStyle name="SAPBEXexcBad9" xfId="2027" xr:uid="{00000000-0005-0000-0000-000018080000}"/>
    <cellStyle name="SAPBEXexcCritical4" xfId="2028" xr:uid="{00000000-0005-0000-0000-000019080000}"/>
    <cellStyle name="SAPBEXexcCritical5" xfId="2029" xr:uid="{00000000-0005-0000-0000-00001A080000}"/>
    <cellStyle name="SAPBEXexcCritical6" xfId="2030" xr:uid="{00000000-0005-0000-0000-00001B080000}"/>
    <cellStyle name="SAPBEXexcGood1" xfId="2031" xr:uid="{00000000-0005-0000-0000-00001C080000}"/>
    <cellStyle name="SAPBEXexcGood2" xfId="2032" xr:uid="{00000000-0005-0000-0000-00001D080000}"/>
    <cellStyle name="SAPBEXexcGood3" xfId="2033" xr:uid="{00000000-0005-0000-0000-00001E080000}"/>
    <cellStyle name="SAPBEXfilterDrill" xfId="2034" xr:uid="{00000000-0005-0000-0000-00001F080000}"/>
    <cellStyle name="SAPBEXfilterItem" xfId="2035" xr:uid="{00000000-0005-0000-0000-000020080000}"/>
    <cellStyle name="SAPBEXfilterText" xfId="2036" xr:uid="{00000000-0005-0000-0000-000021080000}"/>
    <cellStyle name="SAPBEXformats" xfId="2037" xr:uid="{00000000-0005-0000-0000-000022080000}"/>
    <cellStyle name="SAPBEXheaderItem" xfId="2038" xr:uid="{00000000-0005-0000-0000-000023080000}"/>
    <cellStyle name="SAPBEXheaderText" xfId="2039" xr:uid="{00000000-0005-0000-0000-000024080000}"/>
    <cellStyle name="SAPBEXHLevel0" xfId="2040" xr:uid="{00000000-0005-0000-0000-000025080000}"/>
    <cellStyle name="SAPBEXHLevel0X" xfId="2041" xr:uid="{00000000-0005-0000-0000-000026080000}"/>
    <cellStyle name="SAPBEXHLevel1" xfId="2042" xr:uid="{00000000-0005-0000-0000-000027080000}"/>
    <cellStyle name="SAPBEXHLevel1X" xfId="2043" xr:uid="{00000000-0005-0000-0000-000028080000}"/>
    <cellStyle name="SAPBEXHLevel2" xfId="2044" xr:uid="{00000000-0005-0000-0000-000029080000}"/>
    <cellStyle name="SAPBEXHLevel2X" xfId="2045" xr:uid="{00000000-0005-0000-0000-00002A080000}"/>
    <cellStyle name="SAPBEXHLevel3" xfId="2046" xr:uid="{00000000-0005-0000-0000-00002B080000}"/>
    <cellStyle name="SAPBEXHLevel3X" xfId="2047" xr:uid="{00000000-0005-0000-0000-00002C080000}"/>
    <cellStyle name="SAPBEXinputData" xfId="2048" xr:uid="{00000000-0005-0000-0000-00002D080000}"/>
    <cellStyle name="SAPBEXItemHeader" xfId="2049" xr:uid="{00000000-0005-0000-0000-00002E080000}"/>
    <cellStyle name="SAPBEXresData" xfId="2050" xr:uid="{00000000-0005-0000-0000-00002F080000}"/>
    <cellStyle name="SAPBEXresDataEmph" xfId="2051" xr:uid="{00000000-0005-0000-0000-000030080000}"/>
    <cellStyle name="SAPBEXresItem" xfId="2052" xr:uid="{00000000-0005-0000-0000-000031080000}"/>
    <cellStyle name="SAPBEXresItemX" xfId="2053" xr:uid="{00000000-0005-0000-0000-000032080000}"/>
    <cellStyle name="SAPBEXstdData" xfId="2054" xr:uid="{00000000-0005-0000-0000-000033080000}"/>
    <cellStyle name="SAPBEXstdDataEmph" xfId="2055" xr:uid="{00000000-0005-0000-0000-000034080000}"/>
    <cellStyle name="SAPBEXstdItem" xfId="2056" xr:uid="{00000000-0005-0000-0000-000035080000}"/>
    <cellStyle name="SAPBEXstdItemX" xfId="2057" xr:uid="{00000000-0005-0000-0000-000036080000}"/>
    <cellStyle name="SAPBEXtitle" xfId="2058" xr:uid="{00000000-0005-0000-0000-000037080000}"/>
    <cellStyle name="SAPBEXunassignedItem" xfId="2059" xr:uid="{00000000-0005-0000-0000-000038080000}"/>
    <cellStyle name="SAPBEXundefined" xfId="2060" xr:uid="{00000000-0005-0000-0000-000039080000}"/>
    <cellStyle name="Sheet Title" xfId="2061" xr:uid="{00000000-0005-0000-0000-00003A080000}"/>
    <cellStyle name="Style 1" xfId="74" xr:uid="{00000000-0005-0000-0000-00003B080000}"/>
    <cellStyle name="Style 1 2" xfId="2062" xr:uid="{00000000-0005-0000-0000-00003C080000}"/>
    <cellStyle name="Sub-total" xfId="2063" xr:uid="{00000000-0005-0000-0000-00003D080000}"/>
    <cellStyle name="Sub-total 2" xfId="2141" xr:uid="{0B802083-09B8-404E-928E-67C39F6BECC3}"/>
    <cellStyle name="Summa" xfId="2064" xr:uid="{00000000-0005-0000-0000-00003E080000}"/>
    <cellStyle name="Text" xfId="2065" xr:uid="{00000000-0005-0000-0000-00003F080000}"/>
    <cellStyle name="Titel" xfId="2066" xr:uid="{00000000-0005-0000-0000-000040080000}"/>
    <cellStyle name="Totals" xfId="2067" xr:uid="{00000000-0005-0000-0000-000041080000}"/>
    <cellStyle name="Totals 2" xfId="2142" xr:uid="{1A10D61D-441D-4D42-BFA0-03AB5812C062}"/>
    <cellStyle name="Ugyldig" xfId="2068" xr:uid="{00000000-0005-0000-0000-000042080000}"/>
    <cellStyle name="Utdata" xfId="2069" xr:uid="{00000000-0005-0000-0000-000043080000}"/>
    <cellStyle name="Varningstext" xfId="2070" xr:uid="{00000000-0005-0000-0000-000044080000}"/>
  </cellStyles>
  <dxfs count="7">
    <dxf>
      <font>
        <color theme="0" tint="-0.499984740745262"/>
      </font>
    </dxf>
    <dxf>
      <font>
        <color theme="0" tint="-0.499984740745262"/>
      </font>
    </dxf>
    <dxf>
      <font>
        <color theme="0" tint="-0.499984740745262"/>
      </font>
    </dxf>
    <dxf>
      <font>
        <color theme="0" tint="-0.499984740745262"/>
      </font>
    </dxf>
    <dxf>
      <font>
        <b val="0"/>
        <i val="0"/>
        <color theme="0" tint="-0.499984740745262"/>
      </font>
    </dxf>
    <dxf>
      <font>
        <color theme="0" tint="-0.24994659260841701"/>
      </font>
    </dxf>
    <dxf>
      <font>
        <color theme="0" tint="-0.24994659260841701"/>
      </font>
    </dxf>
  </dxfs>
  <tableStyles count="0" defaultTableStyle="TableStyleMedium9" defaultPivotStyle="PivotStyleLight16"/>
  <colors>
    <mruColors>
      <color rgb="FFFF00FF"/>
      <color rgb="FFFFFFCC"/>
      <color rgb="FF04EE04"/>
      <color rgb="FF00FFCC"/>
      <color rgb="FFFFCCCC"/>
      <color rgb="FFBF95DF"/>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
  <Schema ID="Schema1">
    <xsd:schema xmlns:xsd="http://www.w3.org/2001/XMLSchema" xmlns="">
      <xsd:element nillable="true" name="ConsumerPriceIndices">
        <xsd:complexType>
          <xsd:sequence minOccurs="0">
            <xsd:element minOccurs="0" maxOccurs="unbounded" nillable="true" name="INDEX" form="unqualified">
              <xsd:complexType>
                <xsd:sequence minOccurs="0">
                  <xsd:element minOccurs="0" maxOccurs="unbounded" nillable="true" name="YEAR" form="unqualified">
                    <xsd:complexType>
                      <xsd:sequence minOccurs="0">
                        <xsd:element minOccurs="0" nillable="true" name="VALUES" form="unqualified">
                          <xsd:complexType>
                            <xsd:sequence minOccurs="0">
                              <xsd:element minOccurs="0" maxOccurs="unbounded" nillable="true" name="ENTRY" form="unqualified">
                                <xsd:complexType>
                                  <xsd:simpleContent>
                                    <xsd:extension base="xsd:double">
                                      <xsd:attribute name="MONTH" form="unqualified" type="xsd:integer"/>
                                    </xsd:extension>
                                  </xsd:simpleContent>
                                </xsd:complexType>
                              </xsd:element>
                            </xsd:sequence>
                          </xsd:complexType>
                        </xsd:element>
                      </xsd:sequence>
                      <xsd:attribute name="NAME" form="unqualified" type="xsd:integer"/>
                    </xsd:complexType>
                  </xsd:element>
                </xsd:sequence>
                <xsd:attribute name="BASE" form="unqualified" type="xsd:string"/>
                <xsd:attribute name="DESCRIPTION" form="unqualified" type="xsd:string"/>
              </xsd:complexType>
            </xsd:element>
          </xsd:sequence>
        </xsd:complexType>
      </xsd:element>
    </xsd:schema>
  </Schema>
  <Map ID="1" Name="ConsumerPriceIndices_Map" RootElement="ConsumerPriceIndices" SchemaID="Schema1" ShowImportExportValidationErrors="false" AutoFit="true" Append="false" PreserveSortAFLayout="true" PreserveFormat="true"/>
</MapInfo>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ustomXml" Target="../customXml/item1.xml"/><Relationship Id="rId3" Type="http://schemas.openxmlformats.org/officeDocument/2006/relationships/worksheet" Target="worksheets/sheet3.xml"/><Relationship Id="rId21" Type="http://schemas.openxmlformats.org/officeDocument/2006/relationships/customXml" Target="../customXml/item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20"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 Id="rId22" Type="http://schemas.openxmlformats.org/officeDocument/2006/relationships/xmlMaps" Target="xmlMap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onfs01\data\AndrewStone\offshore%20savings\Lincs\2014.01.17_Lincs%20TCP%20models\Lincs_Perm%20Changes_Delever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le"/>
      <sheetName val="Charts "/>
      <sheetName val="TM_Change"/>
      <sheetName val="P&amp;L"/>
      <sheetName val="CF"/>
      <sheetName val="CF Original"/>
      <sheetName val="CF Delta"/>
      <sheetName val="BalSht"/>
      <sheetName val="Summary"/>
      <sheetName val="Sens Analysis"/>
      <sheetName val="Sens"/>
      <sheetName val="InputC"/>
      <sheetName val="InputM"/>
      <sheetName val="InputSA"/>
      <sheetName val="Calcs M"/>
      <sheetName val="Calcs SA"/>
      <sheetName val="Ratios"/>
      <sheetName val="Checks"/>
      <sheetName val="MSA"/>
      <sheetName val="Analysis template"/>
      <sheetName val="Proj IRR"/>
      <sheetName val="Swap Profiles"/>
      <sheetName val="Swap Profiles - EIB"/>
      <sheetName val="Databook M"/>
      <sheetName val="GapList_1"/>
      <sheetName val="GapList_2"/>
      <sheetName val="GapList_3"/>
      <sheetName val="Gaps list 3a"/>
      <sheetName val="GapList_4"/>
      <sheetName val="Gaps list 5"/>
      <sheetName val="fis-Cover"/>
      <sheetName val="fis1-General Data"/>
      <sheetName val="fis2-Analysis-Insurance"/>
      <sheetName val="fis3-Analysis-TRS Components"/>
      <sheetName val="fis4-Funding Data"/>
      <sheetName val="fis5-Yearly Data"/>
      <sheetName val="fis6-Tax Pool Allocations"/>
      <sheetName val="fis7-Output Page"/>
      <sheetName val="fis-Standard Data"/>
      <sheetName val="fis-Integrity Checks"/>
      <sheetName val="Charts_"/>
      <sheetName val="CF_Original"/>
      <sheetName val="CF_Delta"/>
      <sheetName val="Sens_Analysis"/>
      <sheetName val="Calcs_M"/>
      <sheetName val="Calcs_SA"/>
      <sheetName val="Analysis_template"/>
      <sheetName val="Proj_IRR"/>
      <sheetName val="Swap_Profiles"/>
      <sheetName val="Swap_Profiles_-_EIB"/>
      <sheetName val="Databook_M"/>
      <sheetName val="Gaps_list_3a"/>
      <sheetName val="Gaps_list_5"/>
      <sheetName val="fis1-General_Data"/>
      <sheetName val="fis3-Analysis-TRS_Components"/>
      <sheetName val="fis4-Funding_Data"/>
      <sheetName val="fis5-Yearly_Data"/>
      <sheetName val="fis6-Tax_Pool_Allocations"/>
      <sheetName val="fis7-Output_Page"/>
      <sheetName val="fis-Standard_Data"/>
      <sheetName val="fis-Integrity_Check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FBF46A-C371-49CD-A8C8-D57EF8DC0D66}">
  <sheetPr>
    <tabColor theme="5" tint="0.59999389629810485"/>
  </sheetPr>
  <dimension ref="A1:I44"/>
  <sheetViews>
    <sheetView workbookViewId="0"/>
  </sheetViews>
  <sheetFormatPr defaultColWidth="0" defaultRowHeight="13.15" zeroHeight="1"/>
  <cols>
    <col min="1" max="4" width="1.7109375" style="25" customWidth="1"/>
    <col min="5" max="5" width="38.5703125" style="25" bestFit="1" customWidth="1"/>
    <col min="6" max="6" width="3.7109375" style="25" customWidth="1"/>
    <col min="7" max="7" width="96.42578125" style="25" customWidth="1"/>
    <col min="8" max="8" width="1.85546875" style="25" customWidth="1"/>
    <col min="9" max="9" width="0" hidden="1" customWidth="1"/>
    <col min="10" max="16384" width="0" style="25" hidden="1"/>
  </cols>
  <sheetData>
    <row r="1" spans="1:8" customFormat="1" ht="4.5" customHeight="1"/>
    <row r="2" spans="1:8" s="22" customFormat="1" ht="21">
      <c r="A2" s="20" t="s">
        <v>0</v>
      </c>
      <c r="B2" s="21"/>
      <c r="C2" s="21"/>
      <c r="D2" s="21"/>
      <c r="E2" s="21"/>
    </row>
    <row r="3" spans="1:8" s="22" customFormat="1" ht="15" customHeight="1">
      <c r="A3" s="21"/>
      <c r="B3" s="21"/>
      <c r="C3" s="167" t="s">
        <v>1</v>
      </c>
      <c r="D3" s="23"/>
      <c r="E3" s="23"/>
      <c r="F3" s="24"/>
      <c r="G3" s="24"/>
    </row>
    <row r="4" spans="1:8" s="22" customFormat="1">
      <c r="A4" s="21"/>
      <c r="B4" s="21"/>
      <c r="C4" s="127" t="s">
        <v>2</v>
      </c>
      <c r="D4" s="127"/>
      <c r="E4" s="159"/>
      <c r="F4" s="159"/>
      <c r="G4" s="159"/>
      <c r="H4" s="21"/>
    </row>
    <row r="5" spans="1:8" s="22" customFormat="1">
      <c r="A5" s="21"/>
      <c r="B5" s="21"/>
      <c r="C5" s="160" t="s">
        <v>3</v>
      </c>
      <c r="D5" s="127"/>
      <c r="E5" s="159"/>
      <c r="F5" s="159"/>
      <c r="G5" s="159"/>
      <c r="H5" s="21"/>
    </row>
    <row r="6" spans="1:8" s="22" customFormat="1" ht="15.75" customHeight="1">
      <c r="A6" s="21"/>
      <c r="B6" s="21"/>
      <c r="C6" s="161" t="s">
        <v>4</v>
      </c>
      <c r="D6" s="126"/>
      <c r="E6" s="126"/>
      <c r="F6" s="126"/>
      <c r="G6" s="126"/>
    </row>
    <row r="7" spans="1:8" ht="15" customHeight="1">
      <c r="B7" s="26"/>
    </row>
    <row r="8" spans="1:8" s="4" customFormat="1" ht="15" customHeight="1">
      <c r="B8" s="166" t="s">
        <v>5</v>
      </c>
      <c r="C8" s="8"/>
      <c r="D8" s="8"/>
      <c r="E8" s="8"/>
      <c r="F8" s="8"/>
      <c r="G8" s="8"/>
    </row>
    <row r="9" spans="1:8" s="4" customFormat="1" ht="15" customHeight="1">
      <c r="E9" s="19"/>
      <c r="G9" s="1"/>
    </row>
    <row r="10" spans="1:8" s="4" customFormat="1" ht="15" customHeight="1">
      <c r="E10" s="1" t="s">
        <v>6</v>
      </c>
      <c r="G10" s="1" t="s">
        <v>7</v>
      </c>
    </row>
    <row r="11" spans="1:8" s="4" customFormat="1" ht="15" customHeight="1">
      <c r="E11" s="27" t="s">
        <v>6</v>
      </c>
      <c r="G11" s="4" t="s">
        <v>8</v>
      </c>
    </row>
    <row r="12" spans="1:8" s="4" customFormat="1" ht="15" customHeight="1">
      <c r="E12" s="165" t="s">
        <v>6</v>
      </c>
      <c r="G12" s="1" t="s">
        <v>9</v>
      </c>
    </row>
    <row r="13" spans="1:8" s="4" customFormat="1" ht="15" customHeight="1">
      <c r="E13" s="168" t="s">
        <v>6</v>
      </c>
      <c r="G13" s="1" t="s">
        <v>10</v>
      </c>
    </row>
    <row r="14" spans="1:8" s="4" customFormat="1" ht="15" customHeight="1">
      <c r="E14" s="121" t="s">
        <v>6</v>
      </c>
      <c r="G14" s="1" t="s">
        <v>11</v>
      </c>
    </row>
    <row r="15" spans="1:8" s="4" customFormat="1" ht="15" customHeight="1">
      <c r="E15" s="72" t="s">
        <v>6</v>
      </c>
      <c r="G15" s="4" t="s">
        <v>12</v>
      </c>
    </row>
    <row r="16" spans="1:8" s="4" customFormat="1" ht="15" customHeight="1">
      <c r="E16" s="75" t="s">
        <v>6</v>
      </c>
      <c r="G16" s="4" t="s">
        <v>13</v>
      </c>
    </row>
    <row r="17" spans="2:7" s="4" customFormat="1" ht="15" customHeight="1">
      <c r="E17" s="76" t="s">
        <v>6</v>
      </c>
      <c r="G17" s="4" t="s">
        <v>14</v>
      </c>
    </row>
    <row r="18" spans="2:7" s="4" customFormat="1" ht="15" customHeight="1">
      <c r="E18" s="3" t="s">
        <v>6</v>
      </c>
      <c r="G18" s="4" t="s">
        <v>15</v>
      </c>
    </row>
    <row r="19" spans="2:7" s="4" customFormat="1" ht="15" customHeight="1">
      <c r="E19" s="31" t="s">
        <v>6</v>
      </c>
      <c r="G19" s="4" t="s">
        <v>16</v>
      </c>
    </row>
    <row r="20" spans="2:7" s="4" customFormat="1" ht="15" customHeight="1"/>
    <row r="21" spans="2:7" s="4" customFormat="1" ht="15" customHeight="1">
      <c r="B21" s="166" t="s">
        <v>17</v>
      </c>
      <c r="C21" s="8"/>
      <c r="D21" s="8"/>
      <c r="E21" s="8"/>
      <c r="F21" s="8"/>
      <c r="G21" s="8"/>
    </row>
    <row r="22" spans="2:7" s="4" customFormat="1" ht="15" customHeight="1" thickBot="1">
      <c r="E22" s="19"/>
      <c r="G22" s="1"/>
    </row>
    <row r="23" spans="2:7" s="4" customFormat="1" ht="15" customHeight="1" thickBot="1">
      <c r="E23" s="80" t="s">
        <v>18</v>
      </c>
      <c r="F23" s="77"/>
      <c r="G23" s="28" t="s">
        <v>19</v>
      </c>
    </row>
    <row r="24" spans="2:7" s="4" customFormat="1" ht="15" customHeight="1" thickBot="1">
      <c r="E24" s="80" t="s">
        <v>20</v>
      </c>
      <c r="F24" s="95"/>
      <c r="G24" s="28" t="s">
        <v>21</v>
      </c>
    </row>
    <row r="25" spans="2:7" s="4" customFormat="1" ht="15" customHeight="1" thickTop="1" thickBot="1">
      <c r="E25" s="80" t="s">
        <v>22</v>
      </c>
      <c r="F25" s="78"/>
      <c r="G25" s="28" t="s">
        <v>22</v>
      </c>
    </row>
    <row r="26" spans="2:7" s="4" customFormat="1" ht="15" customHeight="1" thickTop="1" thickBot="1">
      <c r="E26" s="80" t="s">
        <v>23</v>
      </c>
      <c r="F26" s="162"/>
      <c r="G26" s="28" t="s">
        <v>24</v>
      </c>
    </row>
    <row r="27" spans="2:7" s="4" customFormat="1" ht="15" customHeight="1" thickBot="1">
      <c r="E27" s="80" t="s">
        <v>25</v>
      </c>
      <c r="F27" s="29"/>
      <c r="G27" s="1" t="s">
        <v>26</v>
      </c>
    </row>
    <row r="28" spans="2:7" s="4" customFormat="1" ht="15" customHeight="1" thickBot="1">
      <c r="E28" s="80" t="s">
        <v>27</v>
      </c>
      <c r="F28" s="29"/>
      <c r="G28" s="28" t="s">
        <v>28</v>
      </c>
    </row>
    <row r="29" spans="2:7" s="4" customFormat="1" ht="15" customHeight="1" thickBot="1">
      <c r="E29" s="80" t="s">
        <v>29</v>
      </c>
      <c r="F29" s="29"/>
      <c r="G29" s="28" t="s">
        <v>30</v>
      </c>
    </row>
    <row r="30" spans="2:7" s="4" customFormat="1" ht="15" customHeight="1" thickBot="1">
      <c r="E30" s="80" t="s">
        <v>31</v>
      </c>
      <c r="F30" s="29"/>
      <c r="G30" s="28" t="s">
        <v>32</v>
      </c>
    </row>
    <row r="31" spans="2:7" s="4" customFormat="1" ht="15" customHeight="1" thickBot="1">
      <c r="E31" s="80" t="s">
        <v>33</v>
      </c>
      <c r="F31" s="29"/>
      <c r="G31" s="28" t="s">
        <v>34</v>
      </c>
    </row>
    <row r="32" spans="2:7" s="4" customFormat="1" ht="15" customHeight="1" thickBot="1">
      <c r="E32" s="80" t="s">
        <v>35</v>
      </c>
      <c r="F32" s="29"/>
      <c r="G32" s="28" t="s">
        <v>36</v>
      </c>
    </row>
    <row r="33" spans="1:8" ht="15" customHeight="1" thickBot="1">
      <c r="A33" s="4"/>
      <c r="B33" s="4"/>
      <c r="C33" s="4"/>
      <c r="D33" s="4"/>
      <c r="E33" s="80" t="s">
        <v>37</v>
      </c>
      <c r="F33" s="79"/>
      <c r="G33" s="28" t="s">
        <v>38</v>
      </c>
      <c r="H33" s="4"/>
    </row>
    <row r="34" spans="1:8" ht="15" customHeight="1" thickBot="1">
      <c r="A34" s="4"/>
      <c r="B34" s="4"/>
      <c r="C34" s="4"/>
      <c r="D34" s="4"/>
      <c r="E34" s="80" t="s">
        <v>39</v>
      </c>
      <c r="F34" s="29"/>
      <c r="G34" s="28" t="s">
        <v>40</v>
      </c>
      <c r="H34" s="4"/>
    </row>
    <row r="35" spans="1:8" ht="15" customHeight="1">
      <c r="A35" s="4"/>
      <c r="B35" s="4"/>
      <c r="C35" s="4"/>
      <c r="H35" s="4"/>
    </row>
    <row r="36" spans="1:8" ht="15" customHeight="1">
      <c r="A36" s="4"/>
      <c r="B36" s="166" t="s">
        <v>41</v>
      </c>
      <c r="C36" s="8"/>
      <c r="D36" s="8"/>
      <c r="E36" s="8"/>
      <c r="F36" s="8"/>
      <c r="G36" s="8"/>
      <c r="H36" s="4"/>
    </row>
    <row r="37" spans="1:8" ht="15" customHeight="1">
      <c r="A37" s="4"/>
      <c r="B37" s="128"/>
      <c r="C37" s="128"/>
      <c r="D37" s="128"/>
      <c r="E37" s="128"/>
      <c r="F37" s="128"/>
      <c r="G37" s="128"/>
      <c r="H37" s="4"/>
    </row>
    <row r="38" spans="1:8" ht="15" customHeight="1">
      <c r="A38" s="4"/>
      <c r="B38" s="128"/>
      <c r="C38" s="128"/>
      <c r="D38" s="128"/>
      <c r="E38" s="5" t="s">
        <v>42</v>
      </c>
      <c r="F38" s="5"/>
      <c r="G38" s="129" t="b">
        <v>1</v>
      </c>
      <c r="H38" s="4"/>
    </row>
    <row r="39" spans="1:8" ht="15" customHeight="1">
      <c r="A39" s="4"/>
      <c r="B39" s="128"/>
      <c r="C39" s="128"/>
      <c r="D39" s="128"/>
      <c r="E39" s="5" t="s">
        <v>43</v>
      </c>
      <c r="F39" s="5"/>
      <c r="G39" s="129" t="b">
        <v>1</v>
      </c>
      <c r="H39" s="4"/>
    </row>
    <row r="40" spans="1:8" ht="15" customHeight="1">
      <c r="A40" s="4"/>
      <c r="B40" s="128"/>
      <c r="C40" s="128"/>
      <c r="D40" s="128"/>
      <c r="E40" s="5" t="s">
        <v>44</v>
      </c>
      <c r="F40" s="5"/>
      <c r="G40" s="129" t="b">
        <v>0</v>
      </c>
      <c r="H40" s="4"/>
    </row>
    <row r="41" spans="1:8" ht="15" customHeight="1">
      <c r="A41" s="4"/>
      <c r="B41" s="128"/>
      <c r="C41" s="128"/>
      <c r="D41" s="128"/>
      <c r="E41" s="5" t="s">
        <v>45</v>
      </c>
      <c r="F41" s="5"/>
      <c r="G41" s="129" t="b">
        <v>0</v>
      </c>
      <c r="H41" s="4"/>
    </row>
    <row r="42" spans="1:8" ht="15" customHeight="1">
      <c r="A42" s="4"/>
      <c r="B42" s="128"/>
      <c r="C42" s="128"/>
      <c r="D42" s="128"/>
      <c r="E42" s="128"/>
      <c r="F42" s="128"/>
      <c r="G42" s="128"/>
      <c r="H42" s="4"/>
    </row>
    <row r="43" spans="1:8" ht="15" customHeight="1">
      <c r="A43" s="4"/>
      <c r="B43" s="166" t="s">
        <v>46</v>
      </c>
      <c r="C43" s="8"/>
      <c r="D43" s="8"/>
      <c r="E43" s="8"/>
      <c r="F43" s="8"/>
      <c r="G43" s="8"/>
      <c r="H43" s="4"/>
    </row>
    <row r="44" spans="1:8" ht="15" customHeight="1"/>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486BC6-B554-41BE-9E60-142137938490}">
  <sheetPr>
    <tabColor theme="5" tint="0.59999389629810485"/>
  </sheetPr>
  <dimension ref="A1:P33"/>
  <sheetViews>
    <sheetView workbookViewId="0">
      <pane ySplit="2" topLeftCell="A20" activePane="bottomLeft" state="frozen"/>
      <selection pane="bottomLeft" activeCell="J25" sqref="J25"/>
    </sheetView>
  </sheetViews>
  <sheetFormatPr defaultColWidth="0" defaultRowHeight="13.15" customHeight="1"/>
  <cols>
    <col min="1" max="1" width="2.7109375" style="105" customWidth="1"/>
    <col min="2" max="2" width="13.28515625" style="105" bestFit="1" customWidth="1"/>
    <col min="3" max="4" width="13.28515625" style="105" customWidth="1"/>
    <col min="5" max="5" width="15.5703125" style="105" customWidth="1"/>
    <col min="6" max="6" width="10.85546875" style="105" bestFit="1" customWidth="1"/>
    <col min="7" max="7" width="80.85546875" style="105" customWidth="1"/>
    <col min="8" max="8" width="17.7109375" style="105" bestFit="1" customWidth="1"/>
    <col min="9" max="9" width="16.85546875" style="105" bestFit="1" customWidth="1"/>
    <col min="10" max="10" width="15" style="105" bestFit="1" customWidth="1"/>
    <col min="11" max="11" width="16.85546875" style="105" customWidth="1"/>
    <col min="12" max="12" width="14.5703125" style="105" bestFit="1" customWidth="1"/>
    <col min="13" max="13" width="2.7109375" style="106" customWidth="1"/>
    <col min="14" max="16" width="0" style="105" hidden="1" customWidth="1"/>
    <col min="17" max="16384" width="10.85546875" style="105" hidden="1"/>
  </cols>
  <sheetData>
    <row r="1" spans="1:13" s="119" customFormat="1" ht="14.25">
      <c r="A1" s="120" t="s">
        <v>20</v>
      </c>
      <c r="B1" s="21"/>
      <c r="C1" s="21"/>
      <c r="D1" s="21"/>
      <c r="E1" s="21"/>
      <c r="F1" s="21"/>
      <c r="G1" s="21"/>
      <c r="H1" s="21"/>
      <c r="I1" s="21"/>
      <c r="J1" s="21"/>
      <c r="K1" s="21"/>
      <c r="L1" s="21"/>
      <c r="M1" s="118"/>
    </row>
    <row r="2" spans="1:13" s="104" customFormat="1" ht="54.75" customHeight="1">
      <c r="A2" s="102"/>
      <c r="B2" s="133" t="s">
        <v>47</v>
      </c>
      <c r="C2" s="133" t="s">
        <v>48</v>
      </c>
      <c r="D2" s="133" t="s">
        <v>49</v>
      </c>
      <c r="E2" s="133" t="s">
        <v>50</v>
      </c>
      <c r="F2" s="133" t="s">
        <v>51</v>
      </c>
      <c r="G2" s="133" t="s">
        <v>52</v>
      </c>
      <c r="H2" s="133" t="s">
        <v>53</v>
      </c>
      <c r="I2" s="133" t="s">
        <v>54</v>
      </c>
      <c r="J2" s="133" t="s">
        <v>55</v>
      </c>
      <c r="K2" s="133" t="s">
        <v>56</v>
      </c>
      <c r="L2" s="133" t="s">
        <v>57</v>
      </c>
      <c r="M2" s="103"/>
    </row>
    <row r="3" spans="1:13">
      <c r="B3" s="107"/>
      <c r="C3" s="107"/>
      <c r="D3" s="107"/>
      <c r="E3" s="107"/>
      <c r="F3" s="107"/>
      <c r="G3" s="107"/>
      <c r="H3" s="107"/>
      <c r="I3" s="107"/>
      <c r="J3" s="107"/>
      <c r="K3" s="107"/>
      <c r="L3" s="107"/>
    </row>
    <row r="4" spans="1:13" ht="26.25">
      <c r="B4" s="130">
        <v>1</v>
      </c>
      <c r="C4" s="138"/>
      <c r="D4" s="101" t="s">
        <v>58</v>
      </c>
      <c r="E4" s="97" t="s">
        <v>59</v>
      </c>
      <c r="F4" s="98"/>
      <c r="G4" s="108" t="s">
        <v>60</v>
      </c>
      <c r="H4" s="108" t="s">
        <v>58</v>
      </c>
      <c r="I4" s="109" t="s">
        <v>58</v>
      </c>
      <c r="J4" s="108" t="s">
        <v>58</v>
      </c>
      <c r="K4" s="108" t="s">
        <v>58</v>
      </c>
      <c r="L4" s="108" t="s">
        <v>58</v>
      </c>
    </row>
    <row r="5" spans="1:13" ht="52.5">
      <c r="B5" s="96">
        <v>1.1000000000000001</v>
      </c>
      <c r="C5" s="138"/>
      <c r="D5" s="131">
        <v>1</v>
      </c>
      <c r="E5" s="97" t="s">
        <v>61</v>
      </c>
      <c r="F5" s="98">
        <v>43651</v>
      </c>
      <c r="G5" s="108" t="s">
        <v>62</v>
      </c>
      <c r="H5" s="108" t="s">
        <v>63</v>
      </c>
      <c r="I5" s="109" t="s">
        <v>58</v>
      </c>
      <c r="J5" s="108" t="s">
        <v>64</v>
      </c>
      <c r="K5" s="108" t="s">
        <v>65</v>
      </c>
      <c r="L5" s="108" t="s">
        <v>66</v>
      </c>
    </row>
    <row r="6" spans="1:13" ht="52.5">
      <c r="B6" s="96">
        <v>1.2</v>
      </c>
      <c r="C6" s="138"/>
      <c r="D6" s="101">
        <v>1.1000000000000001</v>
      </c>
      <c r="E6" s="97" t="s">
        <v>61</v>
      </c>
      <c r="F6" s="98">
        <v>43713</v>
      </c>
      <c r="G6" s="108" t="s">
        <v>67</v>
      </c>
      <c r="H6" s="108" t="s">
        <v>68</v>
      </c>
      <c r="I6" s="109" t="s">
        <v>69</v>
      </c>
      <c r="J6" s="108" t="s">
        <v>70</v>
      </c>
      <c r="K6" s="108" t="s">
        <v>71</v>
      </c>
      <c r="L6" s="108" t="s">
        <v>72</v>
      </c>
    </row>
    <row r="7" spans="1:13" ht="65.650000000000006">
      <c r="B7" s="96">
        <v>1.3</v>
      </c>
      <c r="C7" s="96"/>
      <c r="D7" s="101">
        <v>1.2</v>
      </c>
      <c r="E7" s="97" t="s">
        <v>61</v>
      </c>
      <c r="F7" s="98">
        <v>43803</v>
      </c>
      <c r="G7" s="108" t="s">
        <v>73</v>
      </c>
      <c r="H7" s="108" t="s">
        <v>74</v>
      </c>
      <c r="I7" s="109" t="s">
        <v>69</v>
      </c>
      <c r="J7" s="108" t="s">
        <v>64</v>
      </c>
      <c r="K7" s="108" t="s">
        <v>75</v>
      </c>
      <c r="L7" s="108" t="s">
        <v>76</v>
      </c>
    </row>
    <row r="8" spans="1:13" ht="39.4">
      <c r="B8" s="96">
        <v>1.4</v>
      </c>
      <c r="C8" s="96"/>
      <c r="D8" s="101">
        <v>1.3</v>
      </c>
      <c r="E8" s="97" t="s">
        <v>77</v>
      </c>
      <c r="F8" s="98">
        <v>44743</v>
      </c>
      <c r="G8" s="108" t="s">
        <v>78</v>
      </c>
      <c r="H8" s="108" t="s">
        <v>79</v>
      </c>
      <c r="I8" s="109" t="s">
        <v>80</v>
      </c>
      <c r="J8" s="108" t="s">
        <v>81</v>
      </c>
      <c r="K8" s="108" t="s">
        <v>82</v>
      </c>
      <c r="L8" s="108" t="s">
        <v>83</v>
      </c>
    </row>
    <row r="9" spans="1:13" ht="65.650000000000006">
      <c r="B9" s="96">
        <v>1.5</v>
      </c>
      <c r="C9" s="96"/>
      <c r="D9" s="101">
        <v>1.4</v>
      </c>
      <c r="E9" s="97" t="s">
        <v>84</v>
      </c>
      <c r="F9" s="98">
        <v>44825</v>
      </c>
      <c r="G9" s="96" t="s">
        <v>85</v>
      </c>
      <c r="H9" s="96" t="s">
        <v>86</v>
      </c>
      <c r="I9" s="163" t="s">
        <v>22</v>
      </c>
      <c r="J9" s="96" t="s">
        <v>81</v>
      </c>
      <c r="K9" s="108"/>
      <c r="L9" s="108"/>
    </row>
    <row r="10" spans="1:13" ht="105">
      <c r="B10" s="96">
        <v>1.6</v>
      </c>
      <c r="C10" s="96"/>
      <c r="D10" s="101">
        <v>1.5</v>
      </c>
      <c r="E10" s="97" t="s">
        <v>87</v>
      </c>
      <c r="F10" s="98">
        <v>46129</v>
      </c>
      <c r="G10" s="96" t="s">
        <v>88</v>
      </c>
      <c r="H10" s="96" t="s">
        <v>89</v>
      </c>
      <c r="I10" s="163" t="s">
        <v>90</v>
      </c>
      <c r="J10" s="96"/>
      <c r="K10" s="108"/>
      <c r="L10" s="108"/>
    </row>
    <row r="11" spans="1:13" ht="65.650000000000006">
      <c r="B11" s="96">
        <v>1.7</v>
      </c>
      <c r="C11" s="96"/>
      <c r="D11" s="101">
        <v>1.6</v>
      </c>
      <c r="E11" s="97" t="s">
        <v>87</v>
      </c>
      <c r="F11" s="98">
        <v>46150</v>
      </c>
      <c r="G11" s="108" t="s">
        <v>91</v>
      </c>
      <c r="H11" s="96" t="s">
        <v>92</v>
      </c>
      <c r="I11" s="163" t="s">
        <v>35</v>
      </c>
      <c r="J11" s="96" t="s">
        <v>81</v>
      </c>
      <c r="K11" s="108"/>
      <c r="L11" s="108"/>
    </row>
    <row r="12" spans="1:13" ht="26.25">
      <c r="B12" s="96"/>
      <c r="C12" s="96"/>
      <c r="D12" s="101"/>
      <c r="E12" s="97"/>
      <c r="F12" s="98"/>
      <c r="G12" s="108" t="s">
        <v>93</v>
      </c>
      <c r="H12" s="96" t="s">
        <v>92</v>
      </c>
      <c r="I12" s="99"/>
      <c r="J12" s="96" t="s">
        <v>81</v>
      </c>
      <c r="K12" s="108"/>
      <c r="L12" s="108"/>
    </row>
    <row r="13" spans="1:13">
      <c r="B13" s="96"/>
      <c r="C13" s="96"/>
      <c r="D13" s="101"/>
      <c r="E13" s="97"/>
      <c r="F13" s="98"/>
      <c r="G13" s="108" t="s">
        <v>94</v>
      </c>
      <c r="H13" s="96" t="s">
        <v>41</v>
      </c>
      <c r="I13" s="163" t="s">
        <v>39</v>
      </c>
      <c r="J13" s="96" t="s">
        <v>95</v>
      </c>
      <c r="K13" s="108"/>
      <c r="L13" s="108"/>
    </row>
    <row r="14" spans="1:13" ht="39.4">
      <c r="B14" s="100"/>
      <c r="C14" s="100"/>
      <c r="D14" s="100"/>
      <c r="E14" s="100"/>
      <c r="F14" s="98"/>
      <c r="G14" s="108" t="s">
        <v>96</v>
      </c>
      <c r="H14" s="100" t="s">
        <v>97</v>
      </c>
      <c r="I14" s="100" t="s">
        <v>98</v>
      </c>
      <c r="J14" s="100" t="s">
        <v>99</v>
      </c>
      <c r="K14" s="132"/>
      <c r="L14" s="132"/>
    </row>
    <row r="15" spans="1:13" ht="39.4">
      <c r="B15" s="100"/>
      <c r="C15" s="100"/>
      <c r="D15" s="100"/>
      <c r="E15" s="100"/>
      <c r="F15" s="98"/>
      <c r="G15" s="108" t="s">
        <v>100</v>
      </c>
      <c r="H15" s="100" t="s">
        <v>101</v>
      </c>
      <c r="I15" s="158" t="s">
        <v>22</v>
      </c>
      <c r="J15" s="100" t="s">
        <v>99</v>
      </c>
      <c r="K15" s="132"/>
      <c r="L15" s="132"/>
    </row>
    <row r="16" spans="1:13" ht="91.9">
      <c r="B16" s="100"/>
      <c r="C16" s="100"/>
      <c r="D16" s="100"/>
      <c r="E16" s="100"/>
      <c r="F16" s="98"/>
      <c r="G16" s="108" t="s">
        <v>102</v>
      </c>
      <c r="H16" s="100" t="s">
        <v>101</v>
      </c>
      <c r="I16" s="158" t="s">
        <v>22</v>
      </c>
      <c r="J16" s="100" t="s">
        <v>99</v>
      </c>
      <c r="K16" s="132"/>
      <c r="L16" s="132"/>
    </row>
    <row r="17" spans="2:12" ht="210">
      <c r="B17" s="100"/>
      <c r="C17" s="100"/>
      <c r="D17" s="100"/>
      <c r="E17" s="100"/>
      <c r="F17" s="98"/>
      <c r="G17" s="108" t="s">
        <v>103</v>
      </c>
      <c r="H17" s="100" t="s">
        <v>97</v>
      </c>
      <c r="I17" s="96" t="s">
        <v>104</v>
      </c>
      <c r="J17" s="100" t="s">
        <v>99</v>
      </c>
      <c r="K17" s="132"/>
      <c r="L17" s="132"/>
    </row>
    <row r="18" spans="2:12" ht="13.15" customHeight="1">
      <c r="B18" s="100"/>
      <c r="C18" s="100"/>
      <c r="D18" s="100"/>
      <c r="E18" s="97"/>
      <c r="F18" s="100"/>
      <c r="G18" s="108" t="s">
        <v>105</v>
      </c>
      <c r="H18" s="100" t="s">
        <v>106</v>
      </c>
      <c r="I18" s="100" t="s">
        <v>23</v>
      </c>
      <c r="J18" s="100" t="s">
        <v>95</v>
      </c>
      <c r="K18" s="132"/>
      <c r="L18" s="132"/>
    </row>
    <row r="19" spans="2:12" ht="13.15" customHeight="1">
      <c r="B19" s="100">
        <v>1.8</v>
      </c>
      <c r="C19" s="100"/>
      <c r="D19" s="100">
        <v>1.7</v>
      </c>
      <c r="E19" s="97" t="s">
        <v>87</v>
      </c>
      <c r="F19" s="100"/>
      <c r="G19" s="108" t="s">
        <v>107</v>
      </c>
      <c r="H19" s="100"/>
      <c r="I19" s="100"/>
      <c r="J19" s="100"/>
      <c r="K19" s="132"/>
      <c r="L19" s="132"/>
    </row>
    <row r="20" spans="2:12" ht="366" customHeight="1">
      <c r="B20" s="100">
        <v>1.9</v>
      </c>
      <c r="C20" s="100"/>
      <c r="D20" s="100">
        <v>1.8</v>
      </c>
      <c r="E20" s="97" t="s">
        <v>87</v>
      </c>
      <c r="F20" s="220">
        <v>46143</v>
      </c>
      <c r="G20" s="195" t="s">
        <v>108</v>
      </c>
      <c r="H20" s="96" t="s">
        <v>109</v>
      </c>
      <c r="I20" s="100" t="s">
        <v>110</v>
      </c>
      <c r="J20" s="100" t="s">
        <v>110</v>
      </c>
      <c r="K20" s="132"/>
      <c r="L20" s="132"/>
    </row>
    <row r="21" spans="2:12" ht="52.5">
      <c r="B21" s="219">
        <v>1.1000000000000001</v>
      </c>
      <c r="C21" s="100"/>
      <c r="D21" s="100">
        <v>1.9</v>
      </c>
      <c r="E21" s="97" t="s">
        <v>87</v>
      </c>
      <c r="F21" s="220">
        <v>46174</v>
      </c>
      <c r="G21" s="108" t="s">
        <v>111</v>
      </c>
      <c r="H21" s="100"/>
      <c r="I21" s="221" t="s">
        <v>112</v>
      </c>
      <c r="J21" s="100" t="s">
        <v>113</v>
      </c>
      <c r="K21" s="132"/>
      <c r="L21" s="132"/>
    </row>
    <row r="22" spans="2:12" ht="105">
      <c r="B22" s="100">
        <v>1.1100000000000001</v>
      </c>
      <c r="C22" s="100"/>
      <c r="D22" s="219">
        <v>1.1000000000000001</v>
      </c>
      <c r="E22" s="97" t="s">
        <v>87</v>
      </c>
      <c r="F22" s="220">
        <v>46198</v>
      </c>
      <c r="G22" s="108" t="s">
        <v>114</v>
      </c>
      <c r="H22" s="96" t="s">
        <v>115</v>
      </c>
      <c r="I22" s="158" t="s">
        <v>22</v>
      </c>
      <c r="J22" s="100" t="s">
        <v>116</v>
      </c>
      <c r="K22" s="132"/>
      <c r="L22" s="132"/>
    </row>
    <row r="23" spans="2:12" ht="13.15" customHeight="1">
      <c r="B23" s="100">
        <v>1.1100000000000001</v>
      </c>
      <c r="C23" s="100"/>
      <c r="D23" s="219">
        <v>1.1000000000000001</v>
      </c>
      <c r="E23" s="97" t="s">
        <v>87</v>
      </c>
      <c r="F23" s="220">
        <v>46198</v>
      </c>
      <c r="G23" s="223" t="s">
        <v>117</v>
      </c>
      <c r="H23" s="100" t="s">
        <v>118</v>
      </c>
      <c r="I23" s="158" t="s">
        <v>22</v>
      </c>
      <c r="J23" s="100" t="s">
        <v>119</v>
      </c>
      <c r="K23" s="132"/>
      <c r="L23" s="132"/>
    </row>
    <row r="24" spans="2:12" ht="13.15" customHeight="1">
      <c r="B24" s="100">
        <v>1.1200000000000001</v>
      </c>
      <c r="C24" s="100"/>
      <c r="D24" s="100">
        <v>1.1100000000000001</v>
      </c>
      <c r="E24" s="97" t="s">
        <v>87</v>
      </c>
      <c r="F24" s="220">
        <v>46275</v>
      </c>
      <c r="G24" s="108" t="s">
        <v>120</v>
      </c>
      <c r="H24" s="100" t="s">
        <v>121</v>
      </c>
      <c r="I24" s="158" t="s">
        <v>22</v>
      </c>
      <c r="J24" s="100" t="s">
        <v>116</v>
      </c>
      <c r="K24" s="132"/>
      <c r="L24" s="132"/>
    </row>
    <row r="25" spans="2:12" ht="13.15" customHeight="1">
      <c r="B25" s="100"/>
      <c r="C25" s="100"/>
      <c r="D25" s="100"/>
      <c r="E25" s="100"/>
      <c r="F25" s="100"/>
      <c r="G25" s="108"/>
      <c r="H25" s="100"/>
      <c r="I25" s="100"/>
      <c r="J25" s="100"/>
      <c r="K25" s="132"/>
      <c r="L25" s="132"/>
    </row>
    <row r="26" spans="2:12" ht="13.15" customHeight="1">
      <c r="B26" s="100"/>
      <c r="C26" s="100"/>
      <c r="D26" s="100"/>
      <c r="E26" s="100"/>
      <c r="F26" s="100"/>
      <c r="G26" s="108"/>
      <c r="H26" s="100"/>
      <c r="I26" s="100"/>
      <c r="J26" s="100"/>
      <c r="K26" s="132"/>
      <c r="L26" s="132"/>
    </row>
    <row r="27" spans="2:12" ht="13.15" customHeight="1">
      <c r="B27" s="100"/>
      <c r="C27" s="100"/>
      <c r="D27" s="100"/>
      <c r="E27" s="100"/>
      <c r="F27" s="100"/>
      <c r="G27" s="108"/>
      <c r="H27" s="100"/>
      <c r="I27" s="100"/>
      <c r="J27" s="100"/>
      <c r="K27" s="132"/>
      <c r="L27" s="132"/>
    </row>
    <row r="28" spans="2:12" ht="13.15" customHeight="1">
      <c r="B28" s="100"/>
      <c r="C28" s="100"/>
      <c r="D28" s="100"/>
      <c r="E28" s="100"/>
      <c r="F28" s="100"/>
      <c r="G28" s="108"/>
      <c r="H28" s="100"/>
      <c r="I28" s="100"/>
      <c r="J28" s="100"/>
      <c r="K28" s="132"/>
      <c r="L28" s="132"/>
    </row>
    <row r="29" spans="2:12" ht="13.15" customHeight="1">
      <c r="B29" s="100"/>
      <c r="C29" s="100"/>
      <c r="D29" s="100"/>
      <c r="E29" s="100"/>
      <c r="F29" s="100"/>
      <c r="G29" s="108"/>
      <c r="H29" s="100"/>
      <c r="I29" s="100"/>
      <c r="J29" s="100"/>
      <c r="K29" s="132"/>
      <c r="L29" s="132"/>
    </row>
    <row r="30" spans="2:12" ht="13.15" customHeight="1">
      <c r="B30" s="100"/>
      <c r="C30" s="100"/>
      <c r="D30" s="100"/>
      <c r="E30" s="100"/>
      <c r="F30" s="100"/>
      <c r="G30" s="108"/>
      <c r="H30" s="100"/>
      <c r="I30" s="100"/>
      <c r="J30" s="100"/>
      <c r="K30" s="132"/>
      <c r="L30" s="132"/>
    </row>
    <row r="31" spans="2:12" ht="13.15" customHeight="1">
      <c r="B31" s="100"/>
      <c r="C31" s="100"/>
      <c r="D31" s="100"/>
      <c r="E31" s="100"/>
      <c r="F31" s="100"/>
      <c r="G31" s="108"/>
      <c r="H31" s="100"/>
      <c r="I31" s="100"/>
      <c r="J31" s="100"/>
      <c r="K31" s="132"/>
      <c r="L31" s="132"/>
    </row>
    <row r="32" spans="2:12" ht="13.15" customHeight="1">
      <c r="B32" s="100"/>
      <c r="C32" s="100"/>
      <c r="D32" s="100"/>
      <c r="E32" s="100"/>
      <c r="F32" s="100"/>
      <c r="G32" s="108"/>
      <c r="H32" s="100"/>
      <c r="I32" s="100"/>
      <c r="J32" s="100"/>
      <c r="K32" s="132"/>
      <c r="L32" s="132"/>
    </row>
    <row r="33" spans="2:12" ht="13.15" customHeight="1">
      <c r="B33" s="100"/>
      <c r="C33" s="100"/>
      <c r="D33" s="100"/>
      <c r="E33" s="100"/>
      <c r="F33" s="100"/>
      <c r="G33" s="108"/>
      <c r="H33" s="100"/>
      <c r="I33" s="100"/>
      <c r="J33" s="100"/>
      <c r="K33" s="132"/>
      <c r="L33" s="132"/>
    </row>
  </sheetData>
  <pageMargins left="0.7" right="0.7" top="0.75" bottom="0.75" header="0.3" footer="0.3"/>
  <headerFooter>
    <oddHeader>&amp;C&amp;"Aptos"&amp;10&amp;K000000 OFFICIAL&amp;1#_x000D_</oddHeader>
    <oddFooter>&amp;C_x000D_&amp;1#&amp;"Aptos"&amp;10&amp;K000000 OFFICIAL</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tabColor rgb="FFFFFFCC"/>
    <pageSetUpPr fitToPage="1"/>
  </sheetPr>
  <dimension ref="A1:BF253"/>
  <sheetViews>
    <sheetView tabSelected="1" zoomScale="130" zoomScaleNormal="130" workbookViewId="0">
      <pane xSplit="10" ySplit="5" topLeftCell="K78" activePane="bottomRight" state="frozen"/>
      <selection pane="bottomRight" activeCell="AP46" sqref="AP46"/>
      <selection pane="bottomLeft" activeCell="A6" sqref="A6"/>
      <selection pane="topRight" activeCell="K1" sqref="K1"/>
    </sheetView>
  </sheetViews>
  <sheetFormatPr defaultColWidth="0" defaultRowHeight="15" customHeight="1" zeroHeight="1"/>
  <cols>
    <col min="1" max="4" width="2.7109375" style="19" customWidth="1"/>
    <col min="5" max="5" width="73.5703125" style="19" bestFit="1" customWidth="1"/>
    <col min="6" max="6" width="1.7109375" style="19" customWidth="1"/>
    <col min="7" max="7" width="18.5703125" style="19" customWidth="1"/>
    <col min="8" max="8" width="20" style="19" bestFit="1" customWidth="1"/>
    <col min="9" max="9" width="17" style="19" customWidth="1"/>
    <col min="10" max="10" width="1.7109375" style="19" customWidth="1"/>
    <col min="11" max="11" width="6.42578125" style="19" customWidth="1"/>
    <col min="12" max="14" width="1.7109375" style="19" customWidth="1"/>
    <col min="15" max="15" width="10.7109375" style="19" customWidth="1"/>
    <col min="16" max="16" width="11.42578125" style="19" bestFit="1" customWidth="1"/>
    <col min="17" max="35" width="10.7109375" style="19" customWidth="1"/>
    <col min="36" max="37" width="11" style="19" customWidth="1"/>
    <col min="38" max="54" width="10.7109375" style="19" customWidth="1"/>
    <col min="55" max="55" width="2.7109375" style="19" customWidth="1"/>
    <col min="56" max="57" width="9" style="19" hidden="1" customWidth="1"/>
    <col min="58" max="58" width="0" style="19" hidden="1" customWidth="1"/>
    <col min="59" max="16384" width="9" style="19" hidden="1"/>
  </cols>
  <sheetData>
    <row r="1" spans="1:54" s="10" customFormat="1" ht="14.25">
      <c r="A1" s="117" t="s">
        <v>22</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4" s="10" customFormat="1" ht="15" customHeight="1">
      <c r="E2" s="9" t="s">
        <v>123</v>
      </c>
      <c r="F2" s="9"/>
      <c r="G2" s="9" t="s">
        <v>124</v>
      </c>
      <c r="H2" s="9" t="s">
        <v>125</v>
      </c>
      <c r="I2" s="13" t="s">
        <v>126</v>
      </c>
      <c r="O2" s="9" t="s">
        <v>127</v>
      </c>
    </row>
    <row r="3" spans="1:54" s="10" customFormat="1" ht="15" customHeight="1">
      <c r="E3" s="49" t="s">
        <v>128</v>
      </c>
      <c r="F3" s="9"/>
      <c r="G3" s="9"/>
      <c r="H3" s="9"/>
      <c r="I3" s="9"/>
      <c r="O3" s="151">
        <f>I20</f>
        <v>44197</v>
      </c>
      <c r="P3" s="58">
        <f t="shared" ref="P3:BB3" si="0">O4+1</f>
        <v>44562</v>
      </c>
      <c r="Q3" s="58">
        <f t="shared" si="0"/>
        <v>44927</v>
      </c>
      <c r="R3" s="58">
        <f t="shared" si="0"/>
        <v>45292</v>
      </c>
      <c r="S3" s="58">
        <f t="shared" si="0"/>
        <v>45658</v>
      </c>
      <c r="T3" s="58">
        <f t="shared" si="0"/>
        <v>46023</v>
      </c>
      <c r="U3" s="58">
        <f t="shared" si="0"/>
        <v>46388</v>
      </c>
      <c r="V3" s="58">
        <f t="shared" si="0"/>
        <v>46753</v>
      </c>
      <c r="W3" s="58">
        <f t="shared" si="0"/>
        <v>47119</v>
      </c>
      <c r="X3" s="58">
        <f t="shared" si="0"/>
        <v>47484</v>
      </c>
      <c r="Y3" s="58">
        <f t="shared" si="0"/>
        <v>47849</v>
      </c>
      <c r="Z3" s="58">
        <f t="shared" si="0"/>
        <v>48214</v>
      </c>
      <c r="AA3" s="58">
        <f t="shared" si="0"/>
        <v>48580</v>
      </c>
      <c r="AB3" s="58">
        <f t="shared" si="0"/>
        <v>48945</v>
      </c>
      <c r="AC3" s="58">
        <f t="shared" si="0"/>
        <v>49310</v>
      </c>
      <c r="AD3" s="58">
        <f t="shared" si="0"/>
        <v>49675</v>
      </c>
      <c r="AE3" s="58">
        <f t="shared" si="0"/>
        <v>50041</v>
      </c>
      <c r="AF3" s="58">
        <f t="shared" si="0"/>
        <v>50406</v>
      </c>
      <c r="AG3" s="58">
        <f t="shared" si="0"/>
        <v>50771</v>
      </c>
      <c r="AH3" s="58">
        <f t="shared" si="0"/>
        <v>51136</v>
      </c>
      <c r="AI3" s="58">
        <f t="shared" si="0"/>
        <v>51502</v>
      </c>
      <c r="AJ3" s="58">
        <f t="shared" si="0"/>
        <v>51867</v>
      </c>
      <c r="AK3" s="58">
        <f t="shared" si="0"/>
        <v>52232</v>
      </c>
      <c r="AL3" s="58">
        <f t="shared" si="0"/>
        <v>52597</v>
      </c>
      <c r="AM3" s="58">
        <f t="shared" si="0"/>
        <v>52963</v>
      </c>
      <c r="AN3" s="58">
        <f t="shared" si="0"/>
        <v>53328</v>
      </c>
      <c r="AO3" s="58">
        <f t="shared" si="0"/>
        <v>53693</v>
      </c>
      <c r="AP3" s="58">
        <f t="shared" si="0"/>
        <v>54058</v>
      </c>
      <c r="AQ3" s="58">
        <f t="shared" si="0"/>
        <v>54424</v>
      </c>
      <c r="AR3" s="58">
        <f t="shared" si="0"/>
        <v>54789</v>
      </c>
      <c r="AS3" s="58">
        <f t="shared" si="0"/>
        <v>55154</v>
      </c>
      <c r="AT3" s="58">
        <f t="shared" si="0"/>
        <v>55519</v>
      </c>
      <c r="AU3" s="58">
        <f t="shared" si="0"/>
        <v>55885</v>
      </c>
      <c r="AV3" s="58">
        <f t="shared" si="0"/>
        <v>56250</v>
      </c>
      <c r="AW3" s="58">
        <f t="shared" si="0"/>
        <v>56615</v>
      </c>
      <c r="AX3" s="58">
        <f t="shared" si="0"/>
        <v>56980</v>
      </c>
      <c r="AY3" s="58">
        <f t="shared" si="0"/>
        <v>57346</v>
      </c>
      <c r="AZ3" s="58">
        <f t="shared" si="0"/>
        <v>57711</v>
      </c>
      <c r="BA3" s="58">
        <f t="shared" si="0"/>
        <v>58076</v>
      </c>
      <c r="BB3" s="58">
        <f t="shared" si="0"/>
        <v>58441</v>
      </c>
    </row>
    <row r="4" spans="1:54" s="49" customFormat="1" ht="15" customHeight="1">
      <c r="E4" s="49" t="s">
        <v>129</v>
      </c>
      <c r="O4" s="151">
        <f t="shared" ref="O4:BB4" si="1">EOMONTH(O3,11)</f>
        <v>44561</v>
      </c>
      <c r="P4" s="58">
        <f t="shared" si="1"/>
        <v>44926</v>
      </c>
      <c r="Q4" s="58">
        <f t="shared" si="1"/>
        <v>45291</v>
      </c>
      <c r="R4" s="58">
        <f t="shared" si="1"/>
        <v>45657</v>
      </c>
      <c r="S4" s="58">
        <f t="shared" si="1"/>
        <v>46022</v>
      </c>
      <c r="T4" s="58">
        <f t="shared" si="1"/>
        <v>46387</v>
      </c>
      <c r="U4" s="58">
        <f t="shared" si="1"/>
        <v>46752</v>
      </c>
      <c r="V4" s="58">
        <f t="shared" si="1"/>
        <v>47118</v>
      </c>
      <c r="W4" s="58">
        <f t="shared" si="1"/>
        <v>47483</v>
      </c>
      <c r="X4" s="58">
        <f t="shared" si="1"/>
        <v>47848</v>
      </c>
      <c r="Y4" s="58">
        <f t="shared" si="1"/>
        <v>48213</v>
      </c>
      <c r="Z4" s="58">
        <f t="shared" si="1"/>
        <v>48579</v>
      </c>
      <c r="AA4" s="58">
        <f t="shared" si="1"/>
        <v>48944</v>
      </c>
      <c r="AB4" s="58">
        <f t="shared" si="1"/>
        <v>49309</v>
      </c>
      <c r="AC4" s="58">
        <f t="shared" si="1"/>
        <v>49674</v>
      </c>
      <c r="AD4" s="58">
        <f t="shared" si="1"/>
        <v>50040</v>
      </c>
      <c r="AE4" s="58">
        <f t="shared" si="1"/>
        <v>50405</v>
      </c>
      <c r="AF4" s="58">
        <f t="shared" si="1"/>
        <v>50770</v>
      </c>
      <c r="AG4" s="58">
        <f t="shared" si="1"/>
        <v>51135</v>
      </c>
      <c r="AH4" s="58">
        <f t="shared" si="1"/>
        <v>51501</v>
      </c>
      <c r="AI4" s="58">
        <f t="shared" si="1"/>
        <v>51866</v>
      </c>
      <c r="AJ4" s="58">
        <f t="shared" si="1"/>
        <v>52231</v>
      </c>
      <c r="AK4" s="58">
        <f t="shared" si="1"/>
        <v>52596</v>
      </c>
      <c r="AL4" s="58">
        <f t="shared" si="1"/>
        <v>52962</v>
      </c>
      <c r="AM4" s="58">
        <f t="shared" si="1"/>
        <v>53327</v>
      </c>
      <c r="AN4" s="58">
        <f t="shared" si="1"/>
        <v>53692</v>
      </c>
      <c r="AO4" s="58">
        <f t="shared" si="1"/>
        <v>54057</v>
      </c>
      <c r="AP4" s="58">
        <f t="shared" si="1"/>
        <v>54423</v>
      </c>
      <c r="AQ4" s="58">
        <f t="shared" si="1"/>
        <v>54788</v>
      </c>
      <c r="AR4" s="58">
        <f t="shared" si="1"/>
        <v>55153</v>
      </c>
      <c r="AS4" s="58">
        <f t="shared" si="1"/>
        <v>55518</v>
      </c>
      <c r="AT4" s="58">
        <f t="shared" si="1"/>
        <v>55884</v>
      </c>
      <c r="AU4" s="58">
        <f t="shared" si="1"/>
        <v>56249</v>
      </c>
      <c r="AV4" s="58">
        <f t="shared" si="1"/>
        <v>56614</v>
      </c>
      <c r="AW4" s="58">
        <f t="shared" si="1"/>
        <v>56979</v>
      </c>
      <c r="AX4" s="58">
        <f t="shared" si="1"/>
        <v>57345</v>
      </c>
      <c r="AY4" s="58">
        <f t="shared" si="1"/>
        <v>57710</v>
      </c>
      <c r="AZ4" s="58">
        <f t="shared" si="1"/>
        <v>58075</v>
      </c>
      <c r="BA4" s="58">
        <f t="shared" si="1"/>
        <v>58440</v>
      </c>
      <c r="BB4" s="58">
        <f t="shared" si="1"/>
        <v>58806</v>
      </c>
    </row>
    <row r="5" spans="1:54" s="49" customFormat="1" ht="15" customHeight="1">
      <c r="E5" s="49" t="s">
        <v>130</v>
      </c>
      <c r="O5" s="11">
        <v>0</v>
      </c>
      <c r="P5" s="11">
        <f t="shared" ref="P5:BB5" si="2">+O5+1</f>
        <v>1</v>
      </c>
      <c r="Q5" s="11">
        <f t="shared" si="2"/>
        <v>2</v>
      </c>
      <c r="R5" s="11">
        <f t="shared" si="2"/>
        <v>3</v>
      </c>
      <c r="S5" s="11">
        <f t="shared" si="2"/>
        <v>4</v>
      </c>
      <c r="T5" s="11">
        <f t="shared" si="2"/>
        <v>5</v>
      </c>
      <c r="U5" s="11">
        <f t="shared" si="2"/>
        <v>6</v>
      </c>
      <c r="V5" s="11">
        <f t="shared" si="2"/>
        <v>7</v>
      </c>
      <c r="W5" s="11">
        <f t="shared" si="2"/>
        <v>8</v>
      </c>
      <c r="X5" s="11">
        <f t="shared" si="2"/>
        <v>9</v>
      </c>
      <c r="Y5" s="11">
        <f t="shared" si="2"/>
        <v>10</v>
      </c>
      <c r="Z5" s="11">
        <f t="shared" si="2"/>
        <v>11</v>
      </c>
      <c r="AA5" s="11">
        <f t="shared" si="2"/>
        <v>12</v>
      </c>
      <c r="AB5" s="11">
        <f t="shared" si="2"/>
        <v>13</v>
      </c>
      <c r="AC5" s="11">
        <f t="shared" si="2"/>
        <v>14</v>
      </c>
      <c r="AD5" s="11">
        <f t="shared" si="2"/>
        <v>15</v>
      </c>
      <c r="AE5" s="11">
        <f t="shared" si="2"/>
        <v>16</v>
      </c>
      <c r="AF5" s="11">
        <f t="shared" si="2"/>
        <v>17</v>
      </c>
      <c r="AG5" s="11">
        <f t="shared" si="2"/>
        <v>18</v>
      </c>
      <c r="AH5" s="11">
        <f t="shared" si="2"/>
        <v>19</v>
      </c>
      <c r="AI5" s="11">
        <f t="shared" si="2"/>
        <v>20</v>
      </c>
      <c r="AJ5" s="11">
        <f t="shared" si="2"/>
        <v>21</v>
      </c>
      <c r="AK5" s="11">
        <f t="shared" si="2"/>
        <v>22</v>
      </c>
      <c r="AL5" s="11">
        <f t="shared" si="2"/>
        <v>23</v>
      </c>
      <c r="AM5" s="11">
        <f t="shared" si="2"/>
        <v>24</v>
      </c>
      <c r="AN5" s="11">
        <f t="shared" si="2"/>
        <v>25</v>
      </c>
      <c r="AO5" s="11">
        <f t="shared" si="2"/>
        <v>26</v>
      </c>
      <c r="AP5" s="11">
        <f t="shared" si="2"/>
        <v>27</v>
      </c>
      <c r="AQ5" s="11">
        <f t="shared" si="2"/>
        <v>28</v>
      </c>
      <c r="AR5" s="11">
        <f t="shared" si="2"/>
        <v>29</v>
      </c>
      <c r="AS5" s="11">
        <f t="shared" si="2"/>
        <v>30</v>
      </c>
      <c r="AT5" s="11">
        <f t="shared" si="2"/>
        <v>31</v>
      </c>
      <c r="AU5" s="11">
        <f t="shared" si="2"/>
        <v>32</v>
      </c>
      <c r="AV5" s="11">
        <f t="shared" si="2"/>
        <v>33</v>
      </c>
      <c r="AW5" s="11">
        <f t="shared" si="2"/>
        <v>34</v>
      </c>
      <c r="AX5" s="11">
        <f t="shared" si="2"/>
        <v>35</v>
      </c>
      <c r="AY5" s="11">
        <f t="shared" si="2"/>
        <v>36</v>
      </c>
      <c r="AZ5" s="11">
        <f t="shared" si="2"/>
        <v>37</v>
      </c>
      <c r="BA5" s="11">
        <f t="shared" si="2"/>
        <v>38</v>
      </c>
      <c r="BB5" s="11">
        <f t="shared" si="2"/>
        <v>39</v>
      </c>
    </row>
    <row r="6" spans="1:54" ht="15" customHeight="1"/>
    <row r="7" spans="1:54" ht="15" customHeight="1">
      <c r="B7" s="166" t="s">
        <v>131</v>
      </c>
      <c r="C7" s="74"/>
      <c r="D7" s="74"/>
      <c r="E7" s="74"/>
      <c r="F7" s="74"/>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74"/>
    </row>
    <row r="8" spans="1:54" ht="15" customHeight="1"/>
    <row r="9" spans="1:54" s="59" customFormat="1" ht="15" customHeight="1">
      <c r="C9" s="38" t="s">
        <v>132</v>
      </c>
      <c r="D9" s="40"/>
      <c r="E9" s="40"/>
      <c r="F9" s="40"/>
      <c r="G9" s="40"/>
      <c r="H9" s="40"/>
      <c r="I9" s="40"/>
      <c r="J9" s="40"/>
      <c r="K9" s="40"/>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0"/>
      <c r="AN9" s="40"/>
      <c r="AO9" s="40"/>
      <c r="AP9" s="40"/>
      <c r="AQ9" s="40"/>
      <c r="AR9" s="40"/>
      <c r="AS9" s="40"/>
      <c r="AT9" s="40"/>
      <c r="AU9" s="40"/>
      <c r="AV9" s="40"/>
      <c r="AW9" s="40"/>
      <c r="AX9" s="40"/>
      <c r="AY9" s="40"/>
      <c r="AZ9" s="40"/>
      <c r="BA9" s="40"/>
      <c r="BB9" s="40"/>
    </row>
    <row r="10" spans="1:54" ht="15" customHeight="1"/>
    <row r="11" spans="1:54" ht="15" customHeight="1">
      <c r="E11" s="19" t="s">
        <v>133</v>
      </c>
      <c r="I11" s="174" t="s">
        <v>134</v>
      </c>
    </row>
    <row r="12" spans="1:54" ht="15" customHeight="1"/>
    <row r="13" spans="1:54" ht="15" customHeight="1">
      <c r="E13" s="19" t="s">
        <v>135</v>
      </c>
      <c r="I13" s="174" t="s">
        <v>136</v>
      </c>
    </row>
    <row r="14" spans="1:54" ht="15" customHeight="1"/>
    <row r="15" spans="1:54" s="5" customFormat="1" ht="15" customHeight="1">
      <c r="C15" s="38" t="s">
        <v>137</v>
      </c>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row>
    <row r="16" spans="1:54" ht="15" customHeight="1"/>
    <row r="17" spans="1:54" ht="15" customHeight="1">
      <c r="E17" s="19" t="s">
        <v>138</v>
      </c>
      <c r="G17" s="19" t="s">
        <v>139</v>
      </c>
      <c r="H17"/>
      <c r="I17" s="175">
        <v>44682</v>
      </c>
      <c r="P17" s="84"/>
    </row>
    <row r="18" spans="1:54" s="142" customFormat="1" ht="15" customHeight="1">
      <c r="E18" s="19" t="s">
        <v>140</v>
      </c>
      <c r="G18" s="19" t="s">
        <v>139</v>
      </c>
      <c r="H18"/>
      <c r="I18" s="175">
        <v>44562</v>
      </c>
    </row>
    <row r="19" spans="1:54" ht="15" customHeight="1">
      <c r="E19" s="19" t="s">
        <v>141</v>
      </c>
      <c r="G19" s="19" t="s">
        <v>139</v>
      </c>
      <c r="H19"/>
      <c r="I19" s="175">
        <v>44926</v>
      </c>
    </row>
    <row r="20" spans="1:54" ht="15" customHeight="1">
      <c r="E20" s="19" t="s">
        <v>142</v>
      </c>
      <c r="G20" s="19" t="s">
        <v>139</v>
      </c>
      <c r="I20" s="39">
        <f>DATE(YEAR(I18)-1,MONTH(I18),DAY(I18))</f>
        <v>44197</v>
      </c>
    </row>
    <row r="21" spans="1:54" ht="15" customHeight="1">
      <c r="E21" s="19" t="s">
        <v>143</v>
      </c>
      <c r="G21" s="19" t="s">
        <v>144</v>
      </c>
      <c r="I21" s="176">
        <v>26</v>
      </c>
    </row>
    <row r="22" spans="1:54" ht="15" customHeight="1">
      <c r="E22" s="19" t="s">
        <v>145</v>
      </c>
      <c r="G22" s="19" t="s">
        <v>146</v>
      </c>
      <c r="I22" s="19">
        <f>MONTH(I18)</f>
        <v>1</v>
      </c>
    </row>
    <row r="23" spans="1:54" ht="15" customHeight="1"/>
    <row r="24" spans="1:54" ht="15" customHeight="1">
      <c r="E24" s="19" t="s">
        <v>147</v>
      </c>
      <c r="G24" s="19" t="s">
        <v>148</v>
      </c>
      <c r="I24" s="206">
        <v>22.591780821917801</v>
      </c>
    </row>
    <row r="25" spans="1:54" ht="15" customHeight="1">
      <c r="I25" s="84"/>
    </row>
    <row r="26" spans="1:54" s="59" customFormat="1" ht="15" customHeight="1">
      <c r="C26" s="38" t="s">
        <v>149</v>
      </c>
      <c r="D26" s="40"/>
      <c r="E26" s="40"/>
      <c r="F26" s="40"/>
      <c r="G26" s="40"/>
      <c r="H26" s="40"/>
      <c r="I26" s="207"/>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row>
    <row r="27" spans="1:54" ht="15" customHeight="1">
      <c r="I27" s="84"/>
    </row>
    <row r="28" spans="1:54" ht="15" customHeight="1">
      <c r="A28"/>
      <c r="E28" s="19" t="s">
        <v>150</v>
      </c>
      <c r="G28" s="5" t="str">
        <f>base_year</f>
        <v>£m 2020</v>
      </c>
      <c r="H28" s="19" t="s">
        <v>151</v>
      </c>
      <c r="I28" s="206">
        <v>31.178949750164392</v>
      </c>
    </row>
    <row r="29" spans="1:54" ht="15" customHeight="1">
      <c r="A29"/>
      <c r="E29" s="19" t="s">
        <v>152</v>
      </c>
      <c r="G29" s="5" t="str">
        <f>base_year</f>
        <v>£m 2020</v>
      </c>
      <c r="H29" s="19" t="s">
        <v>153</v>
      </c>
      <c r="I29" s="206">
        <v>15.546731746667863</v>
      </c>
    </row>
    <row r="30" spans="1:54" ht="15" customHeight="1">
      <c r="A30"/>
      <c r="E30" s="19" t="s">
        <v>154</v>
      </c>
      <c r="G30" s="5" t="str">
        <f>base_year</f>
        <v>£m 2020</v>
      </c>
      <c r="H30" s="19" t="s">
        <v>155</v>
      </c>
      <c r="I30" s="206">
        <v>7.7487285212424872</v>
      </c>
    </row>
    <row r="31" spans="1:54" ht="15" customHeight="1">
      <c r="A31"/>
      <c r="E31" s="19" t="s">
        <v>156</v>
      </c>
      <c r="G31" s="5" t="str">
        <f>base_year</f>
        <v>£m 2020</v>
      </c>
      <c r="I31" s="206">
        <v>10.812949097432035</v>
      </c>
    </row>
    <row r="32" spans="1:54" ht="15" customHeight="1">
      <c r="I32" s="85"/>
    </row>
    <row r="33" spans="1:54" ht="15" customHeight="1">
      <c r="E33" s="19" t="s">
        <v>157</v>
      </c>
      <c r="G33" s="5" t="str">
        <f>base_year</f>
        <v>£m 2020</v>
      </c>
      <c r="H33" s="19" t="s">
        <v>158</v>
      </c>
      <c r="I33" s="206">
        <v>0.21404524999999999</v>
      </c>
    </row>
    <row r="34" spans="1:54" ht="15" customHeight="1">
      <c r="E34" s="19" t="s">
        <v>159</v>
      </c>
      <c r="G34" s="5" t="str">
        <f>base_year</f>
        <v>£m 2020</v>
      </c>
      <c r="H34" s="19" t="s">
        <v>160</v>
      </c>
      <c r="I34" s="206">
        <v>0.583640253</v>
      </c>
    </row>
    <row r="35" spans="1:54" ht="15" customHeight="1">
      <c r="E35" s="19" t="s">
        <v>161</v>
      </c>
      <c r="G35" s="5" t="str">
        <f>base_year</f>
        <v>£m 2020</v>
      </c>
      <c r="H35" s="19" t="s">
        <v>162</v>
      </c>
      <c r="I35" s="206">
        <v>-1.2566136189999999</v>
      </c>
    </row>
    <row r="36" spans="1:54" ht="15" customHeight="1">
      <c r="E36" s="19" t="s">
        <v>163</v>
      </c>
      <c r="G36" s="5" t="str">
        <f>base_year</f>
        <v>£m 2020</v>
      </c>
      <c r="I36" s="206">
        <v>0</v>
      </c>
    </row>
    <row r="37" spans="1:54" ht="15" customHeight="1">
      <c r="G37" s="5"/>
      <c r="I37" s="71"/>
    </row>
    <row r="38" spans="1:54" s="59" customFormat="1" ht="15" customHeight="1">
      <c r="C38" s="38" t="s">
        <v>164</v>
      </c>
      <c r="D38" s="40"/>
      <c r="E38" s="40"/>
      <c r="F38" s="40"/>
      <c r="G38" s="40"/>
      <c r="H38" s="40"/>
      <c r="I38" s="40"/>
      <c r="J38" s="40"/>
      <c r="K38" s="40"/>
      <c r="L38" s="40"/>
      <c r="M38" s="40"/>
      <c r="N38" s="40"/>
      <c r="O38" s="40"/>
      <c r="P38" s="40"/>
      <c r="Q38" s="40"/>
      <c r="R38" s="40"/>
      <c r="S38" s="40"/>
      <c r="T38" s="40"/>
      <c r="U38" s="40"/>
      <c r="V38" s="40"/>
      <c r="W38" s="40"/>
      <c r="X38" s="40"/>
      <c r="Y38" s="40"/>
      <c r="Z38" s="40"/>
      <c r="AA38" s="40"/>
      <c r="AB38" s="40"/>
      <c r="AC38" s="40"/>
      <c r="AD38" s="40"/>
      <c r="AE38" s="40"/>
      <c r="AF38" s="40"/>
      <c r="AG38" s="40"/>
      <c r="AH38" s="40"/>
      <c r="AI38" s="40"/>
      <c r="AJ38" s="40"/>
      <c r="AK38" s="40"/>
      <c r="AL38" s="40"/>
      <c r="AM38" s="40"/>
      <c r="AN38" s="40"/>
      <c r="AO38" s="40"/>
      <c r="AP38" s="40"/>
      <c r="AQ38" s="40"/>
      <c r="AR38" s="40"/>
      <c r="AS38" s="40"/>
      <c r="AT38" s="40"/>
      <c r="AU38" s="40"/>
      <c r="AV38" s="40"/>
      <c r="AW38" s="40"/>
      <c r="AX38" s="40"/>
      <c r="AY38" s="40"/>
      <c r="AZ38" s="40"/>
      <c r="BA38" s="40"/>
      <c r="BB38" s="40"/>
    </row>
    <row r="39" spans="1:54" ht="15" customHeight="1">
      <c r="A39"/>
      <c r="B39"/>
    </row>
    <row r="40" spans="1:54" ht="15" customHeight="1">
      <c r="A40"/>
      <c r="B40"/>
      <c r="E40" s="19" t="s">
        <v>165</v>
      </c>
      <c r="G40" s="5" t="str">
        <f>base_year</f>
        <v>£m 2020</v>
      </c>
      <c r="O40" s="31"/>
      <c r="P40" s="177">
        <v>0</v>
      </c>
      <c r="Q40" s="177">
        <v>0</v>
      </c>
      <c r="R40" s="177">
        <v>0</v>
      </c>
      <c r="S40" s="177">
        <v>0</v>
      </c>
      <c r="T40" s="177">
        <v>0</v>
      </c>
      <c r="U40" s="177">
        <v>0</v>
      </c>
      <c r="V40" s="177">
        <v>0</v>
      </c>
      <c r="W40" s="177">
        <v>0</v>
      </c>
      <c r="X40" s="177">
        <v>0</v>
      </c>
      <c r="Y40" s="177">
        <v>0</v>
      </c>
      <c r="Z40" s="177">
        <v>0</v>
      </c>
      <c r="AA40" s="177">
        <v>0</v>
      </c>
      <c r="AB40" s="177">
        <v>0</v>
      </c>
      <c r="AC40" s="177">
        <v>0</v>
      </c>
      <c r="AD40" s="177">
        <v>0</v>
      </c>
      <c r="AE40" s="177">
        <v>0</v>
      </c>
      <c r="AF40" s="177">
        <v>0</v>
      </c>
      <c r="AG40" s="177">
        <v>0</v>
      </c>
      <c r="AH40" s="177">
        <v>0</v>
      </c>
      <c r="AI40" s="177">
        <v>0</v>
      </c>
      <c r="AJ40" s="177">
        <v>0</v>
      </c>
      <c r="AK40" s="177">
        <v>0</v>
      </c>
      <c r="AL40" s="177">
        <v>0</v>
      </c>
      <c r="AM40" s="177">
        <v>0</v>
      </c>
      <c r="AN40" s="177">
        <v>3.520054633531112</v>
      </c>
      <c r="AO40" s="177">
        <v>0</v>
      </c>
      <c r="AP40" s="177">
        <v>0</v>
      </c>
      <c r="AQ40" s="177">
        <v>0</v>
      </c>
      <c r="AR40" s="177">
        <v>0</v>
      </c>
      <c r="AS40" s="177">
        <v>0</v>
      </c>
      <c r="AT40" s="177">
        <v>0</v>
      </c>
      <c r="AU40" s="177">
        <v>0</v>
      </c>
      <c r="AV40" s="177">
        <v>0</v>
      </c>
      <c r="AW40" s="177">
        <v>0</v>
      </c>
      <c r="AX40" s="177">
        <v>0</v>
      </c>
      <c r="AY40" s="177">
        <v>0</v>
      </c>
      <c r="AZ40" s="177">
        <v>0</v>
      </c>
      <c r="BA40" s="177">
        <v>0</v>
      </c>
      <c r="BB40" s="177">
        <v>0</v>
      </c>
    </row>
    <row r="41" spans="1:54" ht="15" customHeight="1">
      <c r="A41"/>
      <c r="B41"/>
      <c r="E41" s="19" t="s">
        <v>166</v>
      </c>
      <c r="G41" s="5" t="str">
        <f>base_year</f>
        <v>£m 2020</v>
      </c>
      <c r="O41" s="31"/>
      <c r="P41" s="177">
        <v>6.2065041758547563</v>
      </c>
      <c r="Q41" s="177">
        <v>4.4747305543047622</v>
      </c>
      <c r="R41" s="177">
        <v>6.356454429002981</v>
      </c>
      <c r="S41" s="177">
        <v>4.4146416825120136</v>
      </c>
      <c r="T41" s="177">
        <v>5.5399394443840935</v>
      </c>
      <c r="U41" s="177">
        <v>6.3569319581792119</v>
      </c>
      <c r="V41" s="177">
        <v>5.97448256962155</v>
      </c>
      <c r="W41" s="177">
        <v>4.8788477205779133</v>
      </c>
      <c r="X41" s="177">
        <v>4.3798892082642933</v>
      </c>
      <c r="Y41" s="177">
        <v>7.2122347330315026</v>
      </c>
      <c r="Z41" s="177">
        <v>3.9746975957128128</v>
      </c>
      <c r="AA41" s="177">
        <v>4.496752461184685</v>
      </c>
      <c r="AB41" s="177">
        <v>3.9752009437313118</v>
      </c>
      <c r="AC41" s="177">
        <v>4.1850896339457213</v>
      </c>
      <c r="AD41" s="177">
        <v>5.626895371229959</v>
      </c>
      <c r="AE41" s="177">
        <v>4.4505258139217299</v>
      </c>
      <c r="AF41" s="177">
        <v>3.9762381950114611</v>
      </c>
      <c r="AG41" s="177">
        <v>4.233390886467121</v>
      </c>
      <c r="AH41" s="177">
        <v>3.9767725090758641</v>
      </c>
      <c r="AI41" s="177">
        <v>4.415993104434083</v>
      </c>
      <c r="AJ41" s="177">
        <v>3.9933568361875267</v>
      </c>
      <c r="AK41" s="177">
        <v>4.1516260287397504</v>
      </c>
      <c r="AL41" s="177">
        <v>3.9778735722109784</v>
      </c>
      <c r="AM41" s="177">
        <v>4.4331444515351128</v>
      </c>
      <c r="AN41" s="177">
        <v>3.9784407573570921</v>
      </c>
      <c r="AO41" s="177">
        <v>1.0771354570066347</v>
      </c>
      <c r="AP41" s="177">
        <v>0</v>
      </c>
      <c r="AQ41" s="177">
        <v>0</v>
      </c>
      <c r="AR41" s="177">
        <v>0</v>
      </c>
      <c r="AS41" s="177">
        <v>0</v>
      </c>
      <c r="AT41" s="177">
        <v>0</v>
      </c>
      <c r="AU41" s="177">
        <v>0</v>
      </c>
      <c r="AV41" s="177">
        <v>0</v>
      </c>
      <c r="AW41" s="177">
        <v>0</v>
      </c>
      <c r="AX41" s="177">
        <v>0</v>
      </c>
      <c r="AY41" s="177">
        <v>0</v>
      </c>
      <c r="AZ41" s="177">
        <v>0</v>
      </c>
      <c r="BA41" s="177">
        <v>0</v>
      </c>
      <c r="BB41" s="177">
        <v>0</v>
      </c>
    </row>
    <row r="42" spans="1:54" ht="15" customHeight="1">
      <c r="A42"/>
      <c r="B42"/>
      <c r="E42" s="19" t="s">
        <v>167</v>
      </c>
      <c r="G42" s="5" t="str">
        <f>base_year</f>
        <v>£m 2020</v>
      </c>
      <c r="H42" s="19" t="s">
        <v>168</v>
      </c>
      <c r="O42" s="31"/>
      <c r="P42" s="177">
        <v>1.4324846504503725</v>
      </c>
      <c r="Q42" s="177">
        <v>1.4324846504503725</v>
      </c>
      <c r="R42" s="177">
        <v>1.4324846504503725</v>
      </c>
      <c r="S42" s="177">
        <v>1.4324846504503725</v>
      </c>
      <c r="T42" s="177">
        <v>1.4324846504503725</v>
      </c>
      <c r="U42" s="177">
        <v>1.4324846504503725</v>
      </c>
      <c r="V42" s="177">
        <v>1.4324846504503725</v>
      </c>
      <c r="W42" s="177">
        <v>1.4324846504503725</v>
      </c>
      <c r="X42" s="177">
        <v>1.4324846504503725</v>
      </c>
      <c r="Y42" s="177">
        <v>1.4324846504503725</v>
      </c>
      <c r="Z42" s="177">
        <v>1.4324846504503725</v>
      </c>
      <c r="AA42" s="177">
        <v>1.4324846504503725</v>
      </c>
      <c r="AB42" s="177">
        <v>1.4324846504503725</v>
      </c>
      <c r="AC42" s="177">
        <v>1.4324846504503725</v>
      </c>
      <c r="AD42" s="177">
        <v>1.4324846504503725</v>
      </c>
      <c r="AE42" s="177">
        <v>1.4324846504503725</v>
      </c>
      <c r="AF42" s="177">
        <v>1.4324846504503725</v>
      </c>
      <c r="AG42" s="177">
        <v>1.4324846504503725</v>
      </c>
      <c r="AH42" s="177">
        <v>1.4324846504503725</v>
      </c>
      <c r="AI42" s="177">
        <v>1.4324846504503725</v>
      </c>
      <c r="AJ42" s="177">
        <v>1.4324846504503725</v>
      </c>
      <c r="AK42" s="177">
        <v>1.4324846504503725</v>
      </c>
      <c r="AL42" s="177">
        <v>1.4324846504503725</v>
      </c>
      <c r="AM42" s="177">
        <v>1.4324846504503725</v>
      </c>
      <c r="AN42" s="177">
        <v>1.4324846504503725</v>
      </c>
      <c r="AO42" s="177">
        <v>0.14714778329345773</v>
      </c>
      <c r="AP42" s="177">
        <v>0</v>
      </c>
      <c r="AQ42" s="177">
        <v>0</v>
      </c>
      <c r="AR42" s="177">
        <v>0</v>
      </c>
      <c r="AS42" s="177">
        <v>0</v>
      </c>
      <c r="AT42" s="177">
        <v>0</v>
      </c>
      <c r="AU42" s="177">
        <v>0</v>
      </c>
      <c r="AV42" s="177">
        <v>0</v>
      </c>
      <c r="AW42" s="177">
        <v>0</v>
      </c>
      <c r="AX42" s="177">
        <v>0</v>
      </c>
      <c r="AY42" s="177">
        <v>0</v>
      </c>
      <c r="AZ42" s="177">
        <v>0</v>
      </c>
      <c r="BA42" s="177">
        <v>0</v>
      </c>
      <c r="BB42" s="177">
        <v>0</v>
      </c>
    </row>
    <row r="43" spans="1:54" ht="15" customHeight="1"/>
    <row r="44" spans="1:54" s="5" customFormat="1" ht="15" customHeight="1">
      <c r="C44" s="38" t="s">
        <v>169</v>
      </c>
      <c r="D44" s="38"/>
      <c r="E44" s="38"/>
      <c r="F44" s="38"/>
      <c r="G44" s="38"/>
      <c r="H44" s="38"/>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row>
    <row r="45" spans="1:54" s="5" customFormat="1" ht="15" customHeight="1">
      <c r="I45" s="6"/>
      <c r="J45" s="6"/>
      <c r="K45" s="6"/>
      <c r="L45" s="6"/>
      <c r="M45" s="6"/>
      <c r="N45" s="6"/>
      <c r="O45" s="19"/>
      <c r="P45" s="19"/>
      <c r="Q45" s="19"/>
      <c r="R45" s="19"/>
      <c r="S45" s="19"/>
      <c r="T45" s="6"/>
      <c r="U45" s="19"/>
      <c r="V45" s="19"/>
      <c r="W45" s="19"/>
      <c r="X45" s="19"/>
      <c r="Y45" s="19"/>
      <c r="Z45" s="19"/>
      <c r="AA45" s="19"/>
      <c r="AB45" s="19"/>
      <c r="AC45" s="7"/>
      <c r="AD45" s="7"/>
      <c r="AE45" s="7"/>
      <c r="AF45" s="7"/>
      <c r="AG45" s="7"/>
      <c r="AH45" s="7"/>
      <c r="AI45" s="7"/>
      <c r="AJ45" s="19"/>
      <c r="AK45" s="7"/>
      <c r="AL45" s="7"/>
      <c r="AM45" s="7"/>
      <c r="AN45" s="7"/>
      <c r="AO45" s="7"/>
      <c r="AP45" s="7"/>
      <c r="AQ45" s="7"/>
      <c r="AR45" s="7"/>
      <c r="AS45" s="7"/>
      <c r="AT45" s="7"/>
      <c r="AU45" s="7"/>
      <c r="AV45" s="7"/>
      <c r="AW45" s="7"/>
      <c r="AX45" s="7"/>
      <c r="AY45" s="7"/>
      <c r="AZ45" s="7"/>
      <c r="BA45" s="7"/>
      <c r="BB45" s="7"/>
    </row>
    <row r="46" spans="1:54" ht="15" customHeight="1">
      <c r="E46" s="19" t="s">
        <v>170</v>
      </c>
      <c r="G46" s="5" t="s">
        <v>171</v>
      </c>
      <c r="H46"/>
      <c r="I46" s="178">
        <v>8.1000000000000003E-2</v>
      </c>
      <c r="T46" s="6"/>
    </row>
    <row r="47" spans="1:54" ht="15" customHeight="1">
      <c r="E47" s="19" t="s">
        <v>172</v>
      </c>
      <c r="F47" s="5"/>
      <c r="G47" s="5" t="s">
        <v>171</v>
      </c>
      <c r="H47"/>
      <c r="I47" s="178">
        <v>-8.3999999999999995E-3</v>
      </c>
      <c r="T47" s="6"/>
    </row>
    <row r="48" spans="1:54" ht="15" customHeight="1">
      <c r="E48" s="19" t="s">
        <v>173</v>
      </c>
      <c r="G48" s="5" t="s">
        <v>171</v>
      </c>
      <c r="H48"/>
      <c r="I48" s="178">
        <v>-1.14E-2</v>
      </c>
      <c r="T48" s="6"/>
    </row>
    <row r="49" spans="1:55" ht="15" customHeight="1"/>
    <row r="50" spans="1:55" s="5" customFormat="1" ht="15" customHeight="1">
      <c r="C50" s="38" t="s">
        <v>174</v>
      </c>
      <c r="D50" s="38"/>
      <c r="E50" s="38"/>
      <c r="F50" s="38"/>
      <c r="G50" s="38"/>
      <c r="H50" s="38"/>
      <c r="I50" s="38"/>
      <c r="J50" s="38"/>
      <c r="K50" s="38"/>
      <c r="L50" s="38"/>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row>
    <row r="51" spans="1:55" ht="15" customHeight="1"/>
    <row r="52" spans="1:55" ht="27" customHeight="1">
      <c r="E52" s="135" t="s">
        <v>175</v>
      </c>
      <c r="G52" s="134" t="s">
        <v>176</v>
      </c>
      <c r="H52" s="134" t="s">
        <v>177</v>
      </c>
      <c r="I52" s="46">
        <v>293.10000000000002</v>
      </c>
    </row>
    <row r="53" spans="1:55" s="146" customFormat="1" ht="27" customHeight="1">
      <c r="A53" s="19"/>
      <c r="B53" s="19"/>
      <c r="C53" s="19"/>
      <c r="D53" s="19"/>
      <c r="E53" s="146" t="s">
        <v>178</v>
      </c>
      <c r="G53" s="147"/>
      <c r="H53" s="147" t="s">
        <v>179</v>
      </c>
      <c r="I53" s="148"/>
      <c r="J53" s="19"/>
      <c r="K53" s="19"/>
      <c r="L53" s="19"/>
      <c r="M53" s="19"/>
      <c r="N53" s="19"/>
      <c r="O53" s="19"/>
      <c r="P53" s="19"/>
      <c r="Q53" s="19"/>
      <c r="R53" s="19"/>
      <c r="S53" s="19"/>
      <c r="T53" s="19"/>
      <c r="U53" s="19"/>
      <c r="V53" s="19"/>
      <c r="W53" s="19"/>
      <c r="X53" s="19"/>
      <c r="Y53" s="19"/>
      <c r="Z53" s="19"/>
      <c r="AA53" s="19"/>
      <c r="AB53" s="19"/>
      <c r="AC53" s="19"/>
      <c r="AD53" s="19"/>
      <c r="AE53" s="19"/>
      <c r="AF53" s="19"/>
      <c r="AG53" s="19"/>
      <c r="AH53" s="19"/>
      <c r="AI53" s="19"/>
      <c r="AJ53" s="19"/>
      <c r="AK53" s="19"/>
      <c r="AL53" s="19"/>
      <c r="AM53" s="19"/>
      <c r="AN53" s="19"/>
      <c r="AO53" s="19"/>
      <c r="AP53" s="19"/>
      <c r="AQ53" s="19"/>
      <c r="AR53" s="19"/>
      <c r="AS53" s="19"/>
      <c r="AT53" s="19"/>
      <c r="AU53" s="19"/>
      <c r="AV53" s="19"/>
      <c r="AW53" s="19"/>
      <c r="AX53" s="19"/>
      <c r="AY53" s="19"/>
      <c r="AZ53" s="19"/>
      <c r="BA53" s="19"/>
      <c r="BB53" s="19"/>
      <c r="BC53" s="19"/>
    </row>
    <row r="54" spans="1:55" s="146" customFormat="1" ht="27" customHeight="1">
      <c r="A54" s="19"/>
      <c r="B54" s="19"/>
      <c r="C54" s="19"/>
      <c r="D54" s="19"/>
      <c r="E54" s="146" t="s">
        <v>180</v>
      </c>
      <c r="G54" s="147" t="s">
        <v>181</v>
      </c>
      <c r="H54" s="147" t="s">
        <v>182</v>
      </c>
      <c r="I54" s="148"/>
      <c r="J54" s="19"/>
      <c r="K54" s="19"/>
      <c r="L54" s="19"/>
      <c r="M54" s="19"/>
      <c r="N54" s="19"/>
      <c r="O54" s="19"/>
      <c r="P54" s="19"/>
      <c r="Q54" s="19"/>
      <c r="R54" s="19"/>
      <c r="S54" s="19"/>
      <c r="T54" s="19"/>
      <c r="U54" s="19"/>
      <c r="V54" s="19"/>
      <c r="W54" s="19"/>
      <c r="X54" s="19"/>
      <c r="Y54" s="19"/>
      <c r="Z54" s="19"/>
      <c r="AA54" s="19"/>
      <c r="AB54" s="19"/>
      <c r="AC54" s="19"/>
      <c r="AD54" s="19"/>
      <c r="AE54" s="19"/>
      <c r="AF54" s="19"/>
      <c r="AG54" s="19"/>
      <c r="AH54" s="19"/>
      <c r="AI54" s="19"/>
      <c r="AJ54" s="19"/>
      <c r="AK54" s="19"/>
      <c r="AL54" s="19"/>
      <c r="AM54" s="19"/>
      <c r="AN54" s="19"/>
      <c r="AO54" s="19"/>
      <c r="AP54" s="19"/>
      <c r="AQ54" s="19"/>
      <c r="AR54" s="19"/>
      <c r="AS54" s="19"/>
      <c r="AT54" s="19"/>
      <c r="AU54" s="19"/>
      <c r="AV54" s="19"/>
      <c r="AW54" s="19"/>
      <c r="AX54" s="19"/>
      <c r="AY54" s="19"/>
      <c r="AZ54" s="19"/>
      <c r="BA54" s="19"/>
      <c r="BB54" s="19"/>
      <c r="BC54" s="19"/>
    </row>
    <row r="55" spans="1:55" ht="15" customHeight="1"/>
    <row r="56" spans="1:55" s="5" customFormat="1" ht="15" customHeight="1">
      <c r="B56" s="166" t="s">
        <v>183</v>
      </c>
      <c r="C56" s="34"/>
      <c r="D56" s="34"/>
      <c r="E56" s="34"/>
      <c r="F56" s="34"/>
      <c r="G56" s="34"/>
      <c r="H56" s="34"/>
      <c r="I56" s="34"/>
      <c r="J56" s="34"/>
      <c r="K56" s="34"/>
      <c r="L56" s="34"/>
      <c r="M56" s="34"/>
      <c r="N56" s="34"/>
      <c r="O56" s="34"/>
      <c r="P56" s="34"/>
      <c r="Q56" s="34"/>
      <c r="R56" s="34"/>
      <c r="S56" s="34"/>
      <c r="T56" s="34"/>
      <c r="U56" s="34"/>
      <c r="V56" s="34"/>
      <c r="W56" s="34"/>
      <c r="X56" s="34"/>
      <c r="Y56" s="34"/>
      <c r="Z56" s="34"/>
      <c r="AA56" s="34"/>
      <c r="AB56" s="34"/>
      <c r="AC56" s="34"/>
      <c r="AD56" s="34"/>
      <c r="AE56" s="34"/>
      <c r="AF56" s="34"/>
      <c r="AG56" s="34"/>
      <c r="AH56" s="34"/>
      <c r="AI56" s="34"/>
      <c r="AJ56" s="34"/>
      <c r="AK56" s="34"/>
      <c r="AL56" s="34"/>
      <c r="AM56" s="34"/>
      <c r="AN56" s="34"/>
      <c r="AO56" s="34"/>
      <c r="AP56" s="34"/>
      <c r="AQ56" s="34"/>
      <c r="AR56" s="34"/>
      <c r="AS56" s="34"/>
      <c r="AT56" s="34"/>
      <c r="AU56" s="34"/>
      <c r="AV56" s="34"/>
      <c r="AW56" s="34"/>
      <c r="AX56" s="34"/>
      <c r="AY56" s="34"/>
      <c r="AZ56" s="34"/>
      <c r="BA56" s="34"/>
      <c r="BB56" s="34"/>
    </row>
    <row r="57" spans="1:55" s="5" customFormat="1" ht="15" customHeight="1">
      <c r="B57" s="70"/>
    </row>
    <row r="58" spans="1:55" s="5" customFormat="1" ht="15" customHeight="1">
      <c r="C58" s="38" t="s">
        <v>137</v>
      </c>
      <c r="D58" s="38"/>
      <c r="E58" s="38"/>
      <c r="F58" s="38"/>
      <c r="G58" s="38"/>
      <c r="H58" s="38"/>
      <c r="I58" s="38"/>
      <c r="J58" s="38"/>
      <c r="K58" s="38"/>
      <c r="L58" s="38"/>
      <c r="M58" s="38"/>
      <c r="N58" s="38"/>
      <c r="O58" s="38"/>
      <c r="P58" s="38"/>
      <c r="Q58" s="38"/>
      <c r="R58" s="38"/>
      <c r="S58" s="38"/>
      <c r="T58" s="38"/>
      <c r="U58" s="38"/>
      <c r="V58" s="38"/>
      <c r="W58" s="38"/>
      <c r="X58" s="38"/>
      <c r="Y58" s="38"/>
      <c r="Z58" s="38"/>
      <c r="AA58" s="38"/>
      <c r="AB58" s="38"/>
      <c r="AC58" s="38"/>
      <c r="AD58" s="38"/>
      <c r="AE58" s="38"/>
      <c r="AF58" s="38"/>
      <c r="AG58" s="38"/>
      <c r="AH58" s="38"/>
      <c r="AI58" s="38"/>
      <c r="AJ58" s="38"/>
      <c r="AK58" s="38"/>
      <c r="AL58" s="38"/>
      <c r="AM58" s="38"/>
      <c r="AN58" s="38"/>
      <c r="AO58" s="38"/>
      <c r="AP58" s="38"/>
      <c r="AQ58" s="38"/>
      <c r="AR58" s="38"/>
      <c r="AS58" s="38"/>
      <c r="AT58" s="38"/>
      <c r="AU58" s="38"/>
      <c r="AV58" s="38"/>
      <c r="AW58" s="38"/>
      <c r="AX58" s="38"/>
      <c r="AY58" s="38"/>
      <c r="AZ58" s="38"/>
      <c r="BA58" s="38"/>
      <c r="BB58" s="38"/>
    </row>
    <row r="59" spans="1:55" s="5" customFormat="1" ht="15" customHeight="1">
      <c r="C59" s="3" t="s">
        <v>184</v>
      </c>
      <c r="D59" s="2"/>
      <c r="E59" s="2"/>
      <c r="F59" s="2"/>
      <c r="G59" s="2"/>
      <c r="H59" s="2"/>
      <c r="I59" s="2"/>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19"/>
    </row>
    <row r="60" spans="1:55" ht="15" customHeight="1"/>
    <row r="61" spans="1:55" ht="15" customHeight="1">
      <c r="E61" s="39" t="str">
        <f>E17</f>
        <v>Regime start date</v>
      </c>
      <c r="G61" s="19" t="s">
        <v>139</v>
      </c>
      <c r="I61" s="39">
        <f>I17</f>
        <v>44682</v>
      </c>
    </row>
    <row r="62" spans="1:55" s="141" customFormat="1" ht="15" customHeight="1">
      <c r="A62" s="19"/>
      <c r="B62" s="19"/>
      <c r="C62" s="19"/>
      <c r="D62" s="19"/>
      <c r="E62" s="39" t="str">
        <f>E18</f>
        <v>Start of year of regime start date</v>
      </c>
      <c r="F62" s="19"/>
      <c r="G62" s="19" t="s">
        <v>139</v>
      </c>
      <c r="H62" s="19"/>
      <c r="I62" s="39">
        <f>I18</f>
        <v>44562</v>
      </c>
      <c r="J62" s="142"/>
      <c r="K62" s="142"/>
      <c r="L62" s="142"/>
      <c r="M62" s="142"/>
      <c r="N62" s="142"/>
      <c r="O62" s="142"/>
      <c r="P62" s="142"/>
      <c r="Q62" s="142"/>
      <c r="R62" s="142"/>
      <c r="S62" s="142"/>
      <c r="T62" s="142"/>
      <c r="U62" s="142"/>
      <c r="V62" s="142"/>
      <c r="W62" s="142"/>
      <c r="X62" s="142"/>
      <c r="Y62" s="142"/>
      <c r="Z62" s="142"/>
      <c r="AA62" s="142"/>
      <c r="AB62" s="142"/>
      <c r="AC62" s="142"/>
      <c r="AD62" s="142"/>
      <c r="AE62" s="142"/>
      <c r="AF62" s="142"/>
      <c r="AG62" s="142"/>
      <c r="AH62" s="142"/>
      <c r="AI62" s="142"/>
      <c r="AJ62" s="142"/>
      <c r="AK62" s="142"/>
      <c r="AL62" s="142"/>
      <c r="AM62" s="142"/>
      <c r="AN62" s="142"/>
      <c r="AO62" s="142"/>
      <c r="AP62" s="142"/>
      <c r="AQ62" s="142"/>
      <c r="AR62" s="142"/>
      <c r="AS62" s="142"/>
      <c r="AT62" s="142"/>
      <c r="AU62" s="142"/>
      <c r="AV62" s="142"/>
      <c r="AW62" s="142"/>
      <c r="AX62" s="142"/>
      <c r="AY62" s="142"/>
      <c r="AZ62" s="142"/>
      <c r="BA62" s="142"/>
      <c r="BB62" s="142"/>
      <c r="BC62" s="142"/>
    </row>
    <row r="63" spans="1:55" ht="15" customHeight="1">
      <c r="E63" s="39" t="str">
        <f>E19</f>
        <v>End of year of first regime year</v>
      </c>
      <c r="G63" s="19" t="s">
        <v>139</v>
      </c>
      <c r="I63" s="39">
        <f>I19</f>
        <v>44926</v>
      </c>
    </row>
    <row r="64" spans="1:55" ht="15" customHeight="1">
      <c r="E64" s="19" t="s">
        <v>185</v>
      </c>
      <c r="G64" s="19" t="s">
        <v>186</v>
      </c>
      <c r="I64" s="39"/>
      <c r="O64" s="154">
        <f t="shared" ref="O64:BB64" si="3">O4-O3+1</f>
        <v>365</v>
      </c>
      <c r="P64" s="154">
        <f t="shared" si="3"/>
        <v>365</v>
      </c>
      <c r="Q64" s="154">
        <f t="shared" si="3"/>
        <v>365</v>
      </c>
      <c r="R64" s="154">
        <f t="shared" si="3"/>
        <v>366</v>
      </c>
      <c r="S64" s="154">
        <f t="shared" si="3"/>
        <v>365</v>
      </c>
      <c r="T64" s="154">
        <f t="shared" si="3"/>
        <v>365</v>
      </c>
      <c r="U64" s="154">
        <f t="shared" si="3"/>
        <v>365</v>
      </c>
      <c r="V64" s="154">
        <f t="shared" si="3"/>
        <v>366</v>
      </c>
      <c r="W64" s="154">
        <f t="shared" si="3"/>
        <v>365</v>
      </c>
      <c r="X64" s="154">
        <f t="shared" si="3"/>
        <v>365</v>
      </c>
      <c r="Y64" s="154">
        <f t="shared" si="3"/>
        <v>365</v>
      </c>
      <c r="Z64" s="154">
        <f t="shared" si="3"/>
        <v>366</v>
      </c>
      <c r="AA64" s="154">
        <f t="shared" si="3"/>
        <v>365</v>
      </c>
      <c r="AB64" s="154">
        <f t="shared" si="3"/>
        <v>365</v>
      </c>
      <c r="AC64" s="154">
        <f t="shared" si="3"/>
        <v>365</v>
      </c>
      <c r="AD64" s="154">
        <f t="shared" si="3"/>
        <v>366</v>
      </c>
      <c r="AE64" s="154">
        <f t="shared" si="3"/>
        <v>365</v>
      </c>
      <c r="AF64" s="154">
        <f t="shared" si="3"/>
        <v>365</v>
      </c>
      <c r="AG64" s="154">
        <f t="shared" si="3"/>
        <v>365</v>
      </c>
      <c r="AH64" s="154">
        <f t="shared" si="3"/>
        <v>366</v>
      </c>
      <c r="AI64" s="154">
        <f t="shared" si="3"/>
        <v>365</v>
      </c>
      <c r="AJ64" s="154">
        <f t="shared" si="3"/>
        <v>365</v>
      </c>
      <c r="AK64" s="154">
        <f t="shared" si="3"/>
        <v>365</v>
      </c>
      <c r="AL64" s="154">
        <f t="shared" si="3"/>
        <v>366</v>
      </c>
      <c r="AM64" s="154">
        <f t="shared" si="3"/>
        <v>365</v>
      </c>
      <c r="AN64" s="154">
        <f t="shared" si="3"/>
        <v>365</v>
      </c>
      <c r="AO64" s="154">
        <f t="shared" si="3"/>
        <v>365</v>
      </c>
      <c r="AP64" s="154">
        <f t="shared" si="3"/>
        <v>366</v>
      </c>
      <c r="AQ64" s="154">
        <f t="shared" si="3"/>
        <v>365</v>
      </c>
      <c r="AR64" s="154">
        <f t="shared" si="3"/>
        <v>365</v>
      </c>
      <c r="AS64" s="154">
        <f t="shared" si="3"/>
        <v>365</v>
      </c>
      <c r="AT64" s="154">
        <f t="shared" si="3"/>
        <v>366</v>
      </c>
      <c r="AU64" s="154">
        <f t="shared" si="3"/>
        <v>365</v>
      </c>
      <c r="AV64" s="154">
        <f t="shared" si="3"/>
        <v>365</v>
      </c>
      <c r="AW64" s="154">
        <f t="shared" si="3"/>
        <v>365</v>
      </c>
      <c r="AX64" s="154">
        <f t="shared" si="3"/>
        <v>366</v>
      </c>
      <c r="AY64" s="154">
        <f t="shared" si="3"/>
        <v>365</v>
      </c>
      <c r="AZ64" s="154">
        <f t="shared" si="3"/>
        <v>365</v>
      </c>
      <c r="BA64" s="154">
        <f t="shared" si="3"/>
        <v>365</v>
      </c>
      <c r="BB64" s="154">
        <f t="shared" si="3"/>
        <v>366</v>
      </c>
    </row>
    <row r="65" spans="2:54" ht="15" customHeight="1">
      <c r="I65" s="39"/>
    </row>
    <row r="66" spans="2:54" ht="15" customHeight="1">
      <c r="E66" s="19" t="s">
        <v>187</v>
      </c>
      <c r="G66" s="19" t="s">
        <v>188</v>
      </c>
      <c r="O66" s="154">
        <f t="shared" ref="O66:BB66" si="4">IF($I$63=O$4,1,0)</f>
        <v>0</v>
      </c>
      <c r="P66" s="154">
        <f t="shared" si="4"/>
        <v>1</v>
      </c>
      <c r="Q66" s="154">
        <f t="shared" si="4"/>
        <v>0</v>
      </c>
      <c r="R66" s="154">
        <f t="shared" si="4"/>
        <v>0</v>
      </c>
      <c r="S66" s="154">
        <f t="shared" si="4"/>
        <v>0</v>
      </c>
      <c r="T66" s="154">
        <f t="shared" si="4"/>
        <v>0</v>
      </c>
      <c r="U66" s="154">
        <f t="shared" si="4"/>
        <v>0</v>
      </c>
      <c r="V66" s="154">
        <f t="shared" si="4"/>
        <v>0</v>
      </c>
      <c r="W66" s="154">
        <f t="shared" si="4"/>
        <v>0</v>
      </c>
      <c r="X66" s="154">
        <f t="shared" si="4"/>
        <v>0</v>
      </c>
      <c r="Y66" s="154">
        <f t="shared" si="4"/>
        <v>0</v>
      </c>
      <c r="Z66" s="154">
        <f t="shared" si="4"/>
        <v>0</v>
      </c>
      <c r="AA66" s="154">
        <f t="shared" si="4"/>
        <v>0</v>
      </c>
      <c r="AB66" s="154">
        <f t="shared" si="4"/>
        <v>0</v>
      </c>
      <c r="AC66" s="154">
        <f t="shared" si="4"/>
        <v>0</v>
      </c>
      <c r="AD66" s="154">
        <f t="shared" si="4"/>
        <v>0</v>
      </c>
      <c r="AE66" s="154">
        <f t="shared" si="4"/>
        <v>0</v>
      </c>
      <c r="AF66" s="154">
        <f t="shared" si="4"/>
        <v>0</v>
      </c>
      <c r="AG66" s="154">
        <f t="shared" si="4"/>
        <v>0</v>
      </c>
      <c r="AH66" s="154">
        <f t="shared" si="4"/>
        <v>0</v>
      </c>
      <c r="AI66" s="154">
        <f t="shared" si="4"/>
        <v>0</v>
      </c>
      <c r="AJ66" s="154">
        <f t="shared" si="4"/>
        <v>0</v>
      </c>
      <c r="AK66" s="154">
        <f t="shared" si="4"/>
        <v>0</v>
      </c>
      <c r="AL66" s="154">
        <f t="shared" si="4"/>
        <v>0</v>
      </c>
      <c r="AM66" s="154">
        <f t="shared" si="4"/>
        <v>0</v>
      </c>
      <c r="AN66" s="154">
        <f t="shared" si="4"/>
        <v>0</v>
      </c>
      <c r="AO66" s="154">
        <f t="shared" si="4"/>
        <v>0</v>
      </c>
      <c r="AP66" s="154">
        <f t="shared" si="4"/>
        <v>0</v>
      </c>
      <c r="AQ66" s="154">
        <f t="shared" si="4"/>
        <v>0</v>
      </c>
      <c r="AR66" s="154">
        <f t="shared" si="4"/>
        <v>0</v>
      </c>
      <c r="AS66" s="154">
        <f t="shared" si="4"/>
        <v>0</v>
      </c>
      <c r="AT66" s="154">
        <f t="shared" si="4"/>
        <v>0</v>
      </c>
      <c r="AU66" s="154">
        <f t="shared" si="4"/>
        <v>0</v>
      </c>
      <c r="AV66" s="154">
        <f t="shared" si="4"/>
        <v>0</v>
      </c>
      <c r="AW66" s="154">
        <f t="shared" si="4"/>
        <v>0</v>
      </c>
      <c r="AX66" s="154">
        <f t="shared" si="4"/>
        <v>0</v>
      </c>
      <c r="AY66" s="154">
        <f t="shared" si="4"/>
        <v>0</v>
      </c>
      <c r="AZ66" s="154">
        <f t="shared" si="4"/>
        <v>0</v>
      </c>
      <c r="BA66" s="154">
        <f t="shared" si="4"/>
        <v>0</v>
      </c>
      <c r="BB66" s="154">
        <f t="shared" si="4"/>
        <v>0</v>
      </c>
    </row>
    <row r="67" spans="2:54" ht="15" customHeight="1">
      <c r="E67" s="19" t="s">
        <v>189</v>
      </c>
      <c r="G67" s="19" t="s">
        <v>139</v>
      </c>
      <c r="H67" s="39"/>
      <c r="I67" s="39">
        <f>DATE(YEAR($I$61)-1+I21,MONTH($I$61),DAY($I$61))-1</f>
        <v>53812</v>
      </c>
      <c r="O67" s="84"/>
      <c r="P67" s="84"/>
      <c r="Q67" s="84"/>
      <c r="R67" s="84"/>
      <c r="S67" s="84"/>
      <c r="T67" s="84"/>
      <c r="U67" s="84"/>
      <c r="V67" s="84"/>
      <c r="W67" s="84"/>
      <c r="X67" s="84"/>
      <c r="Y67" s="84"/>
      <c r="Z67" s="84"/>
      <c r="AA67" s="84"/>
      <c r="AB67" s="84"/>
      <c r="AC67" s="84"/>
      <c r="AD67" s="84"/>
      <c r="AE67" s="84"/>
      <c r="AF67" s="84"/>
      <c r="AG67" s="84"/>
      <c r="AH67" s="84"/>
      <c r="AI67" s="84"/>
      <c r="AJ67" s="84"/>
      <c r="AK67" s="84"/>
      <c r="AL67" s="84"/>
      <c r="AM67" s="84"/>
      <c r="AN67" s="84"/>
      <c r="AO67" s="84"/>
      <c r="AP67" s="84"/>
      <c r="AQ67" s="84"/>
      <c r="AR67" s="84"/>
      <c r="AS67" s="84"/>
      <c r="AT67" s="84"/>
      <c r="AU67" s="84"/>
      <c r="AV67" s="84"/>
      <c r="AW67" s="84"/>
      <c r="AX67" s="84"/>
      <c r="AY67" s="84"/>
      <c r="AZ67" s="84"/>
      <c r="BA67" s="84"/>
      <c r="BB67" s="84"/>
    </row>
    <row r="68" spans="2:54" ht="15" customHeight="1">
      <c r="E68" s="19" t="s">
        <v>190</v>
      </c>
      <c r="G68" s="19" t="s">
        <v>188</v>
      </c>
      <c r="O68" s="154">
        <f t="shared" ref="O68:BB68" si="5">IF(AND($I67&lt;O$4,$I67&gt;=N$4),1,0)</f>
        <v>0</v>
      </c>
      <c r="P68" s="154">
        <f t="shared" si="5"/>
        <v>0</v>
      </c>
      <c r="Q68" s="154">
        <f t="shared" si="5"/>
        <v>0</v>
      </c>
      <c r="R68" s="154">
        <f t="shared" si="5"/>
        <v>0</v>
      </c>
      <c r="S68" s="154">
        <f t="shared" si="5"/>
        <v>0</v>
      </c>
      <c r="T68" s="154">
        <f t="shared" si="5"/>
        <v>0</v>
      </c>
      <c r="U68" s="154">
        <f t="shared" si="5"/>
        <v>0</v>
      </c>
      <c r="V68" s="154">
        <f t="shared" si="5"/>
        <v>0</v>
      </c>
      <c r="W68" s="154">
        <f t="shared" si="5"/>
        <v>0</v>
      </c>
      <c r="X68" s="154">
        <f t="shared" si="5"/>
        <v>0</v>
      </c>
      <c r="Y68" s="154">
        <f t="shared" si="5"/>
        <v>0</v>
      </c>
      <c r="Z68" s="154">
        <f t="shared" si="5"/>
        <v>0</v>
      </c>
      <c r="AA68" s="154">
        <f t="shared" si="5"/>
        <v>0</v>
      </c>
      <c r="AB68" s="154">
        <f t="shared" si="5"/>
        <v>0</v>
      </c>
      <c r="AC68" s="154">
        <f t="shared" si="5"/>
        <v>0</v>
      </c>
      <c r="AD68" s="154">
        <f t="shared" si="5"/>
        <v>0</v>
      </c>
      <c r="AE68" s="154">
        <f t="shared" si="5"/>
        <v>0</v>
      </c>
      <c r="AF68" s="154">
        <f t="shared" si="5"/>
        <v>0</v>
      </c>
      <c r="AG68" s="154">
        <f t="shared" si="5"/>
        <v>0</v>
      </c>
      <c r="AH68" s="154">
        <f t="shared" si="5"/>
        <v>0</v>
      </c>
      <c r="AI68" s="154">
        <f t="shared" si="5"/>
        <v>0</v>
      </c>
      <c r="AJ68" s="154">
        <f t="shared" si="5"/>
        <v>0</v>
      </c>
      <c r="AK68" s="154">
        <f t="shared" si="5"/>
        <v>0</v>
      </c>
      <c r="AL68" s="154">
        <f t="shared" si="5"/>
        <v>0</v>
      </c>
      <c r="AM68" s="154">
        <f t="shared" si="5"/>
        <v>0</v>
      </c>
      <c r="AN68" s="154">
        <f t="shared" si="5"/>
        <v>0</v>
      </c>
      <c r="AO68" s="154">
        <f t="shared" si="5"/>
        <v>1</v>
      </c>
      <c r="AP68" s="154">
        <f t="shared" si="5"/>
        <v>0</v>
      </c>
      <c r="AQ68" s="154">
        <f t="shared" si="5"/>
        <v>0</v>
      </c>
      <c r="AR68" s="154">
        <f t="shared" si="5"/>
        <v>0</v>
      </c>
      <c r="AS68" s="154">
        <f t="shared" si="5"/>
        <v>0</v>
      </c>
      <c r="AT68" s="154">
        <f t="shared" si="5"/>
        <v>0</v>
      </c>
      <c r="AU68" s="154">
        <f t="shared" si="5"/>
        <v>0</v>
      </c>
      <c r="AV68" s="154">
        <f t="shared" si="5"/>
        <v>0</v>
      </c>
      <c r="AW68" s="154">
        <f t="shared" si="5"/>
        <v>0</v>
      </c>
      <c r="AX68" s="154">
        <f t="shared" si="5"/>
        <v>0</v>
      </c>
      <c r="AY68" s="154">
        <f t="shared" si="5"/>
        <v>0</v>
      </c>
      <c r="AZ68" s="154">
        <f t="shared" si="5"/>
        <v>0</v>
      </c>
      <c r="BA68" s="154">
        <f t="shared" si="5"/>
        <v>0</v>
      </c>
      <c r="BB68" s="154">
        <f t="shared" si="5"/>
        <v>0</v>
      </c>
    </row>
    <row r="69" spans="2:54" ht="15" customHeight="1">
      <c r="E69" s="19" t="s">
        <v>191</v>
      </c>
      <c r="G69" s="19" t="s">
        <v>186</v>
      </c>
      <c r="H69" s="19" t="s">
        <v>192</v>
      </c>
      <c r="I69" s="152">
        <f>+I63-I61+1</f>
        <v>245</v>
      </c>
      <c r="O69" s="84"/>
      <c r="P69" s="84"/>
      <c r="Q69" s="84"/>
      <c r="R69" s="84"/>
      <c r="S69" s="84"/>
      <c r="T69" s="84"/>
      <c r="U69" s="84"/>
      <c r="V69" s="84"/>
      <c r="W69" s="84"/>
      <c r="X69" s="84"/>
      <c r="Y69" s="84"/>
      <c r="Z69" s="84"/>
      <c r="AA69" s="84"/>
      <c r="AB69" s="84"/>
      <c r="AC69" s="84"/>
      <c r="AD69" s="84"/>
      <c r="AE69" s="84"/>
      <c r="AF69" s="84"/>
      <c r="AG69" s="84"/>
      <c r="AH69" s="84"/>
      <c r="AI69" s="84"/>
      <c r="AJ69" s="84"/>
      <c r="AK69" s="84"/>
      <c r="AL69" s="84"/>
      <c r="AM69" s="84"/>
      <c r="AN69" s="84"/>
      <c r="AO69" s="84"/>
      <c r="AP69" s="84"/>
      <c r="AQ69" s="84"/>
      <c r="AR69" s="84"/>
      <c r="AS69" s="84"/>
      <c r="AT69" s="84"/>
      <c r="AU69" s="84"/>
      <c r="AV69" s="84"/>
      <c r="AW69" s="84"/>
      <c r="AX69" s="84"/>
      <c r="AY69" s="84"/>
      <c r="AZ69" s="84"/>
      <c r="BA69" s="84"/>
      <c r="BB69" s="84"/>
    </row>
    <row r="70" spans="2:54" ht="15" customHeight="1">
      <c r="E70" s="19" t="s">
        <v>42</v>
      </c>
      <c r="G70" s="19" t="s">
        <v>193</v>
      </c>
      <c r="H70" s="19" t="s">
        <v>194</v>
      </c>
      <c r="O70" s="85">
        <f>+IF(SUM($O66:O66)&lt;1,0,IF(O$5=1,$I$69/365.25,IF(O$5=op_years,(365.25-$I$69)/365.25,IF(O$5&gt;op_years,0,1))))</f>
        <v>0</v>
      </c>
      <c r="P70" s="85">
        <f>+IF(SUM($O66:P66)&lt;1,0,IF(P$5=1,$I$69/365.25,IF(P$5=op_years,(365.25-$I$69)/365.25,IF(P$5&gt;op_years,0,1))))</f>
        <v>0.67077344284736484</v>
      </c>
      <c r="Q70" s="85">
        <f>+IF(SUM($O66:Q66)&lt;1,0,IF(Q$5=1,$I$69/365.25,IF(Q$5=op_years,(365.25-$I$69)/365.25,IF(Q$5&gt;op_years,0,1))))</f>
        <v>1</v>
      </c>
      <c r="R70" s="85">
        <f>+IF(SUM($O66:R66)&lt;1,0,IF(R$5=1,$I$69/365.25,IF(R$5=op_years,(365.25-$I$69)/365.25,IF(R$5&gt;op_years,0,1))))</f>
        <v>1</v>
      </c>
      <c r="S70" s="85">
        <f>+IF(SUM($O66:S66)&lt;1,0,IF(S$5=1,$I$69/365.25,IF(S$5=op_years,(365.25-$I$69)/365.25,IF(S$5&gt;op_years,0,1))))</f>
        <v>1</v>
      </c>
      <c r="T70" s="85">
        <f>+IF(SUM($O66:T66)&lt;1,0,IF(T$5=1,$I$69/365.25,IF(T$5=op_years,(365.25-$I$69)/365.25,IF(T$5&gt;op_years,0,1))))</f>
        <v>1</v>
      </c>
      <c r="U70" s="85">
        <f>+IF(SUM($O66:U66)&lt;1,0,IF(U$5=1,$I$69/365.25,IF(U$5=op_years,(365.25-$I$69)/365.25,IF(U$5&gt;op_years,0,1))))</f>
        <v>1</v>
      </c>
      <c r="V70" s="85">
        <f>+IF(SUM($O66:V66)&lt;1,0,IF(V$5=1,$I$69/365.25,IF(V$5=op_years,(365.25-$I$69)/365.25,IF(V$5&gt;op_years,0,1))))</f>
        <v>1</v>
      </c>
      <c r="W70" s="85">
        <f>+IF(SUM($O66:W66)&lt;1,0,IF(W$5=1,$I$69/365.25,IF(W$5=op_years,(365.25-$I$69)/365.25,IF(W$5&gt;op_years,0,1))))</f>
        <v>1</v>
      </c>
      <c r="X70" s="85">
        <f>+IF(SUM($O66:X66)&lt;1,0,IF(X$5=1,$I$69/365.25,IF(X$5=op_years,(365.25-$I$69)/365.25,IF(X$5&gt;op_years,0,1))))</f>
        <v>1</v>
      </c>
      <c r="Y70" s="85">
        <f>+IF(SUM($O66:Y66)&lt;1,0,IF(Y$5=1,$I$69/365.25,IF(Y$5=op_years,(365.25-$I$69)/365.25,IF(Y$5&gt;op_years,0,1))))</f>
        <v>1</v>
      </c>
      <c r="Z70" s="85">
        <f>+IF(SUM($O66:Z66)&lt;1,0,IF(Z$5=1,$I$69/365.25,IF(Z$5=op_years,(365.25-$I$69)/365.25,IF(Z$5&gt;op_years,0,1))))</f>
        <v>1</v>
      </c>
      <c r="AA70" s="85">
        <f>+IF(SUM($O66:AA66)&lt;1,0,IF(AA$5=1,$I$69/365.25,IF(AA$5=op_years,(365.25-$I$69)/365.25,IF(AA$5&gt;op_years,0,1))))</f>
        <v>1</v>
      </c>
      <c r="AB70" s="85">
        <f>+IF(SUM($O66:AB66)&lt;1,0,IF(AB$5=1,$I$69/365.25,IF(AB$5=op_years,(365.25-$I$69)/365.25,IF(AB$5&gt;op_years,0,1))))</f>
        <v>1</v>
      </c>
      <c r="AC70" s="85">
        <f>+IF(SUM($O66:AC66)&lt;1,0,IF(AC$5=1,$I$69/365.25,IF(AC$5=op_years,(365.25-$I$69)/365.25,IF(AC$5&gt;op_years,0,1))))</f>
        <v>1</v>
      </c>
      <c r="AD70" s="85">
        <f>+IF(SUM($O66:AD66)&lt;1,0,IF(AD$5=1,$I$69/365.25,IF(AD$5=op_years,(365.25-$I$69)/365.25,IF(AD$5&gt;op_years,0,1))))</f>
        <v>1</v>
      </c>
      <c r="AE70" s="85">
        <f>+IF(SUM($O66:AE66)&lt;1,0,IF(AE$5=1,$I$69/365.25,IF(AE$5=op_years,(365.25-$I$69)/365.25,IF(AE$5&gt;op_years,0,1))))</f>
        <v>1</v>
      </c>
      <c r="AF70" s="85">
        <f>+IF(SUM($O66:AF66)&lt;1,0,IF(AF$5=1,$I$69/365.25,IF(AF$5=op_years,(365.25-$I$69)/365.25,IF(AF$5&gt;op_years,0,1))))</f>
        <v>1</v>
      </c>
      <c r="AG70" s="85">
        <f>+IF(SUM($O66:AG66)&lt;1,0,IF(AG$5=1,$I$69/365.25,IF(AG$5=op_years,(365.25-$I$69)/365.25,IF(AG$5&gt;op_years,0,1))))</f>
        <v>1</v>
      </c>
      <c r="AH70" s="85">
        <f>+IF(SUM($O66:AH66)&lt;1,0,IF(AH$5=1,$I$69/365.25,IF(AH$5=op_years,(365.25-$I$69)/365.25,IF(AH$5&gt;op_years,0,1))))</f>
        <v>1</v>
      </c>
      <c r="AI70" s="85">
        <f>+IF(SUM($O66:AI66)&lt;1,0,IF(AI$5=1,$I$69/365.25,IF(AI$5=op_years,(365.25-$I$69)/365.25,IF(AI$5&gt;op_years,0,1))))</f>
        <v>1</v>
      </c>
      <c r="AJ70" s="85">
        <f>+IF(SUM($O66:AJ66)&lt;1,0,IF(AJ$5=1,$I$69/365.25,IF(AJ$5=op_years,(365.25-$I$69)/365.25,IF(AJ$5&gt;op_years,0,1))))</f>
        <v>1</v>
      </c>
      <c r="AK70" s="85">
        <f>+IF(SUM($O66:AK66)&lt;1,0,IF(AK$5=1,$I$69/365.25,IF(AK$5=op_years,(365.25-$I$69)/365.25,IF(AK$5&gt;op_years,0,1))))</f>
        <v>1</v>
      </c>
      <c r="AL70" s="85">
        <f>+IF(SUM($O66:AL66)&lt;1,0,IF(AL$5=1,$I$69/365.25,IF(AL$5=op_years,(365.25-$I$69)/365.25,IF(AL$5&gt;op_years,0,1))))</f>
        <v>1</v>
      </c>
      <c r="AM70" s="85">
        <f>+IF(SUM($O66:AM66)&lt;1,0,IF(AM$5=1,$I$69/365.25,IF(AM$5=op_years,(365.25-$I$69)/365.25,IF(AM$5&gt;op_years,0,1))))</f>
        <v>1</v>
      </c>
      <c r="AN70" s="85">
        <f>+IF(SUM($O66:AN66)&lt;1,0,IF(AN$5=1,$I$69/365.25,IF(AN$5=op_years,(365.25-$I$69)/365.25,IF(AN$5&gt;op_years,0,1))))</f>
        <v>1</v>
      </c>
      <c r="AO70" s="85">
        <f>+IF(SUM($O66:AO66)&lt;1,0,IF(AO$5=1,$I$69/365.25,IF(AO$5=op_years,(365.25-$I$69)/365.25,IF(AO$5&gt;op_years,0,1))))</f>
        <v>0.32922655715263516</v>
      </c>
      <c r="AP70" s="85">
        <f>+IF(SUM($O66:AP66)&lt;1,0,IF(AP$5=1,$I$69/365.25,IF(AP$5=op_years,(365.25-$I$69)/365.25,IF(AP$5&gt;op_years,0,1))))</f>
        <v>0</v>
      </c>
      <c r="AQ70" s="85">
        <f>+IF(SUM($O66:AQ66)&lt;1,0,IF(AQ$5=1,$I$69/365.25,IF(AQ$5=op_years,(365.25-$I$69)/365.25,IF(AQ$5&gt;op_years,0,1))))</f>
        <v>0</v>
      </c>
      <c r="AR70" s="85">
        <f>+IF(SUM($O66:AR66)&lt;1,0,IF(AR$5=1,$I$69/365.25,IF(AR$5=op_years,(365.25-$I$69)/365.25,IF(AR$5&gt;op_years,0,1))))</f>
        <v>0</v>
      </c>
      <c r="AS70" s="85">
        <f>+IF(SUM($O66:AS66)&lt;1,0,IF(AS$5=1,$I$69/365.25,IF(AS$5=op_years,(365.25-$I$69)/365.25,IF(AS$5&gt;op_years,0,1))))</f>
        <v>0</v>
      </c>
      <c r="AT70" s="85">
        <f>+IF(SUM($O66:AT66)&lt;1,0,IF(AT$5=1,$I$69/365.25,IF(AT$5=op_years,(365.25-$I$69)/365.25,IF(AT$5&gt;op_years,0,1))))</f>
        <v>0</v>
      </c>
      <c r="AU70" s="85">
        <f>+IF(SUM($O66:AU66)&lt;1,0,IF(AU$5=1,$I$69/365.25,IF(AU$5=op_years,(365.25-$I$69)/365.25,IF(AU$5&gt;op_years,0,1))))</f>
        <v>0</v>
      </c>
      <c r="AV70" s="85">
        <f>+IF(SUM($O66:AV66)&lt;1,0,IF(AV$5=1,$I$69/365.25,IF(AV$5=op_years,(365.25-$I$69)/365.25,IF(AV$5&gt;op_years,0,1))))</f>
        <v>0</v>
      </c>
      <c r="AW70" s="85">
        <f>+IF(SUM($O66:AW66)&lt;1,0,IF(AW$5=1,$I$69/365.25,IF(AW$5=op_years,(365.25-$I$69)/365.25,IF(AW$5&gt;op_years,0,1))))</f>
        <v>0</v>
      </c>
      <c r="AX70" s="85">
        <f>+IF(SUM($O66:AX66)&lt;1,0,IF(AX$5=1,$I$69/365.25,IF(AX$5=op_years,(365.25-$I$69)/365.25,IF(AX$5&gt;op_years,0,1))))</f>
        <v>0</v>
      </c>
      <c r="AY70" s="85">
        <f>+IF(SUM($O66:AY66)&lt;1,0,IF(AY$5=1,$I$69/365.25,IF(AY$5=op_years,(365.25-$I$69)/365.25,IF(AY$5&gt;op_years,0,1))))</f>
        <v>0</v>
      </c>
      <c r="AZ70" s="85">
        <f>+IF(SUM($O66:AZ66)&lt;1,0,IF(AZ$5=1,$I$69/365.25,IF(AZ$5=op_years,(365.25-$I$69)/365.25,IF(AZ$5&gt;op_years,0,1))))</f>
        <v>0</v>
      </c>
      <c r="BA70" s="85">
        <f>+IF(SUM($O66:BA66)&lt;1,0,IF(BA$5=1,$I$69/365.25,IF(BA$5=op_years,(365.25-$I$69)/365.25,IF(BA$5&gt;op_years,0,1))))</f>
        <v>0</v>
      </c>
      <c r="BB70" s="85">
        <f>+IF(SUM($O66:BB66)&lt;1,0,IF(BB$5=1,$I$69/365.25,IF(BB$5=op_years,(365.25-$I$69)/365.25,IF(BB$5&gt;op_years,0,1))))</f>
        <v>0</v>
      </c>
    </row>
    <row r="71" spans="2:54" ht="15" customHeight="1">
      <c r="E71" s="30" t="s">
        <v>195</v>
      </c>
      <c r="F71" s="30"/>
      <c r="G71" s="30" t="s">
        <v>196</v>
      </c>
      <c r="H71" s="30"/>
      <c r="I71" s="181" t="b">
        <f>SUM(O70:BB70)=$I$82</f>
        <v>1</v>
      </c>
      <c r="J71" s="30"/>
      <c r="K71" s="30"/>
      <c r="L71" s="30"/>
      <c r="M71" s="30"/>
      <c r="N71" s="30"/>
      <c r="O71" s="62"/>
      <c r="P71" s="62"/>
      <c r="Q71" s="62"/>
      <c r="R71" s="62"/>
      <c r="S71" s="62"/>
      <c r="T71" s="62"/>
      <c r="U71" s="62"/>
      <c r="V71" s="62"/>
      <c r="W71" s="62"/>
      <c r="X71" s="62"/>
      <c r="Y71" s="62"/>
      <c r="Z71" s="62"/>
      <c r="AA71" s="62"/>
      <c r="AB71" s="62"/>
      <c r="AC71" s="62"/>
      <c r="AD71" s="62"/>
      <c r="AE71" s="62"/>
      <c r="AF71" s="62"/>
      <c r="AG71" s="62"/>
      <c r="AH71" s="62"/>
      <c r="AI71" s="62"/>
      <c r="AJ71" s="62"/>
      <c r="AK71" s="62"/>
      <c r="AL71" s="62"/>
      <c r="AM71" s="62"/>
      <c r="AN71" s="62"/>
      <c r="AO71" s="62"/>
      <c r="AP71" s="62"/>
      <c r="AQ71" s="62"/>
      <c r="AR71" s="62"/>
      <c r="AS71" s="62"/>
      <c r="AT71" s="62"/>
      <c r="AU71" s="62"/>
      <c r="AV71" s="62"/>
      <c r="AW71" s="62"/>
      <c r="AX71" s="62"/>
      <c r="AY71" s="62"/>
      <c r="AZ71" s="62"/>
      <c r="BA71" s="62"/>
      <c r="BB71" s="62"/>
    </row>
    <row r="72" spans="2:54" ht="15" customHeight="1">
      <c r="E72" s="30"/>
      <c r="F72" s="30"/>
      <c r="G72" s="30"/>
      <c r="H72" s="30"/>
      <c r="I72" s="50"/>
      <c r="J72" s="30"/>
      <c r="K72" s="30"/>
      <c r="L72" s="30"/>
      <c r="M72" s="30"/>
      <c r="N72" s="30"/>
      <c r="O72" s="62"/>
      <c r="P72" s="62"/>
      <c r="Q72" s="62"/>
      <c r="R72" s="62"/>
      <c r="S72" s="62"/>
      <c r="T72" s="62"/>
      <c r="U72" s="62"/>
      <c r="V72" s="62"/>
      <c r="W72" s="62"/>
      <c r="X72" s="62"/>
      <c r="Y72" s="62"/>
      <c r="Z72" s="62"/>
      <c r="AA72" s="62"/>
      <c r="AB72" s="62"/>
      <c r="AC72" s="62"/>
      <c r="AD72" s="62"/>
      <c r="AE72" s="62"/>
      <c r="AF72" s="62"/>
      <c r="AG72" s="62"/>
      <c r="AH72" s="62"/>
      <c r="AI72" s="62"/>
      <c r="AJ72" s="62"/>
      <c r="AK72" s="62"/>
      <c r="AL72" s="62"/>
      <c r="AM72" s="62"/>
      <c r="AN72" s="62"/>
      <c r="AO72" s="62"/>
      <c r="AP72" s="62"/>
      <c r="AQ72" s="62"/>
      <c r="AR72" s="62"/>
      <c r="AS72" s="62"/>
      <c r="AT72" s="62"/>
      <c r="AU72" s="62"/>
      <c r="AV72" s="62"/>
      <c r="AW72" s="62"/>
      <c r="AX72" s="62"/>
      <c r="AY72" s="62"/>
      <c r="AZ72" s="62"/>
      <c r="BA72" s="62"/>
      <c r="BB72" s="62"/>
    </row>
    <row r="73" spans="2:54" ht="15" customHeight="1">
      <c r="E73" s="19" t="s">
        <v>197</v>
      </c>
      <c r="G73" s="19" t="s">
        <v>139</v>
      </c>
      <c r="H73"/>
      <c r="I73" s="47">
        <v>45658</v>
      </c>
    </row>
    <row r="74" spans="2:54" ht="15" customHeight="1">
      <c r="E74" s="19" t="s">
        <v>198</v>
      </c>
      <c r="G74" s="19" t="s">
        <v>139</v>
      </c>
      <c r="I74" s="39">
        <f>IF(MONTH(I73)&lt;$I$22,DATE(YEAR(I73)-1,$I$22,1),DATE(YEAR(I73),$I$22,1))</f>
        <v>45658</v>
      </c>
    </row>
    <row r="75" spans="2:54" ht="15" customHeight="1">
      <c r="E75" s="19" t="s">
        <v>199</v>
      </c>
      <c r="G75" s="19" t="s">
        <v>139</v>
      </c>
      <c r="I75" s="39">
        <f>EOMONTH(I74,11)</f>
        <v>46022</v>
      </c>
    </row>
    <row r="76" spans="2:54" ht="15" customHeight="1">
      <c r="E76" s="19" t="s">
        <v>200</v>
      </c>
      <c r="G76" s="19" t="s">
        <v>188</v>
      </c>
      <c r="O76" s="154">
        <f t="shared" ref="O76:BB76" si="6">IF(AND($I73&lt;=O$4,$I73&gt;=O$3),1,0)</f>
        <v>0</v>
      </c>
      <c r="P76" s="154">
        <f t="shared" si="6"/>
        <v>0</v>
      </c>
      <c r="Q76" s="154">
        <f t="shared" si="6"/>
        <v>0</v>
      </c>
      <c r="R76" s="154">
        <f t="shared" si="6"/>
        <v>0</v>
      </c>
      <c r="S76" s="154">
        <f t="shared" si="6"/>
        <v>1</v>
      </c>
      <c r="T76" s="154">
        <f t="shared" si="6"/>
        <v>0</v>
      </c>
      <c r="U76" s="154">
        <f t="shared" si="6"/>
        <v>0</v>
      </c>
      <c r="V76" s="154">
        <f t="shared" si="6"/>
        <v>0</v>
      </c>
      <c r="W76" s="154">
        <f t="shared" si="6"/>
        <v>0</v>
      </c>
      <c r="X76" s="154">
        <f t="shared" si="6"/>
        <v>0</v>
      </c>
      <c r="Y76" s="154">
        <f t="shared" si="6"/>
        <v>0</v>
      </c>
      <c r="Z76" s="154">
        <f t="shared" si="6"/>
        <v>0</v>
      </c>
      <c r="AA76" s="154">
        <f t="shared" si="6"/>
        <v>0</v>
      </c>
      <c r="AB76" s="154">
        <f t="shared" si="6"/>
        <v>0</v>
      </c>
      <c r="AC76" s="154">
        <f t="shared" si="6"/>
        <v>0</v>
      </c>
      <c r="AD76" s="154">
        <f t="shared" si="6"/>
        <v>0</v>
      </c>
      <c r="AE76" s="154">
        <f t="shared" si="6"/>
        <v>0</v>
      </c>
      <c r="AF76" s="154">
        <f t="shared" si="6"/>
        <v>0</v>
      </c>
      <c r="AG76" s="154">
        <f t="shared" si="6"/>
        <v>0</v>
      </c>
      <c r="AH76" s="154">
        <f t="shared" si="6"/>
        <v>0</v>
      </c>
      <c r="AI76" s="154">
        <f t="shared" si="6"/>
        <v>0</v>
      </c>
      <c r="AJ76" s="154">
        <f t="shared" si="6"/>
        <v>0</v>
      </c>
      <c r="AK76" s="154">
        <f t="shared" si="6"/>
        <v>0</v>
      </c>
      <c r="AL76" s="154">
        <f t="shared" si="6"/>
        <v>0</v>
      </c>
      <c r="AM76" s="154">
        <f t="shared" si="6"/>
        <v>0</v>
      </c>
      <c r="AN76" s="154">
        <f t="shared" si="6"/>
        <v>0</v>
      </c>
      <c r="AO76" s="154">
        <f t="shared" si="6"/>
        <v>0</v>
      </c>
      <c r="AP76" s="154">
        <f t="shared" si="6"/>
        <v>0</v>
      </c>
      <c r="AQ76" s="154">
        <f t="shared" si="6"/>
        <v>0</v>
      </c>
      <c r="AR76" s="154">
        <f t="shared" si="6"/>
        <v>0</v>
      </c>
      <c r="AS76" s="154">
        <f t="shared" si="6"/>
        <v>0</v>
      </c>
      <c r="AT76" s="154">
        <f t="shared" si="6"/>
        <v>0</v>
      </c>
      <c r="AU76" s="154">
        <f t="shared" si="6"/>
        <v>0</v>
      </c>
      <c r="AV76" s="154">
        <f t="shared" si="6"/>
        <v>0</v>
      </c>
      <c r="AW76" s="154">
        <f t="shared" si="6"/>
        <v>0</v>
      </c>
      <c r="AX76" s="154">
        <f t="shared" si="6"/>
        <v>0</v>
      </c>
      <c r="AY76" s="154">
        <f t="shared" si="6"/>
        <v>0</v>
      </c>
      <c r="AZ76" s="154">
        <f t="shared" si="6"/>
        <v>0</v>
      </c>
      <c r="BA76" s="154">
        <f t="shared" si="6"/>
        <v>0</v>
      </c>
      <c r="BB76" s="154">
        <f t="shared" si="6"/>
        <v>0</v>
      </c>
    </row>
    <row r="77" spans="2:54" ht="15" customHeight="1">
      <c r="E77" s="19" t="s">
        <v>201</v>
      </c>
      <c r="G77" s="19" t="s">
        <v>186</v>
      </c>
      <c r="H77" s="19" t="s">
        <v>202</v>
      </c>
      <c r="I77" s="152">
        <f>+I75-I73+1</f>
        <v>365</v>
      </c>
      <c r="O77" s="84"/>
      <c r="P77" s="84"/>
      <c r="Q77" s="84"/>
      <c r="R77" s="84"/>
      <c r="S77" s="84"/>
      <c r="T77" s="84"/>
      <c r="U77" s="84"/>
      <c r="V77" s="84"/>
      <c r="W77" s="84"/>
      <c r="X77" s="84"/>
      <c r="Y77" s="84"/>
      <c r="Z77" s="84"/>
      <c r="AA77" s="84"/>
      <c r="AB77" s="84"/>
      <c r="AC77" s="84"/>
      <c r="AD77" s="84"/>
      <c r="AE77" s="84"/>
      <c r="AF77" s="84"/>
      <c r="AG77" s="84"/>
      <c r="AH77" s="84"/>
      <c r="AI77" s="84"/>
      <c r="AJ77" s="84"/>
      <c r="AK77" s="84"/>
      <c r="AL77" s="84"/>
      <c r="AM77" s="84"/>
      <c r="AN77" s="84"/>
      <c r="AO77" s="84"/>
      <c r="AP77" s="84"/>
      <c r="AQ77" s="84"/>
      <c r="AR77" s="84"/>
      <c r="AS77" s="84"/>
      <c r="AT77" s="84"/>
      <c r="AU77" s="84"/>
      <c r="AV77" s="84"/>
      <c r="AW77" s="84"/>
      <c r="AX77" s="84"/>
      <c r="AY77" s="84"/>
      <c r="AZ77" s="84"/>
      <c r="BA77" s="84"/>
      <c r="BB77" s="84"/>
    </row>
    <row r="78" spans="2:54" ht="15" customHeight="1">
      <c r="E78" s="19" t="s">
        <v>43</v>
      </c>
      <c r="G78" s="19" t="s">
        <v>193</v>
      </c>
      <c r="H78" s="19" t="s">
        <v>203</v>
      </c>
      <c r="O78" s="85">
        <f>IF(O$76=1,$I$77/365.25,IF(SUM($O76:O76)&gt;=1,O70,0))</f>
        <v>0</v>
      </c>
      <c r="P78" s="85">
        <f>IF(P$76=1,$I$77/365.25,IF(SUM($O76:P76)&gt;=1,P70,0))</f>
        <v>0</v>
      </c>
      <c r="Q78" s="85">
        <f>IF(Q$76=1,$I$77/365.25,IF(SUM($O76:Q76)&gt;=1,Q70,0))</f>
        <v>0</v>
      </c>
      <c r="R78" s="85">
        <f>IF(R$76=1,$I$77/365.25,IF(SUM($O76:R76)&gt;=1,R70,0))</f>
        <v>0</v>
      </c>
      <c r="S78" s="85">
        <f>IF(S$76=1,$I$77/365.25,IF(SUM($O76:S76)&gt;=1,S70,0))</f>
        <v>0.99931553730321698</v>
      </c>
      <c r="T78" s="85">
        <f>IF(T$76=1,$I$77/365.25,IF(SUM($O76:T76)&gt;=1,T70,0))</f>
        <v>1</v>
      </c>
      <c r="U78" s="85">
        <f>IF(U$76=1,$I$77/365.25,IF(SUM($O76:U76)&gt;=1,U70,0))</f>
        <v>1</v>
      </c>
      <c r="V78" s="85">
        <f>IF(V$76=1,$I$77/365.25,IF(SUM($O76:V76)&gt;=1,V70,0))</f>
        <v>1</v>
      </c>
      <c r="W78" s="85">
        <f>IF(W$76=1,$I$77/365.25,IF(SUM($O76:W76)&gt;=1,W70,0))</f>
        <v>1</v>
      </c>
      <c r="X78" s="85">
        <f>IF(X$76=1,$I$77/365.25,IF(SUM($O76:X76)&gt;=1,X70,0))</f>
        <v>1</v>
      </c>
      <c r="Y78" s="85">
        <f>IF(Y$76=1,$I$77/365.25,IF(SUM($O76:Y76)&gt;=1,Y70,0))</f>
        <v>1</v>
      </c>
      <c r="Z78" s="85">
        <f>IF(Z$76=1,$I$77/365.25,IF(SUM($O76:Z76)&gt;=1,Z70,0))</f>
        <v>1</v>
      </c>
      <c r="AA78" s="85">
        <f>IF(AA$76=1,$I$77/365.25,IF(SUM($O76:AA76)&gt;=1,AA70,0))</f>
        <v>1</v>
      </c>
      <c r="AB78" s="85">
        <f>IF(AB$76=1,$I$77/365.25,IF(SUM($O76:AB76)&gt;=1,AB70,0))</f>
        <v>1</v>
      </c>
      <c r="AC78" s="85">
        <f>IF(AC$76=1,$I$77/365.25,IF(SUM($O76:AC76)&gt;=1,AC70,0))</f>
        <v>1</v>
      </c>
      <c r="AD78" s="85">
        <f>IF(AD$76=1,$I$77/365.25,IF(SUM($O76:AD76)&gt;=1,AD70,0))</f>
        <v>1</v>
      </c>
      <c r="AE78" s="85">
        <f>IF(AE$76=1,$I$77/365.25,IF(SUM($O76:AE76)&gt;=1,AE70,0))</f>
        <v>1</v>
      </c>
      <c r="AF78" s="85">
        <f>IF(AF$76=1,$I$77/365.25,IF(SUM($O76:AF76)&gt;=1,AF70,0))</f>
        <v>1</v>
      </c>
      <c r="AG78" s="85">
        <f>IF(AG$76=1,$I$77/365.25,IF(SUM($O76:AG76)&gt;=1,AG70,0))</f>
        <v>1</v>
      </c>
      <c r="AH78" s="85">
        <f>IF(AH$76=1,$I$77/365.25,IF(SUM($O76:AH76)&gt;=1,AH70,0))</f>
        <v>1</v>
      </c>
      <c r="AI78" s="85">
        <f>IF(AI$76=1,$I$77/365.25,IF(SUM($O76:AI76)&gt;=1,AI70,0))</f>
        <v>1</v>
      </c>
      <c r="AJ78" s="85">
        <f>IF(AJ$76=1,$I$77/365.25,IF(SUM($O76:AJ76)&gt;=1,AJ70,0))</f>
        <v>1</v>
      </c>
      <c r="AK78" s="85">
        <f>IF(AK$76=1,$I$77/365.25,IF(SUM($O76:AK76)&gt;=1,AK70,0))</f>
        <v>1</v>
      </c>
      <c r="AL78" s="85">
        <f>IF(AL$76=1,$I$77/365.25,IF(SUM($O76:AL76)&gt;=1,AL70,0))</f>
        <v>1</v>
      </c>
      <c r="AM78" s="85">
        <f>IF(AM$76=1,$I$77/365.25,IF(SUM($O76:AM76)&gt;=1,AM70,0))</f>
        <v>1</v>
      </c>
      <c r="AN78" s="85">
        <f>IF(AN$76=1,$I$77/365.25,IF(SUM($O76:AN76)&gt;=1,AN70,0))</f>
        <v>1</v>
      </c>
      <c r="AO78" s="85">
        <f>IF(AO$76=1,$I$77/365.25,IF(SUM($O76:AO76)&gt;=1,AO70,0))</f>
        <v>0.32922655715263516</v>
      </c>
      <c r="AP78" s="85">
        <f>IF(AP$76=1,$I$77/365.25,IF(SUM($O76:AP76)&gt;=1,AP70,0))</f>
        <v>0</v>
      </c>
      <c r="AQ78" s="85">
        <f>IF(AQ$76=1,$I$77/365.25,IF(SUM($O76:AQ76)&gt;=1,AQ70,0))</f>
        <v>0</v>
      </c>
      <c r="AR78" s="85">
        <f>IF(AR$76=1,$I$77/365.25,IF(SUM($O76:AR76)&gt;=1,AR70,0))</f>
        <v>0</v>
      </c>
      <c r="AS78" s="85">
        <f>IF(AS$76=1,$I$77/365.25,IF(SUM($O76:AS76)&gt;=1,AS70,0))</f>
        <v>0</v>
      </c>
      <c r="AT78" s="85">
        <f>IF(AT$76=1,$I$77/365.25,IF(SUM($O76:AT76)&gt;=1,AT70,0))</f>
        <v>0</v>
      </c>
      <c r="AU78" s="85">
        <f>IF(AU$76=1,$I$77/365.25,IF(SUM($O76:AU76)&gt;=1,AU70,0))</f>
        <v>0</v>
      </c>
      <c r="AV78" s="85">
        <f>IF(AV$76=1,$I$77/365.25,IF(SUM($O76:AV76)&gt;=1,AV70,0))</f>
        <v>0</v>
      </c>
      <c r="AW78" s="85">
        <f>IF(AW$76=1,$I$77/365.25,IF(SUM($O76:AW76)&gt;=1,AW70,0))</f>
        <v>0</v>
      </c>
      <c r="AX78" s="85">
        <f>IF(AX$76=1,$I$77/365.25,IF(SUM($O76:AX76)&gt;=1,AX70,0))</f>
        <v>0</v>
      </c>
      <c r="AY78" s="85">
        <f>IF(AY$76=1,$I$77/365.25,IF(SUM($O76:AY76)&gt;=1,AY70,0))</f>
        <v>0</v>
      </c>
      <c r="AZ78" s="85">
        <f>IF(AZ$76=1,$I$77/365.25,IF(SUM($O76:AZ76)&gt;=1,AZ70,0))</f>
        <v>0</v>
      </c>
      <c r="BA78" s="85">
        <f>IF(BA$76=1,$I$77/365.25,IF(SUM($O76:BA76)&gt;=1,BA70,0))</f>
        <v>0</v>
      </c>
      <c r="BB78" s="85">
        <f>IF(BB$76=1,$I$77/365.25,IF(SUM($O76:BB76)&gt;=1,BB70,0))</f>
        <v>0</v>
      </c>
    </row>
    <row r="79" spans="2:54" ht="15" customHeight="1">
      <c r="E79" s="30" t="s">
        <v>204</v>
      </c>
      <c r="F79" s="30"/>
      <c r="G79" s="30" t="s">
        <v>196</v>
      </c>
      <c r="H79" s="30"/>
      <c r="I79" s="181" t="b">
        <f>ROUND(SUM(O78:BB78),1)=ROUND(YEARFRAC(I74,I67),1)</f>
        <v>1</v>
      </c>
      <c r="O79" s="85"/>
      <c r="P79" s="85"/>
      <c r="Q79" s="85"/>
      <c r="R79" s="85"/>
      <c r="S79" s="85"/>
      <c r="T79" s="85"/>
      <c r="U79" s="85"/>
      <c r="V79" s="85"/>
      <c r="W79" s="85"/>
      <c r="X79" s="85"/>
      <c r="Y79" s="85"/>
      <c r="Z79" s="85"/>
      <c r="AA79" s="85"/>
      <c r="AB79" s="85"/>
      <c r="AC79" s="85"/>
      <c r="AD79" s="85"/>
      <c r="AE79" s="85"/>
      <c r="AF79" s="85"/>
      <c r="AG79" s="85"/>
      <c r="AH79" s="85"/>
      <c r="AI79" s="85"/>
      <c r="AJ79" s="85"/>
      <c r="AK79" s="85"/>
      <c r="AL79" s="85"/>
      <c r="AM79" s="85"/>
      <c r="AN79" s="85"/>
      <c r="AO79" s="85"/>
      <c r="AP79" s="85"/>
      <c r="AQ79" s="85"/>
      <c r="AR79" s="85"/>
      <c r="AS79" s="85"/>
      <c r="AT79" s="85"/>
      <c r="AU79" s="85"/>
      <c r="AV79" s="85"/>
      <c r="AW79" s="85"/>
      <c r="AX79" s="85"/>
      <c r="AY79" s="85"/>
      <c r="AZ79" s="85"/>
      <c r="BA79" s="85"/>
      <c r="BB79" s="85"/>
    </row>
    <row r="80" spans="2:54" ht="15" customHeight="1">
      <c r="B80" s="30"/>
      <c r="E80" s="19" t="s">
        <v>205</v>
      </c>
      <c r="G80" s="19" t="s">
        <v>193</v>
      </c>
      <c r="I80" s="39">
        <f>EOMONTH(I61-1,I24*12)</f>
        <v>52931</v>
      </c>
      <c r="O80" s="85">
        <f>IF(O4&lt;$I$80,O78,0)+IF(AND(O4&gt;=$I$80,O3&lt;=$I$80),($I$80-O3+1)/365.25,0)</f>
        <v>0</v>
      </c>
      <c r="P80" s="85">
        <f t="shared" ref="P80:BB80" si="7">IF(P4&lt;$I$80,P78,0)+IF(AND(P4&gt;=$I$80,P3&lt;=$I$80),($I$80-P3+1)/365.25,0)</f>
        <v>0</v>
      </c>
      <c r="Q80" s="85">
        <f t="shared" si="7"/>
        <v>0</v>
      </c>
      <c r="R80" s="85">
        <f t="shared" si="7"/>
        <v>0</v>
      </c>
      <c r="S80" s="85">
        <f t="shared" si="7"/>
        <v>0.99931553730321698</v>
      </c>
      <c r="T80" s="85">
        <f t="shared" si="7"/>
        <v>1</v>
      </c>
      <c r="U80" s="85">
        <f t="shared" si="7"/>
        <v>1</v>
      </c>
      <c r="V80" s="85">
        <f t="shared" si="7"/>
        <v>1</v>
      </c>
      <c r="W80" s="85">
        <f t="shared" si="7"/>
        <v>1</v>
      </c>
      <c r="X80" s="85">
        <f t="shared" si="7"/>
        <v>1</v>
      </c>
      <c r="Y80" s="85">
        <f t="shared" si="7"/>
        <v>1</v>
      </c>
      <c r="Z80" s="85">
        <f t="shared" si="7"/>
        <v>1</v>
      </c>
      <c r="AA80" s="85">
        <f t="shared" si="7"/>
        <v>1</v>
      </c>
      <c r="AB80" s="85">
        <f t="shared" si="7"/>
        <v>1</v>
      </c>
      <c r="AC80" s="85">
        <f t="shared" si="7"/>
        <v>1</v>
      </c>
      <c r="AD80" s="85">
        <f t="shared" si="7"/>
        <v>1</v>
      </c>
      <c r="AE80" s="85">
        <f t="shared" si="7"/>
        <v>1</v>
      </c>
      <c r="AF80" s="85">
        <f t="shared" si="7"/>
        <v>1</v>
      </c>
      <c r="AG80" s="85">
        <f t="shared" si="7"/>
        <v>1</v>
      </c>
      <c r="AH80" s="85">
        <f t="shared" si="7"/>
        <v>1</v>
      </c>
      <c r="AI80" s="85">
        <f t="shared" si="7"/>
        <v>1</v>
      </c>
      <c r="AJ80" s="85">
        <f t="shared" si="7"/>
        <v>1</v>
      </c>
      <c r="AK80" s="85">
        <f t="shared" si="7"/>
        <v>1</v>
      </c>
      <c r="AL80" s="85">
        <f t="shared" si="7"/>
        <v>0.91718001368925395</v>
      </c>
      <c r="AM80" s="85">
        <f t="shared" si="7"/>
        <v>0</v>
      </c>
      <c r="AN80" s="85">
        <f t="shared" si="7"/>
        <v>0</v>
      </c>
      <c r="AO80" s="85">
        <f t="shared" si="7"/>
        <v>0</v>
      </c>
      <c r="AP80" s="85">
        <f t="shared" si="7"/>
        <v>0</v>
      </c>
      <c r="AQ80" s="85">
        <f t="shared" si="7"/>
        <v>0</v>
      </c>
      <c r="AR80" s="85">
        <f t="shared" si="7"/>
        <v>0</v>
      </c>
      <c r="AS80" s="85">
        <f t="shared" si="7"/>
        <v>0</v>
      </c>
      <c r="AT80" s="85">
        <f t="shared" si="7"/>
        <v>0</v>
      </c>
      <c r="AU80" s="85">
        <f t="shared" si="7"/>
        <v>0</v>
      </c>
      <c r="AV80" s="85">
        <f t="shared" si="7"/>
        <v>0</v>
      </c>
      <c r="AW80" s="85">
        <f t="shared" si="7"/>
        <v>0</v>
      </c>
      <c r="AX80" s="85">
        <f t="shared" si="7"/>
        <v>0</v>
      </c>
      <c r="AY80" s="85">
        <f t="shared" si="7"/>
        <v>0</v>
      </c>
      <c r="AZ80" s="85">
        <f t="shared" si="7"/>
        <v>0</v>
      </c>
      <c r="BA80" s="85">
        <f t="shared" si="7"/>
        <v>0</v>
      </c>
      <c r="BB80" s="85">
        <f t="shared" si="7"/>
        <v>0</v>
      </c>
    </row>
    <row r="81" spans="1:58" ht="15" customHeight="1">
      <c r="O81" s="62"/>
      <c r="P81" s="62"/>
      <c r="Q81" s="62"/>
      <c r="R81" s="62"/>
      <c r="S81" s="62"/>
      <c r="T81" s="62"/>
      <c r="U81" s="62"/>
      <c r="V81" s="62"/>
      <c r="W81" s="62"/>
      <c r="X81" s="62"/>
      <c r="Y81" s="62"/>
      <c r="Z81" s="62"/>
      <c r="AA81" s="62"/>
      <c r="AB81" s="62"/>
      <c r="AC81" s="62"/>
      <c r="AD81" s="62"/>
      <c r="AE81" s="62"/>
      <c r="AF81" s="62"/>
      <c r="AG81" s="62"/>
      <c r="AH81" s="62"/>
      <c r="AI81" s="62"/>
      <c r="AJ81" s="62"/>
      <c r="AK81" s="62"/>
      <c r="AL81" s="62"/>
      <c r="AM81" s="62"/>
      <c r="AN81" s="62"/>
      <c r="AO81" s="62"/>
      <c r="AP81" s="62"/>
      <c r="AQ81" s="62"/>
      <c r="AR81" s="62"/>
      <c r="AS81" s="62"/>
      <c r="AT81" s="62"/>
      <c r="AU81" s="62"/>
      <c r="AV81" s="62"/>
      <c r="AW81" s="62"/>
      <c r="AX81" s="62"/>
      <c r="AY81" s="62"/>
      <c r="AZ81" s="62"/>
      <c r="BA81" s="62"/>
      <c r="BB81" s="62"/>
    </row>
    <row r="82" spans="1:58" ht="15" customHeight="1">
      <c r="E82" s="19" t="s">
        <v>206</v>
      </c>
      <c r="G82" s="19" t="s">
        <v>144</v>
      </c>
      <c r="I82" s="169">
        <f>I21-1</f>
        <v>25</v>
      </c>
    </row>
    <row r="83" spans="1:58" ht="15" customHeight="1">
      <c r="E83" s="19" t="s">
        <v>207</v>
      </c>
      <c r="G83" s="19" t="s">
        <v>144</v>
      </c>
      <c r="I83" s="176">
        <v>1</v>
      </c>
    </row>
    <row r="84" spans="1:58" ht="15" customHeight="1"/>
    <row r="85" spans="1:58" ht="15" customHeight="1">
      <c r="B85" s="30"/>
      <c r="E85" s="19" t="s">
        <v>208</v>
      </c>
      <c r="G85" s="5" t="s">
        <v>209</v>
      </c>
      <c r="I85" s="178">
        <v>1</v>
      </c>
      <c r="O85" s="65"/>
      <c r="P85" s="65"/>
      <c r="Q85" s="65"/>
      <c r="R85" s="65"/>
      <c r="S85" s="65"/>
      <c r="W85" s="65"/>
      <c r="X85" s="65"/>
      <c r="Y85" s="65"/>
      <c r="Z85" s="65"/>
      <c r="AA85" s="65"/>
      <c r="AB85" s="65"/>
      <c r="AC85" s="65"/>
      <c r="AD85" s="65"/>
      <c r="AE85" s="65"/>
      <c r="AF85" s="65"/>
      <c r="AG85" s="65"/>
      <c r="AH85" s="65"/>
      <c r="AI85" s="65"/>
      <c r="AJ85" s="65"/>
      <c r="AK85" s="65"/>
      <c r="AL85" s="65"/>
      <c r="AM85" s="65"/>
      <c r="AN85" s="65"/>
      <c r="AO85" s="65"/>
      <c r="AP85" s="65"/>
      <c r="AQ85" s="65"/>
      <c r="AR85" s="65"/>
      <c r="AS85" s="65"/>
      <c r="AT85" s="65"/>
      <c r="AU85" s="65"/>
      <c r="AV85" s="65"/>
      <c r="AW85" s="65"/>
      <c r="AX85" s="65"/>
      <c r="AY85" s="65"/>
      <c r="AZ85" s="65"/>
      <c r="BA85" s="65"/>
      <c r="BB85" s="65"/>
    </row>
    <row r="86" spans="1:58" ht="15" customHeight="1">
      <c r="B86" s="30"/>
      <c r="G86" s="5"/>
      <c r="O86" s="65"/>
      <c r="P86" s="65"/>
      <c r="Q86" s="65"/>
      <c r="R86" s="65"/>
      <c r="S86" s="65"/>
      <c r="W86" s="65"/>
      <c r="X86" s="65"/>
      <c r="Y86" s="65"/>
      <c r="Z86" s="65"/>
      <c r="AA86" s="65"/>
      <c r="AB86" s="65"/>
      <c r="AC86" s="65"/>
      <c r="AD86" s="65"/>
      <c r="AE86" s="65"/>
      <c r="AF86" s="65"/>
      <c r="AG86" s="65"/>
      <c r="AH86" s="65"/>
      <c r="AI86" s="65"/>
      <c r="AJ86" s="65"/>
      <c r="AK86" s="65"/>
      <c r="AL86" s="65"/>
      <c r="AM86" s="65"/>
      <c r="AN86" s="65"/>
      <c r="AO86" s="65"/>
      <c r="AP86" s="65"/>
      <c r="AQ86" s="65"/>
      <c r="AR86" s="65"/>
      <c r="AS86" s="65"/>
      <c r="AT86" s="65"/>
      <c r="AU86" s="65"/>
      <c r="AV86" s="65"/>
      <c r="AW86" s="65"/>
      <c r="AX86" s="65"/>
      <c r="AY86" s="65"/>
      <c r="AZ86" s="65"/>
      <c r="BA86" s="65"/>
      <c r="BB86" s="65"/>
    </row>
    <row r="87" spans="1:58" ht="15" customHeight="1">
      <c r="B87" s="166" t="s">
        <v>210</v>
      </c>
      <c r="C87" s="34"/>
      <c r="D87" s="34"/>
      <c r="E87" s="34"/>
      <c r="F87" s="34"/>
      <c r="G87" s="34"/>
      <c r="H87" s="34"/>
      <c r="I87" s="34"/>
      <c r="J87" s="34"/>
      <c r="K87" s="34"/>
      <c r="L87" s="34"/>
      <c r="M87" s="34"/>
      <c r="N87" s="34"/>
      <c r="O87" s="34"/>
      <c r="P87" s="34"/>
      <c r="Q87" s="34"/>
      <c r="R87" s="34"/>
      <c r="S87" s="34"/>
      <c r="T87" s="34"/>
      <c r="U87" s="34"/>
      <c r="V87" s="34"/>
      <c r="W87" s="34"/>
      <c r="X87" s="34"/>
      <c r="Y87" s="34"/>
      <c r="Z87" s="34"/>
      <c r="AA87" s="34"/>
      <c r="AB87" s="34"/>
      <c r="AC87" s="34"/>
      <c r="AD87" s="34"/>
      <c r="AE87" s="34"/>
      <c r="AF87" s="34"/>
      <c r="AG87" s="34"/>
      <c r="AH87" s="34"/>
      <c r="AI87" s="34"/>
      <c r="AJ87" s="34"/>
      <c r="AK87" s="34"/>
      <c r="AL87" s="34"/>
      <c r="AM87" s="34"/>
      <c r="AN87" s="34"/>
      <c r="AO87" s="34"/>
      <c r="AP87" s="34"/>
      <c r="AQ87" s="34"/>
      <c r="AR87" s="34"/>
      <c r="AS87" s="34"/>
      <c r="AT87" s="34"/>
      <c r="AU87" s="34"/>
      <c r="AV87" s="34"/>
      <c r="AW87" s="34"/>
      <c r="AX87" s="34"/>
      <c r="AY87" s="34"/>
      <c r="AZ87" s="34"/>
      <c r="BA87" s="34"/>
      <c r="BB87" s="34"/>
    </row>
    <row r="88" spans="1:58" ht="15" customHeight="1"/>
    <row r="89" spans="1:58" s="59" customFormat="1" ht="15" customHeight="1">
      <c r="C89" s="38" t="s">
        <v>211</v>
      </c>
      <c r="D89" s="40"/>
      <c r="E89" s="40"/>
      <c r="F89" s="40"/>
      <c r="G89" s="40"/>
      <c r="H89" s="40"/>
      <c r="I89" s="40"/>
      <c r="J89" s="40"/>
      <c r="K89" s="40"/>
      <c r="L89" s="40"/>
      <c r="M89" s="40"/>
      <c r="N89" s="40"/>
      <c r="O89" s="40"/>
      <c r="P89" s="40"/>
      <c r="Q89" s="40"/>
      <c r="R89" s="40"/>
      <c r="S89" s="40"/>
      <c r="T89" s="40"/>
      <c r="U89" s="40"/>
      <c r="V89" s="40"/>
      <c r="W89" s="40"/>
      <c r="X89" s="40"/>
      <c r="Y89" s="40"/>
      <c r="Z89" s="40"/>
      <c r="AA89" s="40"/>
      <c r="AB89" s="40"/>
      <c r="AC89" s="40"/>
      <c r="AD89" s="40"/>
      <c r="AE89" s="40"/>
      <c r="AF89" s="40"/>
      <c r="AG89" s="40"/>
      <c r="AH89" s="40"/>
      <c r="AI89" s="40"/>
      <c r="AJ89" s="40"/>
      <c r="AK89" s="40"/>
      <c r="AL89" s="40"/>
      <c r="AM89" s="40"/>
      <c r="AN89" s="40"/>
      <c r="AO89" s="40"/>
      <c r="AP89" s="40"/>
      <c r="AQ89" s="40"/>
      <c r="AR89" s="40"/>
      <c r="AS89" s="40"/>
      <c r="AT89" s="40"/>
      <c r="AU89" s="40"/>
      <c r="AV89" s="40"/>
      <c r="AW89" s="40"/>
      <c r="AX89" s="40"/>
      <c r="AY89" s="40"/>
      <c r="AZ89" s="40"/>
      <c r="BA89" s="40"/>
      <c r="BB89" s="40"/>
    </row>
    <row r="90" spans="1:58" ht="15" customHeight="1"/>
    <row r="91" spans="1:58" ht="15" customHeight="1">
      <c r="A91"/>
      <c r="E91" s="19" t="s">
        <v>212</v>
      </c>
      <c r="G91" s="5" t="str">
        <f>CONCATENATE(CF_currency,"m nominal prices")</f>
        <v>£m nominal prices</v>
      </c>
      <c r="O91" s="31"/>
      <c r="P91" s="177">
        <v>0</v>
      </c>
      <c r="Q91" s="177">
        <v>0</v>
      </c>
      <c r="R91" s="177">
        <v>0</v>
      </c>
      <c r="S91" s="177">
        <v>0</v>
      </c>
      <c r="T91" s="177">
        <v>0</v>
      </c>
      <c r="U91" s="177">
        <v>0</v>
      </c>
      <c r="V91" s="177">
        <v>0</v>
      </c>
      <c r="W91" s="177">
        <v>0</v>
      </c>
      <c r="X91" s="177">
        <v>0</v>
      </c>
      <c r="Y91" s="177">
        <v>0</v>
      </c>
      <c r="Z91" s="177">
        <v>0</v>
      </c>
      <c r="AA91" s="177">
        <v>0</v>
      </c>
      <c r="AB91" s="177">
        <v>0</v>
      </c>
      <c r="AC91" s="177">
        <v>0</v>
      </c>
      <c r="AD91" s="177">
        <v>0</v>
      </c>
      <c r="AE91" s="177">
        <v>0</v>
      </c>
      <c r="AF91" s="177">
        <v>0</v>
      </c>
      <c r="AG91" s="177">
        <v>0</v>
      </c>
      <c r="AH91" s="177">
        <v>0</v>
      </c>
      <c r="AI91" s="177">
        <v>0</v>
      </c>
      <c r="AJ91" s="177">
        <v>0</v>
      </c>
      <c r="AK91" s="177">
        <v>0</v>
      </c>
      <c r="AL91" s="177">
        <v>0</v>
      </c>
      <c r="AM91" s="177">
        <v>0</v>
      </c>
      <c r="AN91" s="177">
        <v>0</v>
      </c>
      <c r="AO91" s="177">
        <v>0</v>
      </c>
      <c r="AP91" s="177">
        <v>0</v>
      </c>
      <c r="AQ91" s="177">
        <v>0</v>
      </c>
      <c r="AR91" s="177">
        <v>0</v>
      </c>
      <c r="AS91" s="177">
        <v>0</v>
      </c>
      <c r="AT91" s="177">
        <v>0</v>
      </c>
      <c r="AU91" s="177">
        <v>0</v>
      </c>
      <c r="AV91" s="177">
        <v>0</v>
      </c>
      <c r="AW91" s="177">
        <v>0</v>
      </c>
      <c r="AX91" s="177">
        <v>0</v>
      </c>
      <c r="AY91" s="177">
        <v>0</v>
      </c>
      <c r="AZ91" s="177">
        <v>0</v>
      </c>
      <c r="BA91" s="177">
        <v>0</v>
      </c>
      <c r="BB91" s="177">
        <v>0</v>
      </c>
      <c r="BD91" s="59"/>
      <c r="BE91" s="59"/>
      <c r="BF91" s="59"/>
    </row>
    <row r="92" spans="1:58" ht="13.15">
      <c r="E92" s="45" t="s">
        <v>213</v>
      </c>
      <c r="G92" s="5" t="str">
        <f>CONCATENATE(CF_currency,"m nominal prices")</f>
        <v>£m nominal prices</v>
      </c>
      <c r="O92" s="31"/>
      <c r="P92" s="177">
        <v>0</v>
      </c>
      <c r="Q92" s="177">
        <v>0</v>
      </c>
      <c r="R92" s="177">
        <v>0</v>
      </c>
      <c r="S92" s="177">
        <v>0</v>
      </c>
      <c r="T92" s="177">
        <v>0</v>
      </c>
      <c r="U92" s="177">
        <v>0</v>
      </c>
      <c r="V92" s="177">
        <v>0</v>
      </c>
      <c r="W92" s="177">
        <v>0</v>
      </c>
      <c r="X92" s="177">
        <v>0</v>
      </c>
      <c r="Y92" s="177">
        <v>0</v>
      </c>
      <c r="Z92" s="177">
        <v>0</v>
      </c>
      <c r="AA92" s="177">
        <v>0</v>
      </c>
      <c r="AB92" s="177">
        <v>0</v>
      </c>
      <c r="AC92" s="177">
        <v>0</v>
      </c>
      <c r="AD92" s="177">
        <v>0</v>
      </c>
      <c r="AE92" s="177">
        <v>0</v>
      </c>
      <c r="AF92" s="177">
        <v>0</v>
      </c>
      <c r="AG92" s="177">
        <v>0</v>
      </c>
      <c r="AH92" s="177">
        <v>0</v>
      </c>
      <c r="AI92" s="177">
        <v>0</v>
      </c>
      <c r="AJ92" s="177">
        <v>0</v>
      </c>
      <c r="AK92" s="177">
        <v>0</v>
      </c>
      <c r="AL92" s="177">
        <v>0</v>
      </c>
      <c r="AM92" s="177">
        <v>0</v>
      </c>
      <c r="AN92" s="177">
        <v>0</v>
      </c>
      <c r="AO92" s="177">
        <v>0</v>
      </c>
      <c r="AP92" s="177">
        <v>0</v>
      </c>
      <c r="AQ92" s="177">
        <v>0</v>
      </c>
      <c r="AR92" s="177">
        <v>0</v>
      </c>
      <c r="AS92" s="177">
        <v>0</v>
      </c>
      <c r="AT92" s="177">
        <v>0</v>
      </c>
      <c r="AU92" s="177">
        <v>0</v>
      </c>
      <c r="AV92" s="177">
        <v>0</v>
      </c>
      <c r="AW92" s="177">
        <v>0</v>
      </c>
      <c r="AX92" s="177">
        <v>0</v>
      </c>
      <c r="AY92" s="177">
        <v>0</v>
      </c>
      <c r="AZ92" s="177">
        <v>0</v>
      </c>
      <c r="BA92" s="177">
        <v>0</v>
      </c>
      <c r="BB92" s="177">
        <v>0</v>
      </c>
    </row>
    <row r="93" spans="1:58" ht="15" customHeight="1">
      <c r="BD93" s="59"/>
      <c r="BE93" s="59"/>
      <c r="BF93" s="59"/>
    </row>
    <row r="94" spans="1:58" s="59" customFormat="1" ht="15" customHeight="1">
      <c r="C94" s="38" t="s">
        <v>214</v>
      </c>
      <c r="D94" s="40"/>
      <c r="E94" s="40"/>
      <c r="F94" s="40"/>
      <c r="G94" s="40"/>
      <c r="H94" s="40"/>
      <c r="I94" s="40"/>
      <c r="J94" s="40"/>
      <c r="K94" s="40"/>
      <c r="L94" s="40"/>
      <c r="M94" s="40"/>
      <c r="N94" s="40"/>
      <c r="O94" s="40"/>
      <c r="P94" s="40"/>
      <c r="Q94" s="40"/>
      <c r="R94" s="40"/>
      <c r="S94" s="40"/>
      <c r="T94" s="40"/>
      <c r="U94" s="40"/>
      <c r="V94" s="40"/>
      <c r="W94" s="40"/>
      <c r="X94" s="40"/>
      <c r="Y94" s="40"/>
      <c r="Z94" s="40"/>
      <c r="AA94" s="40"/>
      <c r="AB94" s="40"/>
      <c r="AC94" s="40"/>
      <c r="AD94" s="40"/>
      <c r="AE94" s="40"/>
      <c r="AF94" s="40"/>
      <c r="AG94" s="40"/>
      <c r="AH94" s="40"/>
      <c r="AI94" s="40"/>
      <c r="AJ94" s="40"/>
      <c r="AK94" s="40"/>
      <c r="AL94" s="40"/>
      <c r="AM94" s="40"/>
      <c r="AN94" s="40"/>
      <c r="AO94" s="40"/>
      <c r="AP94" s="40"/>
      <c r="AQ94" s="40"/>
      <c r="AR94" s="40"/>
      <c r="AS94" s="40"/>
      <c r="AT94" s="40"/>
      <c r="AU94" s="40"/>
      <c r="AV94" s="40"/>
      <c r="AW94" s="40"/>
      <c r="AX94" s="40"/>
      <c r="AY94" s="40"/>
      <c r="AZ94" s="40"/>
      <c r="BA94" s="40"/>
      <c r="BB94" s="40"/>
    </row>
    <row r="95" spans="1:58" ht="15" customHeight="1">
      <c r="Z95" s="67"/>
      <c r="AA95" s="67"/>
      <c r="AB95" s="67"/>
      <c r="AC95" s="67"/>
      <c r="AD95" s="67"/>
      <c r="AE95" s="67"/>
      <c r="AF95" s="67"/>
      <c r="AG95" s="67"/>
      <c r="AH95" s="67"/>
      <c r="AI95" s="67"/>
      <c r="AJ95" s="67"/>
      <c r="AK95" s="67"/>
      <c r="AL95" s="67"/>
      <c r="AM95" s="67"/>
      <c r="AN95" s="67"/>
      <c r="AO95" s="67"/>
      <c r="AP95" s="67"/>
      <c r="AQ95" s="67"/>
      <c r="AR95" s="67"/>
      <c r="AS95" s="67"/>
      <c r="AT95" s="67"/>
      <c r="AU95" s="67"/>
      <c r="AV95" s="67"/>
      <c r="AW95" s="67"/>
      <c r="AX95" s="67"/>
      <c r="AY95" s="67"/>
      <c r="AZ95" s="67"/>
      <c r="BA95" s="67"/>
      <c r="BB95" s="67"/>
    </row>
    <row r="96" spans="1:58" ht="15" customHeight="1">
      <c r="A96"/>
      <c r="E96" s="19" t="s">
        <v>215</v>
      </c>
      <c r="G96" s="5" t="str">
        <f t="shared" ref="G96:G104" si="8">CONCATENATE(CF_currency,"m nominal prices")</f>
        <v>£m nominal prices</v>
      </c>
      <c r="H96" s="19" t="s">
        <v>216</v>
      </c>
      <c r="O96" s="31"/>
      <c r="P96" s="48">
        <v>0</v>
      </c>
      <c r="Q96" s="48">
        <v>0</v>
      </c>
      <c r="R96" s="48">
        <v>0</v>
      </c>
      <c r="S96" s="48">
        <v>0</v>
      </c>
      <c r="T96" s="48">
        <v>0</v>
      </c>
      <c r="U96" s="48">
        <v>0</v>
      </c>
      <c r="V96" s="48">
        <v>0</v>
      </c>
      <c r="W96" s="48">
        <v>0</v>
      </c>
      <c r="X96" s="48">
        <v>0</v>
      </c>
      <c r="Y96" s="48">
        <v>0</v>
      </c>
      <c r="Z96" s="48">
        <v>0</v>
      </c>
      <c r="AA96" s="48">
        <v>0</v>
      </c>
      <c r="AB96" s="48">
        <v>0</v>
      </c>
      <c r="AC96" s="48">
        <v>0</v>
      </c>
      <c r="AD96" s="48">
        <v>0</v>
      </c>
      <c r="AE96" s="48">
        <v>0</v>
      </c>
      <c r="AF96" s="48">
        <v>0</v>
      </c>
      <c r="AG96" s="48">
        <v>0</v>
      </c>
      <c r="AH96" s="48">
        <v>0</v>
      </c>
      <c r="AI96" s="48">
        <v>0</v>
      </c>
      <c r="AJ96" s="48">
        <v>0</v>
      </c>
      <c r="AK96" s="48">
        <v>0</v>
      </c>
      <c r="AL96" s="48">
        <v>0</v>
      </c>
      <c r="AM96" s="48">
        <v>0</v>
      </c>
      <c r="AN96" s="48">
        <v>0</v>
      </c>
      <c r="AO96" s="48">
        <v>0</v>
      </c>
      <c r="AP96" s="48">
        <v>0</v>
      </c>
      <c r="AQ96" s="48">
        <v>0</v>
      </c>
      <c r="AR96" s="48">
        <v>0</v>
      </c>
      <c r="AS96" s="48">
        <v>0</v>
      </c>
      <c r="AT96" s="48">
        <v>0</v>
      </c>
      <c r="AU96" s="48">
        <v>0</v>
      </c>
      <c r="AV96" s="48">
        <v>0</v>
      </c>
      <c r="AW96" s="48">
        <v>0</v>
      </c>
      <c r="AX96" s="48">
        <v>0</v>
      </c>
      <c r="AY96" s="48">
        <v>0</v>
      </c>
      <c r="AZ96" s="48">
        <v>0</v>
      </c>
      <c r="BA96" s="48">
        <v>0</v>
      </c>
      <c r="BB96" s="48">
        <v>0</v>
      </c>
    </row>
    <row r="97" spans="1:54" ht="15" customHeight="1">
      <c r="E97" s="19" t="s">
        <v>217</v>
      </c>
      <c r="G97" s="5" t="str">
        <f t="shared" si="8"/>
        <v>£m nominal prices</v>
      </c>
      <c r="H97" s="19" t="s">
        <v>218</v>
      </c>
      <c r="O97" s="31"/>
      <c r="P97" s="48">
        <v>0</v>
      </c>
      <c r="Q97" s="48">
        <v>0</v>
      </c>
      <c r="R97" s="48">
        <v>0</v>
      </c>
      <c r="S97" s="48">
        <v>0</v>
      </c>
      <c r="T97" s="48">
        <v>0</v>
      </c>
      <c r="U97" s="48">
        <v>0</v>
      </c>
      <c r="V97" s="48">
        <v>0</v>
      </c>
      <c r="W97" s="48">
        <v>0</v>
      </c>
      <c r="X97" s="48">
        <v>0</v>
      </c>
      <c r="Y97" s="48">
        <v>0</v>
      </c>
      <c r="Z97" s="48">
        <v>0</v>
      </c>
      <c r="AA97" s="48">
        <v>0</v>
      </c>
      <c r="AB97" s="48">
        <v>0</v>
      </c>
      <c r="AC97" s="48">
        <v>0</v>
      </c>
      <c r="AD97" s="48">
        <v>0</v>
      </c>
      <c r="AE97" s="48">
        <v>0</v>
      </c>
      <c r="AF97" s="48">
        <v>0</v>
      </c>
      <c r="AG97" s="48">
        <v>0</v>
      </c>
      <c r="AH97" s="48">
        <v>0</v>
      </c>
      <c r="AI97" s="48">
        <v>0</v>
      </c>
      <c r="AJ97" s="48">
        <v>0</v>
      </c>
      <c r="AK97" s="48">
        <v>0</v>
      </c>
      <c r="AL97" s="48">
        <v>0</v>
      </c>
      <c r="AM97" s="48">
        <v>0</v>
      </c>
      <c r="AN97" s="48">
        <v>0</v>
      </c>
      <c r="AO97" s="48">
        <v>0</v>
      </c>
      <c r="AP97" s="48">
        <v>0</v>
      </c>
      <c r="AQ97" s="48">
        <v>0</v>
      </c>
      <c r="AR97" s="48">
        <v>0</v>
      </c>
      <c r="AS97" s="48">
        <v>0</v>
      </c>
      <c r="AT97" s="48">
        <v>0</v>
      </c>
      <c r="AU97" s="48">
        <v>0</v>
      </c>
      <c r="AV97" s="48">
        <v>0</v>
      </c>
      <c r="AW97" s="48">
        <v>0</v>
      </c>
      <c r="AX97" s="48">
        <v>0</v>
      </c>
      <c r="AY97" s="48">
        <v>0</v>
      </c>
      <c r="AZ97" s="48">
        <v>0</v>
      </c>
      <c r="BA97" s="48">
        <v>0</v>
      </c>
      <c r="BB97" s="48">
        <v>0</v>
      </c>
    </row>
    <row r="98" spans="1:54" s="142" customFormat="1" ht="15" customHeight="1">
      <c r="E98" s="146" t="s">
        <v>219</v>
      </c>
      <c r="F98" s="19"/>
      <c r="G98" s="149" t="str">
        <f t="shared" si="8"/>
        <v>£m nominal prices</v>
      </c>
      <c r="H98" s="146" t="s">
        <v>220</v>
      </c>
      <c r="I98" s="19"/>
      <c r="J98" s="19"/>
      <c r="K98" s="19"/>
      <c r="L98" s="19"/>
      <c r="M98" s="19"/>
      <c r="N98" s="19"/>
      <c r="O98" s="31"/>
      <c r="P98" s="148">
        <v>0</v>
      </c>
      <c r="Q98" s="148">
        <v>0</v>
      </c>
      <c r="R98" s="148">
        <v>0</v>
      </c>
      <c r="S98" s="148">
        <v>0</v>
      </c>
      <c r="T98" s="148">
        <v>0</v>
      </c>
      <c r="U98" s="148">
        <v>0</v>
      </c>
      <c r="V98" s="148">
        <v>0</v>
      </c>
      <c r="W98" s="148">
        <v>0</v>
      </c>
      <c r="X98" s="148">
        <v>0</v>
      </c>
      <c r="Y98" s="148">
        <v>0</v>
      </c>
      <c r="Z98" s="148">
        <v>0</v>
      </c>
      <c r="AA98" s="148">
        <v>0</v>
      </c>
      <c r="AB98" s="148">
        <v>0</v>
      </c>
      <c r="AC98" s="148">
        <v>0</v>
      </c>
      <c r="AD98" s="148">
        <v>0</v>
      </c>
      <c r="AE98" s="148">
        <v>0</v>
      </c>
      <c r="AF98" s="148">
        <v>0</v>
      </c>
      <c r="AG98" s="148">
        <v>0</v>
      </c>
      <c r="AH98" s="148">
        <v>0</v>
      </c>
      <c r="AI98" s="148">
        <v>0</v>
      </c>
      <c r="AJ98" s="148">
        <v>0</v>
      </c>
      <c r="AK98" s="148">
        <v>0</v>
      </c>
      <c r="AL98" s="148">
        <v>0</v>
      </c>
      <c r="AM98" s="148">
        <v>0</v>
      </c>
      <c r="AN98" s="148">
        <v>0</v>
      </c>
      <c r="AO98" s="148">
        <v>0</v>
      </c>
      <c r="AP98" s="148">
        <v>0</v>
      </c>
      <c r="AQ98" s="148">
        <v>0</v>
      </c>
      <c r="AR98" s="148">
        <v>0</v>
      </c>
      <c r="AS98" s="148">
        <v>0</v>
      </c>
      <c r="AT98" s="148">
        <v>0</v>
      </c>
      <c r="AU98" s="148">
        <v>0</v>
      </c>
      <c r="AV98" s="148">
        <v>0</v>
      </c>
      <c r="AW98" s="148">
        <v>0</v>
      </c>
      <c r="AX98" s="148">
        <v>0</v>
      </c>
      <c r="AY98" s="148">
        <v>0</v>
      </c>
      <c r="AZ98" s="148">
        <v>0</v>
      </c>
      <c r="BA98" s="148">
        <v>0</v>
      </c>
      <c r="BB98" s="148">
        <v>0</v>
      </c>
    </row>
    <row r="99" spans="1:54" ht="15" customHeight="1">
      <c r="E99" s="19" t="s">
        <v>221</v>
      </c>
      <c r="G99" s="5" t="str">
        <f t="shared" si="8"/>
        <v>£m nominal prices</v>
      </c>
      <c r="H99" s="19" t="s">
        <v>222</v>
      </c>
      <c r="O99" s="31"/>
      <c r="P99" s="48">
        <v>0</v>
      </c>
      <c r="Q99" s="48">
        <v>0</v>
      </c>
      <c r="R99" s="48">
        <v>0</v>
      </c>
      <c r="S99" s="48">
        <v>0</v>
      </c>
      <c r="T99" s="48">
        <v>0</v>
      </c>
      <c r="U99" s="48">
        <v>0</v>
      </c>
      <c r="V99" s="48">
        <v>0</v>
      </c>
      <c r="W99" s="48">
        <v>0</v>
      </c>
      <c r="X99" s="48">
        <v>0</v>
      </c>
      <c r="Y99" s="48">
        <v>0</v>
      </c>
      <c r="Z99" s="48">
        <v>0</v>
      </c>
      <c r="AA99" s="48">
        <v>0</v>
      </c>
      <c r="AB99" s="48">
        <v>0</v>
      </c>
      <c r="AC99" s="48">
        <v>0</v>
      </c>
      <c r="AD99" s="48">
        <v>0</v>
      </c>
      <c r="AE99" s="48">
        <v>0</v>
      </c>
      <c r="AF99" s="48">
        <v>0</v>
      </c>
      <c r="AG99" s="48">
        <v>0</v>
      </c>
      <c r="AH99" s="48">
        <v>0</v>
      </c>
      <c r="AI99" s="48">
        <v>0</v>
      </c>
      <c r="AJ99" s="48">
        <v>0</v>
      </c>
      <c r="AK99" s="48">
        <v>0</v>
      </c>
      <c r="AL99" s="48">
        <v>0</v>
      </c>
      <c r="AM99" s="48">
        <v>0</v>
      </c>
      <c r="AN99" s="48">
        <v>0</v>
      </c>
      <c r="AO99" s="48">
        <v>0</v>
      </c>
      <c r="AP99" s="48">
        <v>0</v>
      </c>
      <c r="AQ99" s="48">
        <v>0</v>
      </c>
      <c r="AR99" s="48">
        <v>0</v>
      </c>
      <c r="AS99" s="48">
        <v>0</v>
      </c>
      <c r="AT99" s="48">
        <v>0</v>
      </c>
      <c r="AU99" s="48">
        <v>0</v>
      </c>
      <c r="AV99" s="48">
        <v>0</v>
      </c>
      <c r="AW99" s="48">
        <v>0</v>
      </c>
      <c r="AX99" s="48">
        <v>0</v>
      </c>
      <c r="AY99" s="48">
        <v>0</v>
      </c>
      <c r="AZ99" s="48">
        <v>0</v>
      </c>
      <c r="BA99" s="48">
        <v>0</v>
      </c>
      <c r="BB99" s="48">
        <v>0</v>
      </c>
    </row>
    <row r="100" spans="1:54" ht="15" customHeight="1">
      <c r="E100" s="19" t="s">
        <v>223</v>
      </c>
      <c r="G100" s="5" t="str">
        <f t="shared" si="8"/>
        <v>£m nominal prices</v>
      </c>
      <c r="H100" s="19" t="s">
        <v>224</v>
      </c>
      <c r="O100" s="31"/>
      <c r="P100" s="48">
        <v>0</v>
      </c>
      <c r="Q100" s="48">
        <v>0</v>
      </c>
      <c r="R100" s="48">
        <v>0</v>
      </c>
      <c r="S100" s="48">
        <v>0</v>
      </c>
      <c r="T100" s="48">
        <v>0</v>
      </c>
      <c r="U100" s="48">
        <v>0</v>
      </c>
      <c r="V100" s="48">
        <v>0</v>
      </c>
      <c r="W100" s="48">
        <v>0</v>
      </c>
      <c r="X100" s="48">
        <v>0</v>
      </c>
      <c r="Y100" s="48">
        <v>0</v>
      </c>
      <c r="Z100" s="48">
        <v>0</v>
      </c>
      <c r="AA100" s="48">
        <v>0</v>
      </c>
      <c r="AB100" s="48">
        <v>0</v>
      </c>
      <c r="AC100" s="48">
        <v>0</v>
      </c>
      <c r="AD100" s="48">
        <v>0</v>
      </c>
      <c r="AE100" s="48">
        <v>0</v>
      </c>
      <c r="AF100" s="48">
        <v>0</v>
      </c>
      <c r="AG100" s="48">
        <v>0</v>
      </c>
      <c r="AH100" s="48">
        <v>0</v>
      </c>
      <c r="AI100" s="48">
        <v>0</v>
      </c>
      <c r="AJ100" s="48">
        <v>0</v>
      </c>
      <c r="AK100" s="48">
        <v>0</v>
      </c>
      <c r="AL100" s="48">
        <v>0</v>
      </c>
      <c r="AM100" s="48">
        <v>0</v>
      </c>
      <c r="AN100" s="48">
        <v>0</v>
      </c>
      <c r="AO100" s="48">
        <v>0</v>
      </c>
      <c r="AP100" s="48">
        <v>0</v>
      </c>
      <c r="AQ100" s="48">
        <v>0</v>
      </c>
      <c r="AR100" s="48">
        <v>0</v>
      </c>
      <c r="AS100" s="48">
        <v>0</v>
      </c>
      <c r="AT100" s="48">
        <v>0</v>
      </c>
      <c r="AU100" s="48">
        <v>0</v>
      </c>
      <c r="AV100" s="48">
        <v>0</v>
      </c>
      <c r="AW100" s="48">
        <v>0</v>
      </c>
      <c r="AX100" s="48">
        <v>0</v>
      </c>
      <c r="AY100" s="48">
        <v>0</v>
      </c>
      <c r="AZ100" s="48">
        <v>0</v>
      </c>
      <c r="BA100" s="48">
        <v>0</v>
      </c>
      <c r="BB100" s="48">
        <v>0</v>
      </c>
    </row>
    <row r="101" spans="1:54" ht="15" customHeight="1">
      <c r="E101" s="19" t="s">
        <v>225</v>
      </c>
      <c r="G101" s="5" t="str">
        <f t="shared" si="8"/>
        <v>£m nominal prices</v>
      </c>
      <c r="H101" s="19" t="s">
        <v>226</v>
      </c>
      <c r="O101" s="31"/>
      <c r="P101" s="48">
        <v>0</v>
      </c>
      <c r="Q101" s="48">
        <v>0</v>
      </c>
      <c r="R101" s="48">
        <v>0</v>
      </c>
      <c r="S101" s="48">
        <v>0</v>
      </c>
      <c r="T101" s="48">
        <v>0</v>
      </c>
      <c r="U101" s="48">
        <v>0</v>
      </c>
      <c r="V101" s="48">
        <v>0</v>
      </c>
      <c r="W101" s="48">
        <v>0</v>
      </c>
      <c r="X101" s="48">
        <v>0</v>
      </c>
      <c r="Y101" s="48">
        <v>0</v>
      </c>
      <c r="Z101" s="48">
        <v>0</v>
      </c>
      <c r="AA101" s="48">
        <v>0</v>
      </c>
      <c r="AB101" s="48">
        <v>0</v>
      </c>
      <c r="AC101" s="48">
        <v>0</v>
      </c>
      <c r="AD101" s="48">
        <v>0</v>
      </c>
      <c r="AE101" s="48">
        <v>0</v>
      </c>
      <c r="AF101" s="48">
        <v>0</v>
      </c>
      <c r="AG101" s="48">
        <v>0</v>
      </c>
      <c r="AH101" s="48">
        <v>0</v>
      </c>
      <c r="AI101" s="48">
        <v>0</v>
      </c>
      <c r="AJ101" s="48">
        <v>0</v>
      </c>
      <c r="AK101" s="48">
        <v>0</v>
      </c>
      <c r="AL101" s="48">
        <v>0</v>
      </c>
      <c r="AM101" s="48">
        <v>0</v>
      </c>
      <c r="AN101" s="48">
        <v>0</v>
      </c>
      <c r="AO101" s="48">
        <v>0</v>
      </c>
      <c r="AP101" s="48">
        <v>0</v>
      </c>
      <c r="AQ101" s="48">
        <v>0</v>
      </c>
      <c r="AR101" s="48">
        <v>0</v>
      </c>
      <c r="AS101" s="48">
        <v>0</v>
      </c>
      <c r="AT101" s="48">
        <v>0</v>
      </c>
      <c r="AU101" s="48">
        <v>0</v>
      </c>
      <c r="AV101" s="48">
        <v>0</v>
      </c>
      <c r="AW101" s="48">
        <v>0</v>
      </c>
      <c r="AX101" s="48">
        <v>0</v>
      </c>
      <c r="AY101" s="48">
        <v>0</v>
      </c>
      <c r="AZ101" s="48">
        <v>0</v>
      </c>
      <c r="BA101" s="48">
        <v>0</v>
      </c>
      <c r="BB101" s="48">
        <v>0</v>
      </c>
    </row>
    <row r="102" spans="1:54" s="142" customFormat="1" ht="15" customHeight="1">
      <c r="E102" s="146" t="s">
        <v>227</v>
      </c>
      <c r="F102" s="19"/>
      <c r="G102" s="149" t="str">
        <f t="shared" si="8"/>
        <v>£m nominal prices</v>
      </c>
      <c r="H102" s="146" t="s">
        <v>228</v>
      </c>
      <c r="I102" s="19"/>
      <c r="J102" s="19"/>
      <c r="K102" s="19"/>
      <c r="L102" s="19"/>
      <c r="M102" s="19"/>
      <c r="N102" s="19"/>
      <c r="O102" s="31"/>
      <c r="P102" s="148">
        <v>0</v>
      </c>
      <c r="Q102" s="148">
        <v>0</v>
      </c>
      <c r="R102" s="148">
        <v>0</v>
      </c>
      <c r="S102" s="148">
        <v>0</v>
      </c>
      <c r="T102" s="148">
        <v>0</v>
      </c>
      <c r="U102" s="148">
        <v>0</v>
      </c>
      <c r="V102" s="148">
        <v>0</v>
      </c>
      <c r="W102" s="148">
        <v>0</v>
      </c>
      <c r="X102" s="148">
        <v>0</v>
      </c>
      <c r="Y102" s="148">
        <v>0</v>
      </c>
      <c r="Z102" s="148">
        <v>0</v>
      </c>
      <c r="AA102" s="148">
        <v>0</v>
      </c>
      <c r="AB102" s="148">
        <v>0</v>
      </c>
      <c r="AC102" s="148">
        <v>0</v>
      </c>
      <c r="AD102" s="148">
        <v>0</v>
      </c>
      <c r="AE102" s="148">
        <v>0</v>
      </c>
      <c r="AF102" s="148">
        <v>0</v>
      </c>
      <c r="AG102" s="148">
        <v>0</v>
      </c>
      <c r="AH102" s="148">
        <v>0</v>
      </c>
      <c r="AI102" s="148">
        <v>0</v>
      </c>
      <c r="AJ102" s="148">
        <v>0</v>
      </c>
      <c r="AK102" s="148">
        <v>0</v>
      </c>
      <c r="AL102" s="148">
        <v>0</v>
      </c>
      <c r="AM102" s="148">
        <v>0</v>
      </c>
      <c r="AN102" s="148">
        <v>0</v>
      </c>
      <c r="AO102" s="148">
        <v>0</v>
      </c>
      <c r="AP102" s="148">
        <v>0</v>
      </c>
      <c r="AQ102" s="148">
        <v>0</v>
      </c>
      <c r="AR102" s="148">
        <v>0</v>
      </c>
      <c r="AS102" s="148">
        <v>0</v>
      </c>
      <c r="AT102" s="148">
        <v>0</v>
      </c>
      <c r="AU102" s="148">
        <v>0</v>
      </c>
      <c r="AV102" s="148">
        <v>0</v>
      </c>
      <c r="AW102" s="148">
        <v>0</v>
      </c>
      <c r="AX102" s="148">
        <v>0</v>
      </c>
      <c r="AY102" s="148">
        <v>0</v>
      </c>
      <c r="AZ102" s="148">
        <v>0</v>
      </c>
      <c r="BA102" s="148">
        <v>0</v>
      </c>
      <c r="BB102" s="148">
        <v>0</v>
      </c>
    </row>
    <row r="103" spans="1:54" ht="15" customHeight="1">
      <c r="E103" s="19" t="s">
        <v>229</v>
      </c>
      <c r="G103" s="5" t="str">
        <f t="shared" si="8"/>
        <v>£m nominal prices</v>
      </c>
      <c r="H103" s="19" t="s">
        <v>230</v>
      </c>
      <c r="O103" s="31"/>
      <c r="P103" s="48">
        <v>0</v>
      </c>
      <c r="Q103" s="48">
        <v>0</v>
      </c>
      <c r="R103" s="48">
        <v>0</v>
      </c>
      <c r="S103" s="48">
        <v>0</v>
      </c>
      <c r="T103" s="48">
        <v>0</v>
      </c>
      <c r="U103" s="48">
        <v>0</v>
      </c>
      <c r="V103" s="48">
        <v>0</v>
      </c>
      <c r="W103" s="48">
        <v>0</v>
      </c>
      <c r="X103" s="48">
        <v>0</v>
      </c>
      <c r="Y103" s="48">
        <v>0</v>
      </c>
      <c r="Z103" s="48">
        <v>0</v>
      </c>
      <c r="AA103" s="48">
        <v>0</v>
      </c>
      <c r="AB103" s="48">
        <v>0</v>
      </c>
      <c r="AC103" s="48">
        <v>0</v>
      </c>
      <c r="AD103" s="48">
        <v>0</v>
      </c>
      <c r="AE103" s="48">
        <v>0</v>
      </c>
      <c r="AF103" s="48">
        <v>0</v>
      </c>
      <c r="AG103" s="48">
        <v>0</v>
      </c>
      <c r="AH103" s="48">
        <v>0</v>
      </c>
      <c r="AI103" s="48">
        <v>0</v>
      </c>
      <c r="AJ103" s="48">
        <v>0</v>
      </c>
      <c r="AK103" s="48">
        <v>0</v>
      </c>
      <c r="AL103" s="48">
        <v>0</v>
      </c>
      <c r="AM103" s="48">
        <v>0</v>
      </c>
      <c r="AN103" s="48">
        <v>0</v>
      </c>
      <c r="AO103" s="48">
        <v>0</v>
      </c>
      <c r="AP103" s="48">
        <v>0</v>
      </c>
      <c r="AQ103" s="48">
        <v>0</v>
      </c>
      <c r="AR103" s="48">
        <v>0</v>
      </c>
      <c r="AS103" s="48">
        <v>0</v>
      </c>
      <c r="AT103" s="48">
        <v>0</v>
      </c>
      <c r="AU103" s="48">
        <v>0</v>
      </c>
      <c r="AV103" s="48">
        <v>0</v>
      </c>
      <c r="AW103" s="48">
        <v>0</v>
      </c>
      <c r="AX103" s="48">
        <v>0</v>
      </c>
      <c r="AY103" s="48">
        <v>0</v>
      </c>
      <c r="AZ103" s="48">
        <v>0</v>
      </c>
      <c r="BA103" s="48">
        <v>0</v>
      </c>
      <c r="BB103" s="48">
        <v>0</v>
      </c>
    </row>
    <row r="104" spans="1:54" ht="15" customHeight="1">
      <c r="E104" s="19" t="s">
        <v>231</v>
      </c>
      <c r="G104" s="5" t="str">
        <f t="shared" si="8"/>
        <v>£m nominal prices</v>
      </c>
      <c r="H104" s="19" t="s">
        <v>232</v>
      </c>
      <c r="O104" s="31"/>
      <c r="P104" s="86">
        <f t="shared" ref="P104:Y104" si="9">SUM(P96:P103)</f>
        <v>0</v>
      </c>
      <c r="Q104" s="86">
        <f t="shared" si="9"/>
        <v>0</v>
      </c>
      <c r="R104" s="86">
        <f t="shared" si="9"/>
        <v>0</v>
      </c>
      <c r="S104" s="86">
        <f t="shared" si="9"/>
        <v>0</v>
      </c>
      <c r="T104" s="86">
        <f t="shared" si="9"/>
        <v>0</v>
      </c>
      <c r="U104" s="86">
        <f t="shared" si="9"/>
        <v>0</v>
      </c>
      <c r="V104" s="86">
        <f t="shared" si="9"/>
        <v>0</v>
      </c>
      <c r="W104" s="86">
        <f t="shared" si="9"/>
        <v>0</v>
      </c>
      <c r="X104" s="86">
        <f t="shared" si="9"/>
        <v>0</v>
      </c>
      <c r="Y104" s="86">
        <f t="shared" si="9"/>
        <v>0</v>
      </c>
      <c r="Z104" s="86">
        <f t="shared" ref="Z104:BB104" si="10">SUM(Z96:Z103)</f>
        <v>0</v>
      </c>
      <c r="AA104" s="86">
        <f t="shared" si="10"/>
        <v>0</v>
      </c>
      <c r="AB104" s="86">
        <f t="shared" si="10"/>
        <v>0</v>
      </c>
      <c r="AC104" s="86">
        <f t="shared" si="10"/>
        <v>0</v>
      </c>
      <c r="AD104" s="86">
        <f t="shared" si="10"/>
        <v>0</v>
      </c>
      <c r="AE104" s="86">
        <f t="shared" si="10"/>
        <v>0</v>
      </c>
      <c r="AF104" s="86">
        <f t="shared" si="10"/>
        <v>0</v>
      </c>
      <c r="AG104" s="86">
        <f t="shared" si="10"/>
        <v>0</v>
      </c>
      <c r="AH104" s="86">
        <f t="shared" si="10"/>
        <v>0</v>
      </c>
      <c r="AI104" s="86">
        <f t="shared" si="10"/>
        <v>0</v>
      </c>
      <c r="AJ104" s="86">
        <f t="shared" si="10"/>
        <v>0</v>
      </c>
      <c r="AK104" s="86">
        <f t="shared" si="10"/>
        <v>0</v>
      </c>
      <c r="AL104" s="86">
        <f t="shared" si="10"/>
        <v>0</v>
      </c>
      <c r="AM104" s="86">
        <f t="shared" si="10"/>
        <v>0</v>
      </c>
      <c r="AN104" s="86">
        <f t="shared" si="10"/>
        <v>0</v>
      </c>
      <c r="AO104" s="86">
        <f t="shared" si="10"/>
        <v>0</v>
      </c>
      <c r="AP104" s="86">
        <f t="shared" si="10"/>
        <v>0</v>
      </c>
      <c r="AQ104" s="86">
        <f t="shared" si="10"/>
        <v>0</v>
      </c>
      <c r="AR104" s="86">
        <f t="shared" si="10"/>
        <v>0</v>
      </c>
      <c r="AS104" s="86">
        <f t="shared" si="10"/>
        <v>0</v>
      </c>
      <c r="AT104" s="86">
        <f t="shared" si="10"/>
        <v>0</v>
      </c>
      <c r="AU104" s="86">
        <f t="shared" si="10"/>
        <v>0</v>
      </c>
      <c r="AV104" s="86">
        <f t="shared" si="10"/>
        <v>0</v>
      </c>
      <c r="AW104" s="86">
        <f t="shared" si="10"/>
        <v>0</v>
      </c>
      <c r="AX104" s="86">
        <f t="shared" si="10"/>
        <v>0</v>
      </c>
      <c r="AY104" s="86">
        <f t="shared" si="10"/>
        <v>0</v>
      </c>
      <c r="AZ104" s="86">
        <f t="shared" si="10"/>
        <v>0</v>
      </c>
      <c r="BA104" s="86">
        <f t="shared" si="10"/>
        <v>0</v>
      </c>
      <c r="BB104" s="86">
        <f t="shared" si="10"/>
        <v>0</v>
      </c>
    </row>
    <row r="105" spans="1:54" ht="15" customHeight="1">
      <c r="Z105" s="67"/>
      <c r="AA105" s="67"/>
      <c r="AB105" s="67"/>
      <c r="AC105" s="67"/>
      <c r="AD105" s="67"/>
      <c r="AE105" s="67"/>
      <c r="AF105" s="67"/>
      <c r="AG105" s="67"/>
      <c r="AH105" s="67"/>
      <c r="AI105" s="67"/>
      <c r="AJ105" s="67"/>
      <c r="AK105" s="67"/>
      <c r="AL105" s="67"/>
      <c r="AM105" s="67"/>
      <c r="AN105" s="67"/>
      <c r="AO105" s="67"/>
      <c r="AP105" s="67"/>
      <c r="AQ105" s="67"/>
      <c r="AR105" s="67"/>
      <c r="AS105" s="67"/>
      <c r="AT105" s="67"/>
      <c r="AU105" s="67"/>
      <c r="AV105" s="67"/>
      <c r="AW105" s="67"/>
      <c r="AX105" s="67"/>
      <c r="AY105" s="67"/>
      <c r="AZ105" s="67"/>
      <c r="BA105" s="67"/>
      <c r="BB105" s="67"/>
    </row>
    <row r="106" spans="1:54" ht="15" customHeight="1">
      <c r="A106"/>
      <c r="E106" s="19" t="s">
        <v>233</v>
      </c>
      <c r="G106" s="5" t="str">
        <f>CONCATENATE(CF_currency,"m nominal prices")</f>
        <v>£m nominal prices</v>
      </c>
      <c r="H106" s="19" t="s">
        <v>234</v>
      </c>
      <c r="O106" s="31"/>
      <c r="P106" s="48">
        <v>0</v>
      </c>
      <c r="Q106" s="48">
        <v>0</v>
      </c>
      <c r="R106" s="48">
        <v>0</v>
      </c>
      <c r="S106" s="48">
        <v>0</v>
      </c>
      <c r="T106" s="48">
        <v>0</v>
      </c>
      <c r="U106" s="48">
        <v>0</v>
      </c>
      <c r="V106" s="48">
        <v>0</v>
      </c>
      <c r="W106" s="48">
        <v>0</v>
      </c>
      <c r="X106" s="48">
        <v>0</v>
      </c>
      <c r="Y106" s="48">
        <v>0</v>
      </c>
      <c r="Z106" s="48">
        <v>0</v>
      </c>
      <c r="AA106" s="48">
        <v>0</v>
      </c>
      <c r="AB106" s="48">
        <v>0</v>
      </c>
      <c r="AC106" s="48">
        <v>0</v>
      </c>
      <c r="AD106" s="48">
        <v>0</v>
      </c>
      <c r="AE106" s="48">
        <v>0</v>
      </c>
      <c r="AF106" s="48">
        <v>0</v>
      </c>
      <c r="AG106" s="48">
        <v>0</v>
      </c>
      <c r="AH106" s="48">
        <v>0</v>
      </c>
      <c r="AI106" s="48">
        <v>0</v>
      </c>
      <c r="AJ106" s="48">
        <v>0</v>
      </c>
      <c r="AK106" s="48">
        <v>0</v>
      </c>
      <c r="AL106" s="48">
        <v>0</v>
      </c>
      <c r="AM106" s="48">
        <v>0</v>
      </c>
      <c r="AN106" s="48">
        <v>0</v>
      </c>
      <c r="AO106" s="48">
        <v>0</v>
      </c>
      <c r="AP106" s="48">
        <v>0</v>
      </c>
      <c r="AQ106" s="48">
        <v>0</v>
      </c>
      <c r="AR106" s="48">
        <v>0</v>
      </c>
      <c r="AS106" s="48">
        <v>0</v>
      </c>
      <c r="AT106" s="48">
        <v>0</v>
      </c>
      <c r="AU106" s="48">
        <v>0</v>
      </c>
      <c r="AV106" s="48">
        <v>0</v>
      </c>
      <c r="AW106" s="48">
        <v>0</v>
      </c>
      <c r="AX106" s="48">
        <v>0</v>
      </c>
      <c r="AY106" s="48">
        <v>0</v>
      </c>
      <c r="AZ106" s="48">
        <v>0</v>
      </c>
      <c r="BA106" s="48">
        <v>0</v>
      </c>
      <c r="BB106" s="48">
        <v>0</v>
      </c>
    </row>
    <row r="107" spans="1:54" ht="15" customHeight="1">
      <c r="A107"/>
      <c r="E107" s="19" t="s">
        <v>235</v>
      </c>
      <c r="G107" s="5" t="str">
        <f>CONCATENATE(CF_currency,"m nominal prices")</f>
        <v>£m nominal prices</v>
      </c>
      <c r="H107" s="19" t="s">
        <v>236</v>
      </c>
      <c r="O107" s="31"/>
      <c r="P107" s="48">
        <v>0</v>
      </c>
      <c r="Q107" s="48">
        <v>0</v>
      </c>
      <c r="R107" s="48">
        <v>0</v>
      </c>
      <c r="S107" s="48">
        <v>0</v>
      </c>
      <c r="T107" s="48">
        <v>0</v>
      </c>
      <c r="U107" s="48">
        <v>0</v>
      </c>
      <c r="V107" s="48">
        <v>0</v>
      </c>
      <c r="W107" s="48">
        <v>0</v>
      </c>
      <c r="X107" s="48">
        <v>0</v>
      </c>
      <c r="Y107" s="48">
        <v>0</v>
      </c>
      <c r="Z107" s="48">
        <v>0</v>
      </c>
      <c r="AA107" s="48">
        <v>0</v>
      </c>
      <c r="AB107" s="48">
        <v>0</v>
      </c>
      <c r="AC107" s="48">
        <v>0</v>
      </c>
      <c r="AD107" s="48">
        <v>0</v>
      </c>
      <c r="AE107" s="48">
        <v>0</v>
      </c>
      <c r="AF107" s="48">
        <v>0</v>
      </c>
      <c r="AG107" s="48">
        <v>0</v>
      </c>
      <c r="AH107" s="48">
        <v>0</v>
      </c>
      <c r="AI107" s="48">
        <v>0</v>
      </c>
      <c r="AJ107" s="48">
        <v>0</v>
      </c>
      <c r="AK107" s="48">
        <v>0</v>
      </c>
      <c r="AL107" s="48">
        <v>0</v>
      </c>
      <c r="AM107" s="48">
        <v>0</v>
      </c>
      <c r="AN107" s="48">
        <v>0</v>
      </c>
      <c r="AO107" s="48">
        <v>0</v>
      </c>
      <c r="AP107" s="48">
        <v>0</v>
      </c>
      <c r="AQ107" s="48">
        <v>0</v>
      </c>
      <c r="AR107" s="48">
        <v>0</v>
      </c>
      <c r="AS107" s="48">
        <v>0</v>
      </c>
      <c r="AT107" s="48">
        <v>0</v>
      </c>
      <c r="AU107" s="48">
        <v>0</v>
      </c>
      <c r="AV107" s="48">
        <v>0</v>
      </c>
      <c r="AW107" s="48">
        <v>0</v>
      </c>
      <c r="AX107" s="48">
        <v>0</v>
      </c>
      <c r="AY107" s="48">
        <v>0</v>
      </c>
      <c r="AZ107" s="48">
        <v>0</v>
      </c>
      <c r="BA107" s="48">
        <v>0</v>
      </c>
      <c r="BB107" s="48">
        <v>0</v>
      </c>
    </row>
    <row r="108" spans="1:54" ht="15" customHeight="1">
      <c r="E108" s="19" t="s">
        <v>237</v>
      </c>
      <c r="G108" s="5" t="str">
        <f>CONCATENATE(CF_currency,"m nominal prices")</f>
        <v>£m nominal prices</v>
      </c>
      <c r="H108" s="19" t="s">
        <v>238</v>
      </c>
      <c r="O108" s="31"/>
      <c r="P108" s="48">
        <v>0</v>
      </c>
      <c r="Q108" s="48">
        <v>0</v>
      </c>
      <c r="R108" s="48">
        <v>0</v>
      </c>
      <c r="S108" s="48">
        <v>0</v>
      </c>
      <c r="T108" s="48">
        <v>0</v>
      </c>
      <c r="U108" s="48">
        <v>0</v>
      </c>
      <c r="V108" s="48">
        <v>0</v>
      </c>
      <c r="W108" s="48">
        <v>0</v>
      </c>
      <c r="X108" s="48">
        <v>0</v>
      </c>
      <c r="Y108" s="48">
        <v>0</v>
      </c>
      <c r="Z108" s="48">
        <v>0</v>
      </c>
      <c r="AA108" s="48">
        <v>0</v>
      </c>
      <c r="AB108" s="48">
        <v>0</v>
      </c>
      <c r="AC108" s="48">
        <v>0</v>
      </c>
      <c r="AD108" s="48">
        <v>0</v>
      </c>
      <c r="AE108" s="48">
        <v>0</v>
      </c>
      <c r="AF108" s="48">
        <v>0</v>
      </c>
      <c r="AG108" s="48">
        <v>0</v>
      </c>
      <c r="AH108" s="48">
        <v>0</v>
      </c>
      <c r="AI108" s="48">
        <v>0</v>
      </c>
      <c r="AJ108" s="48">
        <v>0</v>
      </c>
      <c r="AK108" s="48">
        <v>0</v>
      </c>
      <c r="AL108" s="48">
        <v>0</v>
      </c>
      <c r="AM108" s="48">
        <v>0</v>
      </c>
      <c r="AN108" s="48">
        <v>0</v>
      </c>
      <c r="AO108" s="48">
        <v>0</v>
      </c>
      <c r="AP108" s="48">
        <v>0</v>
      </c>
      <c r="AQ108" s="48">
        <v>0</v>
      </c>
      <c r="AR108" s="48">
        <v>0</v>
      </c>
      <c r="AS108" s="48">
        <v>0</v>
      </c>
      <c r="AT108" s="48">
        <v>0</v>
      </c>
      <c r="AU108" s="48">
        <v>0</v>
      </c>
      <c r="AV108" s="48">
        <v>0</v>
      </c>
      <c r="AW108" s="48">
        <v>0</v>
      </c>
      <c r="AX108" s="48">
        <v>0</v>
      </c>
      <c r="AY108" s="48">
        <v>0</v>
      </c>
      <c r="AZ108" s="48">
        <v>0</v>
      </c>
      <c r="BA108" s="48">
        <v>0</v>
      </c>
      <c r="BB108" s="48">
        <v>0</v>
      </c>
    </row>
    <row r="109" spans="1:54" ht="15" customHeight="1">
      <c r="E109" s="19" t="s">
        <v>239</v>
      </c>
      <c r="G109" s="5" t="str">
        <f>CONCATENATE(CF_currency,"m nominal prices")</f>
        <v>£m nominal prices</v>
      </c>
      <c r="H109" s="19" t="s">
        <v>240</v>
      </c>
      <c r="O109" s="31"/>
      <c r="P109" s="86">
        <f t="shared" ref="P109:AY109" si="11">SUM(P106:P108)</f>
        <v>0</v>
      </c>
      <c r="Q109" s="86">
        <f t="shared" si="11"/>
        <v>0</v>
      </c>
      <c r="R109" s="86">
        <f t="shared" si="11"/>
        <v>0</v>
      </c>
      <c r="S109" s="86">
        <f t="shared" si="11"/>
        <v>0</v>
      </c>
      <c r="T109" s="86">
        <f t="shared" si="11"/>
        <v>0</v>
      </c>
      <c r="U109" s="86">
        <f t="shared" si="11"/>
        <v>0</v>
      </c>
      <c r="V109" s="86">
        <f t="shared" si="11"/>
        <v>0</v>
      </c>
      <c r="W109" s="86">
        <f t="shared" si="11"/>
        <v>0</v>
      </c>
      <c r="X109" s="86">
        <f t="shared" si="11"/>
        <v>0</v>
      </c>
      <c r="Y109" s="86">
        <f t="shared" si="11"/>
        <v>0</v>
      </c>
      <c r="Z109" s="86">
        <f t="shared" si="11"/>
        <v>0</v>
      </c>
      <c r="AA109" s="86">
        <f t="shared" si="11"/>
        <v>0</v>
      </c>
      <c r="AB109" s="86">
        <f t="shared" si="11"/>
        <v>0</v>
      </c>
      <c r="AC109" s="86">
        <f t="shared" si="11"/>
        <v>0</v>
      </c>
      <c r="AD109" s="86">
        <f t="shared" si="11"/>
        <v>0</v>
      </c>
      <c r="AE109" s="86">
        <f t="shared" si="11"/>
        <v>0</v>
      </c>
      <c r="AF109" s="86">
        <f t="shared" si="11"/>
        <v>0</v>
      </c>
      <c r="AG109" s="86">
        <f t="shared" si="11"/>
        <v>0</v>
      </c>
      <c r="AH109" s="86">
        <f t="shared" si="11"/>
        <v>0</v>
      </c>
      <c r="AI109" s="86">
        <f t="shared" si="11"/>
        <v>0</v>
      </c>
      <c r="AJ109" s="86">
        <f t="shared" si="11"/>
        <v>0</v>
      </c>
      <c r="AK109" s="86">
        <f t="shared" si="11"/>
        <v>0</v>
      </c>
      <c r="AL109" s="86">
        <f t="shared" si="11"/>
        <v>0</v>
      </c>
      <c r="AM109" s="86">
        <f t="shared" si="11"/>
        <v>0</v>
      </c>
      <c r="AN109" s="86">
        <f t="shared" si="11"/>
        <v>0</v>
      </c>
      <c r="AO109" s="86">
        <f t="shared" si="11"/>
        <v>0</v>
      </c>
      <c r="AP109" s="86">
        <f t="shared" si="11"/>
        <v>0</v>
      </c>
      <c r="AQ109" s="86">
        <f t="shared" si="11"/>
        <v>0</v>
      </c>
      <c r="AR109" s="86">
        <f t="shared" si="11"/>
        <v>0</v>
      </c>
      <c r="AS109" s="86">
        <f t="shared" si="11"/>
        <v>0</v>
      </c>
      <c r="AT109" s="86">
        <f t="shared" si="11"/>
        <v>0</v>
      </c>
      <c r="AU109" s="86">
        <f t="shared" si="11"/>
        <v>0</v>
      </c>
      <c r="AV109" s="86">
        <f t="shared" si="11"/>
        <v>0</v>
      </c>
      <c r="AW109" s="86">
        <f t="shared" si="11"/>
        <v>0</v>
      </c>
      <c r="AX109" s="86">
        <f t="shared" si="11"/>
        <v>0</v>
      </c>
      <c r="AY109" s="86">
        <f t="shared" si="11"/>
        <v>0</v>
      </c>
      <c r="AZ109" s="86">
        <f>SUM(AZ106:AZ108)</f>
        <v>0</v>
      </c>
      <c r="BA109" s="86">
        <f t="shared" ref="BA109:BB109" si="12">SUM(BA106:BA108)</f>
        <v>0</v>
      </c>
      <c r="BB109" s="86">
        <f t="shared" si="12"/>
        <v>0</v>
      </c>
    </row>
    <row r="110" spans="1:54" ht="15" customHeight="1">
      <c r="P110" s="87"/>
      <c r="Q110" s="87"/>
      <c r="R110" s="87"/>
      <c r="S110" s="87"/>
      <c r="T110" s="87"/>
      <c r="U110" s="87"/>
      <c r="V110" s="87"/>
      <c r="W110" s="87"/>
      <c r="X110" s="87"/>
      <c r="Y110" s="87"/>
      <c r="Z110" s="87"/>
      <c r="AA110" s="87"/>
      <c r="AB110" s="87"/>
      <c r="AC110" s="87"/>
      <c r="AD110" s="87"/>
      <c r="AE110" s="87"/>
      <c r="AF110" s="87"/>
      <c r="AG110" s="87"/>
      <c r="AH110" s="87"/>
      <c r="AI110" s="87"/>
      <c r="AJ110" s="87"/>
      <c r="AK110" s="87"/>
      <c r="AL110" s="87"/>
      <c r="AM110" s="87"/>
      <c r="AN110" s="87"/>
      <c r="AO110" s="87"/>
      <c r="AP110" s="87"/>
      <c r="AQ110" s="87"/>
      <c r="AR110" s="87"/>
      <c r="AS110" s="87"/>
      <c r="AT110" s="87"/>
      <c r="AU110" s="87"/>
      <c r="AV110" s="87"/>
      <c r="AW110" s="87"/>
      <c r="AX110" s="87"/>
      <c r="AY110" s="87"/>
      <c r="AZ110" s="87"/>
      <c r="BA110" s="87"/>
      <c r="BB110" s="87"/>
    </row>
    <row r="111" spans="1:54" ht="15" customHeight="1">
      <c r="A111"/>
      <c r="B111"/>
      <c r="E111" s="19" t="s">
        <v>241</v>
      </c>
      <c r="G111" s="5" t="str">
        <f>CONCATENATE(CF_currency,"m nominal prices")</f>
        <v>£m nominal prices</v>
      </c>
      <c r="H111" s="19" t="s">
        <v>242</v>
      </c>
      <c r="O111" s="31"/>
      <c r="P111" s="48">
        <v>0</v>
      </c>
      <c r="Q111" s="48">
        <v>0</v>
      </c>
      <c r="R111" s="48">
        <v>0</v>
      </c>
      <c r="S111" s="48">
        <v>0</v>
      </c>
      <c r="T111" s="48">
        <v>0</v>
      </c>
      <c r="U111" s="48">
        <v>0</v>
      </c>
      <c r="V111" s="48">
        <v>0</v>
      </c>
      <c r="W111" s="48">
        <v>0</v>
      </c>
      <c r="X111" s="48">
        <v>0</v>
      </c>
      <c r="Y111" s="48">
        <v>0</v>
      </c>
      <c r="Z111" s="48">
        <v>0</v>
      </c>
      <c r="AA111" s="48">
        <v>0</v>
      </c>
      <c r="AB111" s="48">
        <v>0</v>
      </c>
      <c r="AC111" s="48">
        <v>0</v>
      </c>
      <c r="AD111" s="48">
        <v>0</v>
      </c>
      <c r="AE111" s="48">
        <v>0</v>
      </c>
      <c r="AF111" s="48">
        <v>0</v>
      </c>
      <c r="AG111" s="48">
        <v>0</v>
      </c>
      <c r="AH111" s="48">
        <v>0</v>
      </c>
      <c r="AI111" s="48">
        <v>0</v>
      </c>
      <c r="AJ111" s="48">
        <v>0</v>
      </c>
      <c r="AK111" s="48">
        <v>0</v>
      </c>
      <c r="AL111" s="48">
        <v>0</v>
      </c>
      <c r="AM111" s="48">
        <v>0</v>
      </c>
      <c r="AN111" s="48">
        <v>0</v>
      </c>
      <c r="AO111" s="48">
        <v>0</v>
      </c>
      <c r="AP111" s="48">
        <v>0</v>
      </c>
      <c r="AQ111" s="48">
        <v>0</v>
      </c>
      <c r="AR111" s="48">
        <v>0</v>
      </c>
      <c r="AS111" s="48">
        <v>0</v>
      </c>
      <c r="AT111" s="48">
        <v>0</v>
      </c>
      <c r="AU111" s="48">
        <v>0</v>
      </c>
      <c r="AV111" s="48">
        <v>0</v>
      </c>
      <c r="AW111" s="48">
        <v>0</v>
      </c>
      <c r="AX111" s="48">
        <v>0</v>
      </c>
      <c r="AY111" s="48">
        <v>0</v>
      </c>
      <c r="AZ111" s="48">
        <v>0</v>
      </c>
      <c r="BA111" s="48">
        <v>0</v>
      </c>
      <c r="BB111" s="48">
        <v>0</v>
      </c>
    </row>
    <row r="112" spans="1:54" ht="15" customHeight="1">
      <c r="A112"/>
      <c r="B112"/>
      <c r="P112" s="87"/>
      <c r="Q112" s="87"/>
      <c r="R112" s="87"/>
      <c r="S112" s="87"/>
      <c r="T112" s="87"/>
      <c r="U112" s="87"/>
      <c r="V112" s="87"/>
      <c r="W112" s="87"/>
      <c r="X112" s="87"/>
      <c r="Y112" s="87"/>
      <c r="Z112" s="87"/>
      <c r="AA112" s="87"/>
      <c r="AB112" s="87"/>
      <c r="AC112" s="87"/>
      <c r="AD112" s="87"/>
      <c r="AE112" s="87"/>
      <c r="AF112" s="87"/>
      <c r="AG112" s="87"/>
      <c r="AH112" s="87"/>
      <c r="AI112" s="87"/>
      <c r="AJ112" s="87"/>
      <c r="AK112" s="87"/>
      <c r="AL112" s="87"/>
      <c r="AM112" s="87"/>
      <c r="AN112" s="87"/>
      <c r="AO112" s="87"/>
      <c r="AP112" s="87"/>
      <c r="AQ112" s="87"/>
      <c r="AR112" s="87"/>
      <c r="AS112" s="87"/>
      <c r="AT112" s="87"/>
      <c r="AU112" s="87"/>
      <c r="AV112" s="87"/>
      <c r="AW112" s="87"/>
      <c r="AX112" s="87"/>
      <c r="AY112" s="87"/>
      <c r="AZ112" s="87"/>
      <c r="BA112" s="87"/>
      <c r="BB112" s="87"/>
    </row>
    <row r="113" spans="1:54" ht="15" customHeight="1">
      <c r="A113"/>
      <c r="B113"/>
      <c r="E113" s="19" t="s">
        <v>243</v>
      </c>
      <c r="G113" s="5" t="str">
        <f>CONCATENATE(CF_currency,"m nominal prices")</f>
        <v>£m nominal prices</v>
      </c>
      <c r="H113" s="19" t="s">
        <v>244</v>
      </c>
      <c r="O113" s="31"/>
      <c r="P113" s="87">
        <f t="shared" ref="P113:Y113" si="13">P104-P109-P111</f>
        <v>0</v>
      </c>
      <c r="Q113" s="87">
        <f t="shared" si="13"/>
        <v>0</v>
      </c>
      <c r="R113" s="87">
        <f t="shared" si="13"/>
        <v>0</v>
      </c>
      <c r="S113" s="87">
        <f t="shared" si="13"/>
        <v>0</v>
      </c>
      <c r="T113" s="87">
        <f t="shared" si="13"/>
        <v>0</v>
      </c>
      <c r="U113" s="87">
        <f t="shared" si="13"/>
        <v>0</v>
      </c>
      <c r="V113" s="87">
        <f t="shared" si="13"/>
        <v>0</v>
      </c>
      <c r="W113" s="87">
        <f t="shared" si="13"/>
        <v>0</v>
      </c>
      <c r="X113" s="87">
        <f t="shared" si="13"/>
        <v>0</v>
      </c>
      <c r="Y113" s="87">
        <f t="shared" si="13"/>
        <v>0</v>
      </c>
      <c r="Z113" s="87">
        <f t="shared" ref="Z113:AA113" si="14">Z104-Z109-Z111</f>
        <v>0</v>
      </c>
      <c r="AA113" s="87">
        <f t="shared" si="14"/>
        <v>0</v>
      </c>
      <c r="AB113" s="87">
        <f t="shared" ref="AB113:BB113" si="15">AB104-AB109-AB111</f>
        <v>0</v>
      </c>
      <c r="AC113" s="87">
        <f t="shared" si="15"/>
        <v>0</v>
      </c>
      <c r="AD113" s="87">
        <f t="shared" si="15"/>
        <v>0</v>
      </c>
      <c r="AE113" s="87">
        <f t="shared" si="15"/>
        <v>0</v>
      </c>
      <c r="AF113" s="87">
        <f t="shared" si="15"/>
        <v>0</v>
      </c>
      <c r="AG113" s="87">
        <f t="shared" si="15"/>
        <v>0</v>
      </c>
      <c r="AH113" s="87">
        <f t="shared" si="15"/>
        <v>0</v>
      </c>
      <c r="AI113" s="87">
        <f t="shared" si="15"/>
        <v>0</v>
      </c>
      <c r="AJ113" s="87">
        <f t="shared" si="15"/>
        <v>0</v>
      </c>
      <c r="AK113" s="87">
        <f t="shared" si="15"/>
        <v>0</v>
      </c>
      <c r="AL113" s="87">
        <f t="shared" si="15"/>
        <v>0</v>
      </c>
      <c r="AM113" s="87">
        <f t="shared" si="15"/>
        <v>0</v>
      </c>
      <c r="AN113" s="87">
        <f t="shared" si="15"/>
        <v>0</v>
      </c>
      <c r="AO113" s="87">
        <f t="shared" si="15"/>
        <v>0</v>
      </c>
      <c r="AP113" s="87">
        <f t="shared" si="15"/>
        <v>0</v>
      </c>
      <c r="AQ113" s="87">
        <f t="shared" si="15"/>
        <v>0</v>
      </c>
      <c r="AR113" s="87">
        <f t="shared" si="15"/>
        <v>0</v>
      </c>
      <c r="AS113" s="87">
        <f t="shared" si="15"/>
        <v>0</v>
      </c>
      <c r="AT113" s="87">
        <f t="shared" si="15"/>
        <v>0</v>
      </c>
      <c r="AU113" s="87">
        <f t="shared" si="15"/>
        <v>0</v>
      </c>
      <c r="AV113" s="87">
        <f t="shared" si="15"/>
        <v>0</v>
      </c>
      <c r="AW113" s="87">
        <f t="shared" si="15"/>
        <v>0</v>
      </c>
      <c r="AX113" s="87">
        <f t="shared" si="15"/>
        <v>0</v>
      </c>
      <c r="AY113" s="87">
        <f t="shared" si="15"/>
        <v>0</v>
      </c>
      <c r="AZ113" s="87">
        <f t="shared" si="15"/>
        <v>0</v>
      </c>
      <c r="BA113" s="87">
        <f t="shared" si="15"/>
        <v>0</v>
      </c>
      <c r="BB113" s="87">
        <f t="shared" si="15"/>
        <v>0</v>
      </c>
    </row>
    <row r="114" spans="1:54" ht="15" customHeight="1">
      <c r="A114"/>
      <c r="B114"/>
      <c r="P114" s="87"/>
      <c r="Q114" s="87"/>
      <c r="R114" s="87"/>
      <c r="S114" s="87"/>
      <c r="T114" s="87"/>
      <c r="U114" s="87"/>
      <c r="V114" s="87"/>
      <c r="W114" s="87"/>
      <c r="X114" s="87"/>
      <c r="Y114" s="87"/>
      <c r="Z114" s="87"/>
      <c r="AA114" s="87"/>
      <c r="AB114" s="87"/>
      <c r="AC114" s="87"/>
      <c r="AD114" s="87"/>
      <c r="AE114" s="87"/>
      <c r="AF114" s="87"/>
      <c r="AG114" s="87"/>
      <c r="AH114" s="87"/>
      <c r="AI114" s="87"/>
      <c r="AJ114" s="87"/>
      <c r="AK114" s="87"/>
      <c r="AL114" s="87"/>
      <c r="AM114" s="87"/>
      <c r="AN114" s="87"/>
      <c r="AO114" s="87"/>
      <c r="AP114" s="87"/>
      <c r="AQ114" s="87"/>
      <c r="AR114" s="87"/>
      <c r="AS114" s="87"/>
      <c r="AT114" s="87"/>
      <c r="AU114" s="87"/>
      <c r="AV114" s="87"/>
      <c r="AW114" s="87"/>
      <c r="AX114" s="87"/>
      <c r="AY114" s="87"/>
      <c r="AZ114" s="87"/>
      <c r="BA114" s="87"/>
      <c r="BB114" s="87"/>
    </row>
    <row r="115" spans="1:54" ht="15" customHeight="1">
      <c r="A115"/>
      <c r="B115"/>
      <c r="E115" s="19" t="s">
        <v>245</v>
      </c>
      <c r="G115" s="5" t="str">
        <f>CONCATENATE(CF_currency,"m nominal prices")</f>
        <v>£m nominal prices</v>
      </c>
      <c r="H115" s="19" t="s">
        <v>246</v>
      </c>
      <c r="O115" s="31"/>
      <c r="P115" s="170">
        <f t="shared" ref="P115:BA115" si="16">IF(P113&gt;0,P113,0)</f>
        <v>0</v>
      </c>
      <c r="Q115" s="170">
        <f t="shared" si="16"/>
        <v>0</v>
      </c>
      <c r="R115" s="170">
        <f t="shared" si="16"/>
        <v>0</v>
      </c>
      <c r="S115" s="170">
        <f t="shared" si="16"/>
        <v>0</v>
      </c>
      <c r="T115" s="170">
        <f t="shared" si="16"/>
        <v>0</v>
      </c>
      <c r="U115" s="170">
        <f t="shared" si="16"/>
        <v>0</v>
      </c>
      <c r="V115" s="170">
        <f t="shared" si="16"/>
        <v>0</v>
      </c>
      <c r="W115" s="170">
        <f t="shared" si="16"/>
        <v>0</v>
      </c>
      <c r="X115" s="170">
        <f t="shared" si="16"/>
        <v>0</v>
      </c>
      <c r="Y115" s="170">
        <f t="shared" si="16"/>
        <v>0</v>
      </c>
      <c r="Z115" s="170">
        <f t="shared" si="16"/>
        <v>0</v>
      </c>
      <c r="AA115" s="170">
        <f t="shared" si="16"/>
        <v>0</v>
      </c>
      <c r="AB115" s="170">
        <f t="shared" si="16"/>
        <v>0</v>
      </c>
      <c r="AC115" s="170">
        <f t="shared" si="16"/>
        <v>0</v>
      </c>
      <c r="AD115" s="170">
        <f t="shared" si="16"/>
        <v>0</v>
      </c>
      <c r="AE115" s="170">
        <f t="shared" si="16"/>
        <v>0</v>
      </c>
      <c r="AF115" s="170">
        <f t="shared" si="16"/>
        <v>0</v>
      </c>
      <c r="AG115" s="170">
        <f t="shared" si="16"/>
        <v>0</v>
      </c>
      <c r="AH115" s="170">
        <f t="shared" si="16"/>
        <v>0</v>
      </c>
      <c r="AI115" s="170">
        <f t="shared" si="16"/>
        <v>0</v>
      </c>
      <c r="AJ115" s="170">
        <f t="shared" si="16"/>
        <v>0</v>
      </c>
      <c r="AK115" s="170">
        <f t="shared" si="16"/>
        <v>0</v>
      </c>
      <c r="AL115" s="170">
        <f t="shared" si="16"/>
        <v>0</v>
      </c>
      <c r="AM115" s="170">
        <f t="shared" si="16"/>
        <v>0</v>
      </c>
      <c r="AN115" s="170">
        <f t="shared" si="16"/>
        <v>0</v>
      </c>
      <c r="AO115" s="170">
        <f t="shared" si="16"/>
        <v>0</v>
      </c>
      <c r="AP115" s="170">
        <f t="shared" si="16"/>
        <v>0</v>
      </c>
      <c r="AQ115" s="170">
        <f t="shared" si="16"/>
        <v>0</v>
      </c>
      <c r="AR115" s="170">
        <f t="shared" si="16"/>
        <v>0</v>
      </c>
      <c r="AS115" s="170">
        <f t="shared" si="16"/>
        <v>0</v>
      </c>
      <c r="AT115" s="170">
        <f t="shared" si="16"/>
        <v>0</v>
      </c>
      <c r="AU115" s="170">
        <f t="shared" si="16"/>
        <v>0</v>
      </c>
      <c r="AV115" s="170">
        <f t="shared" si="16"/>
        <v>0</v>
      </c>
      <c r="AW115" s="170">
        <f t="shared" si="16"/>
        <v>0</v>
      </c>
      <c r="AX115" s="170">
        <f t="shared" si="16"/>
        <v>0</v>
      </c>
      <c r="AY115" s="170">
        <f t="shared" si="16"/>
        <v>0</v>
      </c>
      <c r="AZ115" s="170">
        <f t="shared" si="16"/>
        <v>0</v>
      </c>
      <c r="BA115" s="170">
        <f t="shared" si="16"/>
        <v>0</v>
      </c>
      <c r="BB115" s="170">
        <f t="shared" ref="BB115" si="17">IF(BB113&gt;0,BB113,0)</f>
        <v>0</v>
      </c>
    </row>
    <row r="116" spans="1:54" ht="15" customHeight="1">
      <c r="A116"/>
      <c r="B116"/>
      <c r="R116" s="152"/>
      <c r="S116" s="152"/>
      <c r="T116" s="152"/>
      <c r="U116" s="152"/>
      <c r="V116" s="152"/>
      <c r="W116" s="152"/>
      <c r="X116" s="152"/>
      <c r="Y116" s="152"/>
      <c r="Z116" s="152"/>
      <c r="AA116" s="152"/>
      <c r="AB116" s="152"/>
      <c r="AC116" s="152"/>
      <c r="AD116" s="152"/>
      <c r="AE116" s="152"/>
      <c r="AF116" s="152"/>
      <c r="AG116" s="152"/>
      <c r="AH116" s="152"/>
      <c r="AI116" s="87"/>
      <c r="AJ116" s="87"/>
      <c r="AK116" s="87"/>
      <c r="AL116" s="87"/>
      <c r="AM116" s="87"/>
      <c r="AN116" s="87"/>
      <c r="AO116" s="87"/>
      <c r="AP116" s="87"/>
      <c r="AQ116" s="87"/>
      <c r="AR116" s="87"/>
      <c r="AS116" s="87"/>
      <c r="AT116" s="87"/>
      <c r="AU116" s="87"/>
      <c r="AV116" s="87"/>
      <c r="AW116" s="87"/>
      <c r="AX116" s="87"/>
      <c r="AY116" s="87"/>
      <c r="AZ116" s="87"/>
      <c r="BA116" s="87"/>
      <c r="BB116" s="87"/>
    </row>
    <row r="117" spans="1:54" ht="26.25">
      <c r="A117"/>
      <c r="B117"/>
      <c r="E117" s="45" t="s">
        <v>247</v>
      </c>
      <c r="G117" s="5" t="s">
        <v>248</v>
      </c>
      <c r="H117" s="19" t="s">
        <v>249</v>
      </c>
      <c r="I117" s="19" t="s">
        <v>250</v>
      </c>
      <c r="O117" s="31"/>
      <c r="P117" s="177">
        <v>0</v>
      </c>
      <c r="Q117" s="177">
        <v>0</v>
      </c>
      <c r="R117" s="177">
        <v>0</v>
      </c>
      <c r="S117" s="177">
        <v>0</v>
      </c>
      <c r="T117" s="177">
        <v>0</v>
      </c>
      <c r="U117" s="177">
        <v>0</v>
      </c>
      <c r="V117" s="177">
        <v>0</v>
      </c>
      <c r="W117" s="177">
        <v>0</v>
      </c>
      <c r="X117" s="177">
        <v>0</v>
      </c>
      <c r="Y117" s="177">
        <v>0</v>
      </c>
      <c r="Z117" s="177">
        <v>0</v>
      </c>
      <c r="AA117" s="177">
        <v>0</v>
      </c>
      <c r="AB117" s="177">
        <v>0</v>
      </c>
      <c r="AC117" s="177">
        <v>0</v>
      </c>
      <c r="AD117" s="177">
        <v>0</v>
      </c>
      <c r="AE117" s="177">
        <v>0</v>
      </c>
      <c r="AF117" s="177">
        <v>0</v>
      </c>
      <c r="AG117" s="177">
        <v>0</v>
      </c>
      <c r="AH117" s="177">
        <v>0</v>
      </c>
      <c r="AI117" s="177">
        <v>0</v>
      </c>
      <c r="AJ117" s="177">
        <v>0</v>
      </c>
      <c r="AK117" s="177">
        <v>0</v>
      </c>
      <c r="AL117" s="177">
        <v>0</v>
      </c>
      <c r="AM117" s="177">
        <v>0</v>
      </c>
      <c r="AN117" s="177">
        <v>0</v>
      </c>
      <c r="AO117" s="177">
        <v>0</v>
      </c>
      <c r="AP117" s="177">
        <v>0</v>
      </c>
      <c r="AQ117" s="177">
        <v>0</v>
      </c>
      <c r="AR117" s="177">
        <v>0</v>
      </c>
      <c r="AS117" s="177">
        <v>0</v>
      </c>
      <c r="AT117" s="177">
        <v>0</v>
      </c>
      <c r="AU117" s="177">
        <v>0</v>
      </c>
      <c r="AV117" s="177">
        <v>0</v>
      </c>
      <c r="AW117" s="177">
        <v>0</v>
      </c>
      <c r="AX117" s="177">
        <v>0</v>
      </c>
      <c r="AY117" s="177">
        <v>0</v>
      </c>
      <c r="AZ117" s="177">
        <v>0</v>
      </c>
      <c r="BA117" s="177">
        <v>0</v>
      </c>
      <c r="BB117" s="177">
        <v>0</v>
      </c>
    </row>
    <row r="118" spans="1:54" ht="15" customHeight="1">
      <c r="A118"/>
      <c r="B118"/>
      <c r="G118" s="5"/>
      <c r="O118" s="5"/>
      <c r="P118" s="15"/>
      <c r="Q118" s="15"/>
      <c r="R118" s="15"/>
      <c r="S118" s="15"/>
      <c r="T118" s="15"/>
      <c r="U118" s="15"/>
      <c r="V118" s="15"/>
      <c r="W118" s="15"/>
      <c r="X118" s="15"/>
      <c r="Y118" s="15"/>
      <c r="Z118" s="15"/>
      <c r="AA118" s="15"/>
      <c r="AB118" s="15"/>
      <c r="AC118" s="15"/>
      <c r="AD118" s="15"/>
      <c r="AE118" s="15"/>
      <c r="AF118" s="15"/>
      <c r="AG118" s="15"/>
      <c r="AH118" s="15"/>
      <c r="AI118" s="15"/>
      <c r="AJ118" s="15"/>
      <c r="AK118" s="15"/>
      <c r="AL118" s="15"/>
      <c r="AM118" s="15"/>
      <c r="AN118" s="15"/>
      <c r="AO118" s="15"/>
      <c r="AP118" s="15"/>
      <c r="AQ118" s="15"/>
      <c r="AR118" s="15"/>
      <c r="AS118" s="15"/>
      <c r="AT118" s="15"/>
      <c r="AU118" s="15"/>
      <c r="AV118" s="15"/>
      <c r="AW118" s="15"/>
      <c r="AX118" s="15"/>
      <c r="AY118" s="15"/>
      <c r="AZ118" s="15"/>
      <c r="BA118" s="15"/>
      <c r="BB118" s="15"/>
    </row>
    <row r="119" spans="1:54" s="59" customFormat="1" ht="15" customHeight="1">
      <c r="A119"/>
      <c r="B119"/>
      <c r="C119" s="38" t="s">
        <v>251</v>
      </c>
      <c r="D119" s="40"/>
      <c r="E119" s="40"/>
      <c r="F119" s="40"/>
      <c r="G119" s="40"/>
      <c r="H119" s="40"/>
      <c r="I119" s="40"/>
      <c r="J119" s="40"/>
      <c r="K119" s="40"/>
      <c r="L119" s="40"/>
      <c r="M119" s="40"/>
      <c r="N119" s="40"/>
      <c r="O119" s="40"/>
      <c r="P119" s="40"/>
      <c r="Q119" s="40"/>
      <c r="R119" s="40"/>
      <c r="S119" s="40"/>
      <c r="T119" s="40"/>
      <c r="U119" s="40"/>
      <c r="V119" s="40"/>
      <c r="W119" s="40"/>
      <c r="X119" s="40"/>
      <c r="Y119" s="40"/>
      <c r="Z119" s="40"/>
      <c r="AA119" s="40"/>
      <c r="AB119" s="40"/>
      <c r="AC119" s="40"/>
      <c r="AD119" s="40"/>
      <c r="AE119" s="40"/>
      <c r="AF119" s="40"/>
      <c r="AG119" s="40"/>
      <c r="AH119" s="40"/>
      <c r="AI119" s="40"/>
      <c r="AJ119" s="40"/>
      <c r="AK119" s="40"/>
      <c r="AL119" s="40"/>
      <c r="AM119" s="40"/>
      <c r="AN119" s="40"/>
      <c r="AO119" s="40"/>
      <c r="AP119" s="40"/>
      <c r="AQ119" s="40"/>
      <c r="AR119" s="40"/>
      <c r="AS119" s="40"/>
      <c r="AT119" s="40"/>
      <c r="AU119" s="40"/>
      <c r="AV119" s="40"/>
      <c r="AW119" s="40"/>
      <c r="AX119" s="40"/>
      <c r="AY119" s="40"/>
      <c r="AZ119" s="40"/>
      <c r="BA119" s="40"/>
      <c r="BB119" s="40"/>
    </row>
    <row r="120" spans="1:54" ht="15" customHeight="1">
      <c r="A120"/>
      <c r="B120"/>
      <c r="G120" s="5"/>
      <c r="O120" s="5"/>
      <c r="P120" s="15"/>
      <c r="Q120" s="15"/>
      <c r="R120" s="15"/>
      <c r="S120" s="15"/>
      <c r="T120" s="15"/>
      <c r="U120" s="15"/>
      <c r="V120" s="15"/>
      <c r="W120" s="15"/>
      <c r="X120" s="15"/>
      <c r="Y120" s="15"/>
      <c r="Z120" s="15"/>
      <c r="AA120" s="15"/>
      <c r="AB120" s="15"/>
      <c r="AC120" s="15"/>
      <c r="AD120" s="15"/>
      <c r="AE120" s="15"/>
      <c r="AF120" s="15"/>
      <c r="AG120" s="15"/>
      <c r="AH120" s="15"/>
      <c r="AI120" s="15"/>
      <c r="AJ120" s="15"/>
      <c r="AK120" s="15"/>
      <c r="AL120" s="15"/>
      <c r="AM120" s="15"/>
      <c r="AN120" s="15"/>
      <c r="AO120" s="15"/>
      <c r="AP120" s="15"/>
      <c r="AQ120" s="15"/>
      <c r="AR120" s="15"/>
      <c r="AS120" s="15"/>
      <c r="AT120" s="15"/>
      <c r="AU120" s="15"/>
      <c r="AV120" s="15"/>
      <c r="AW120" s="15"/>
      <c r="AX120" s="15"/>
      <c r="AY120" s="15"/>
      <c r="AZ120" s="15"/>
      <c r="BA120" s="15"/>
      <c r="BB120" s="15"/>
    </row>
    <row r="121" spans="1:54" ht="15" customHeight="1">
      <c r="A121"/>
      <c r="B121"/>
      <c r="E121" s="19" t="s">
        <v>252</v>
      </c>
      <c r="G121" s="5" t="s">
        <v>188</v>
      </c>
      <c r="O121" s="31"/>
      <c r="P121" s="215">
        <v>0</v>
      </c>
      <c r="Q121" s="215">
        <v>0</v>
      </c>
      <c r="R121" s="215">
        <v>0</v>
      </c>
      <c r="S121" s="215">
        <v>0</v>
      </c>
      <c r="T121" s="215">
        <v>0</v>
      </c>
      <c r="U121" s="215">
        <v>0</v>
      </c>
      <c r="V121" s="215">
        <v>0</v>
      </c>
      <c r="W121" s="215">
        <v>0</v>
      </c>
      <c r="X121" s="215">
        <v>0</v>
      </c>
      <c r="Y121" s="215">
        <v>0</v>
      </c>
      <c r="Z121" s="215">
        <v>0</v>
      </c>
      <c r="AA121" s="215">
        <v>0</v>
      </c>
      <c r="AB121" s="215">
        <v>0</v>
      </c>
      <c r="AC121" s="215">
        <v>0</v>
      </c>
      <c r="AD121" s="215">
        <v>0</v>
      </c>
      <c r="AE121" s="215">
        <v>0</v>
      </c>
      <c r="AF121" s="215">
        <v>0</v>
      </c>
      <c r="AG121" s="215">
        <v>0</v>
      </c>
      <c r="AH121" s="215">
        <v>0</v>
      </c>
      <c r="AI121" s="215">
        <v>0</v>
      </c>
      <c r="AJ121" s="215">
        <v>0</v>
      </c>
      <c r="AK121" s="215">
        <v>0</v>
      </c>
      <c r="AL121" s="215">
        <v>0</v>
      </c>
      <c r="AM121" s="215">
        <v>0</v>
      </c>
      <c r="AN121" s="215">
        <v>0</v>
      </c>
      <c r="AO121" s="215">
        <v>0</v>
      </c>
      <c r="AP121" s="215">
        <v>0</v>
      </c>
      <c r="AQ121" s="215">
        <v>0</v>
      </c>
      <c r="AR121" s="215">
        <v>0</v>
      </c>
      <c r="AS121" s="215">
        <v>0</v>
      </c>
      <c r="AT121" s="215">
        <v>0</v>
      </c>
      <c r="AU121" s="215">
        <v>0</v>
      </c>
      <c r="AV121" s="215">
        <v>0</v>
      </c>
      <c r="AW121" s="215">
        <v>0</v>
      </c>
      <c r="AX121" s="215">
        <v>0</v>
      </c>
      <c r="AY121" s="215">
        <v>0</v>
      </c>
      <c r="AZ121" s="215">
        <v>0</v>
      </c>
      <c r="BA121" s="215">
        <v>0</v>
      </c>
      <c r="BB121" s="215">
        <v>0</v>
      </c>
    </row>
    <row r="122" spans="1:54" ht="15" customHeight="1">
      <c r="A122" s="30"/>
      <c r="B122" s="30"/>
      <c r="E122" s="19" t="s">
        <v>253</v>
      </c>
      <c r="G122" s="5" t="s">
        <v>193</v>
      </c>
      <c r="O122" s="31"/>
      <c r="P122" s="48">
        <v>1</v>
      </c>
      <c r="Q122" s="48">
        <v>1</v>
      </c>
      <c r="R122" s="48">
        <v>1</v>
      </c>
      <c r="S122" s="48">
        <v>1</v>
      </c>
      <c r="T122" s="48">
        <v>1</v>
      </c>
      <c r="U122" s="48">
        <v>1</v>
      </c>
      <c r="V122" s="48">
        <v>1</v>
      </c>
      <c r="W122" s="48">
        <v>1</v>
      </c>
      <c r="X122" s="48">
        <v>1</v>
      </c>
      <c r="Y122" s="48">
        <v>1</v>
      </c>
      <c r="Z122" s="48">
        <v>1</v>
      </c>
      <c r="AA122" s="48">
        <v>1</v>
      </c>
      <c r="AB122" s="48">
        <v>1</v>
      </c>
      <c r="AC122" s="48">
        <v>1</v>
      </c>
      <c r="AD122" s="48">
        <v>1</v>
      </c>
      <c r="AE122" s="48">
        <v>1</v>
      </c>
      <c r="AF122" s="48">
        <v>1</v>
      </c>
      <c r="AG122" s="48">
        <v>1</v>
      </c>
      <c r="AH122" s="48">
        <v>1</v>
      </c>
      <c r="AI122" s="48">
        <v>1</v>
      </c>
      <c r="AJ122" s="48">
        <v>1</v>
      </c>
      <c r="AK122" s="48">
        <v>1</v>
      </c>
      <c r="AL122" s="48">
        <v>1</v>
      </c>
      <c r="AM122" s="48">
        <v>1</v>
      </c>
      <c r="AN122" s="48">
        <v>1</v>
      </c>
      <c r="AO122" s="48">
        <v>1</v>
      </c>
      <c r="AP122" s="48">
        <v>1</v>
      </c>
      <c r="AQ122" s="48">
        <v>1</v>
      </c>
      <c r="AR122" s="48">
        <v>1</v>
      </c>
      <c r="AS122" s="48">
        <v>1</v>
      </c>
      <c r="AT122" s="48">
        <v>1</v>
      </c>
      <c r="AU122" s="48">
        <v>1</v>
      </c>
      <c r="AV122" s="48">
        <v>1</v>
      </c>
      <c r="AW122" s="48">
        <v>1</v>
      </c>
      <c r="AX122" s="48">
        <v>1</v>
      </c>
      <c r="AY122" s="48">
        <v>1</v>
      </c>
      <c r="AZ122" s="48">
        <v>1</v>
      </c>
      <c r="BA122" s="48">
        <v>1</v>
      </c>
      <c r="BB122" s="48">
        <v>1</v>
      </c>
    </row>
    <row r="123" spans="1:54" ht="15" customHeight="1">
      <c r="E123" s="19" t="s">
        <v>254</v>
      </c>
      <c r="G123" s="5" t="s">
        <v>193</v>
      </c>
      <c r="I123" s="208">
        <v>4</v>
      </c>
      <c r="O123" s="5"/>
      <c r="P123" s="15"/>
      <c r="Q123" s="15"/>
      <c r="R123" s="15"/>
      <c r="S123" s="15"/>
      <c r="T123" s="15"/>
      <c r="U123" s="15"/>
      <c r="V123" s="15"/>
      <c r="W123" s="15"/>
      <c r="X123" s="15"/>
      <c r="Y123" s="15"/>
      <c r="Z123" s="15"/>
      <c r="AA123" s="15"/>
      <c r="AB123" s="15"/>
      <c r="AC123" s="15"/>
      <c r="AD123" s="15"/>
      <c r="AE123" s="15"/>
      <c r="AF123" s="15"/>
      <c r="AG123" s="15"/>
      <c r="AH123" s="15"/>
      <c r="AI123" s="15"/>
      <c r="AJ123" s="15"/>
      <c r="AK123" s="15"/>
      <c r="AL123" s="15"/>
      <c r="AM123" s="15"/>
      <c r="AN123" s="15"/>
      <c r="AO123" s="15"/>
      <c r="AP123" s="15"/>
      <c r="AQ123" s="15"/>
      <c r="AR123" s="15"/>
      <c r="AS123" s="15"/>
      <c r="AT123" s="15"/>
      <c r="AU123" s="15"/>
      <c r="AV123" s="15"/>
      <c r="AW123" s="15"/>
      <c r="AX123" s="15"/>
      <c r="AY123" s="15"/>
      <c r="AZ123" s="15"/>
      <c r="BA123" s="15"/>
      <c r="BB123" s="15"/>
    </row>
    <row r="124" spans="1:54" ht="15" customHeight="1">
      <c r="G124" s="5"/>
      <c r="O124" s="5"/>
      <c r="P124" s="15"/>
      <c r="Q124" s="15"/>
      <c r="R124" s="15"/>
      <c r="S124" s="15"/>
      <c r="T124" s="15"/>
      <c r="U124" s="15"/>
      <c r="V124" s="15"/>
      <c r="W124" s="15"/>
      <c r="X124" s="15"/>
      <c r="Y124" s="15"/>
      <c r="Z124" s="15"/>
      <c r="AA124" s="15"/>
      <c r="AB124" s="15"/>
      <c r="AC124" s="15"/>
      <c r="AD124" s="15"/>
      <c r="AE124" s="15"/>
      <c r="AF124" s="15"/>
      <c r="AG124" s="15"/>
      <c r="AH124" s="15"/>
      <c r="AI124" s="15"/>
      <c r="AJ124" s="15"/>
      <c r="AK124" s="15"/>
      <c r="AL124" s="15"/>
      <c r="AM124" s="15"/>
      <c r="AN124" s="15"/>
      <c r="AO124" s="15"/>
      <c r="AP124" s="15"/>
      <c r="AQ124" s="15"/>
      <c r="AR124" s="15"/>
      <c r="AS124" s="15"/>
      <c r="AT124" s="15"/>
      <c r="AU124" s="15"/>
      <c r="AV124" s="15"/>
      <c r="AW124" s="15"/>
      <c r="AX124" s="15"/>
      <c r="AY124" s="15"/>
      <c r="AZ124" s="15"/>
      <c r="BA124" s="15"/>
      <c r="BB124" s="15"/>
    </row>
    <row r="125" spans="1:54" ht="15" customHeight="1">
      <c r="A125"/>
      <c r="B125"/>
      <c r="E125" s="19" t="s">
        <v>255</v>
      </c>
      <c r="G125" s="5" t="s">
        <v>248</v>
      </c>
      <c r="H125" s="19" t="s">
        <v>256</v>
      </c>
      <c r="O125" s="31"/>
      <c r="P125" s="48">
        <v>0</v>
      </c>
      <c r="Q125" s="48">
        <v>0</v>
      </c>
      <c r="R125" s="48">
        <v>0</v>
      </c>
      <c r="S125" s="48">
        <v>0</v>
      </c>
      <c r="T125" s="48">
        <v>0</v>
      </c>
      <c r="U125" s="48">
        <v>0</v>
      </c>
      <c r="V125" s="48">
        <v>0</v>
      </c>
      <c r="W125" s="48">
        <v>0</v>
      </c>
      <c r="X125" s="48">
        <v>0</v>
      </c>
      <c r="Y125" s="48">
        <v>0</v>
      </c>
      <c r="Z125" s="48">
        <v>0</v>
      </c>
      <c r="AA125" s="48">
        <v>0</v>
      </c>
      <c r="AB125" s="48">
        <v>0</v>
      </c>
      <c r="AC125" s="48">
        <v>0</v>
      </c>
      <c r="AD125" s="48">
        <v>0</v>
      </c>
      <c r="AE125" s="48">
        <v>0</v>
      </c>
      <c r="AF125" s="48">
        <v>0</v>
      </c>
      <c r="AG125" s="48">
        <v>0</v>
      </c>
      <c r="AH125" s="48">
        <v>0</v>
      </c>
      <c r="AI125" s="48">
        <v>0</v>
      </c>
      <c r="AJ125" s="48">
        <v>0</v>
      </c>
      <c r="AK125" s="48">
        <v>0</v>
      </c>
      <c r="AL125" s="48">
        <v>0</v>
      </c>
      <c r="AM125" s="48">
        <v>0</v>
      </c>
      <c r="AN125" s="48">
        <v>0</v>
      </c>
      <c r="AO125" s="48">
        <v>0</v>
      </c>
      <c r="AP125" s="48">
        <v>0</v>
      </c>
      <c r="AQ125" s="48">
        <v>0</v>
      </c>
      <c r="AR125" s="48">
        <v>0</v>
      </c>
      <c r="AS125" s="48">
        <v>0</v>
      </c>
      <c r="AT125" s="48">
        <v>0</v>
      </c>
      <c r="AU125" s="48">
        <v>0</v>
      </c>
      <c r="AV125" s="48">
        <v>0</v>
      </c>
      <c r="AW125" s="48">
        <v>0</v>
      </c>
      <c r="AX125" s="48">
        <v>0</v>
      </c>
      <c r="AY125" s="48">
        <v>0</v>
      </c>
      <c r="AZ125" s="48">
        <v>0</v>
      </c>
      <c r="BA125" s="48">
        <v>0</v>
      </c>
      <c r="BB125" s="48">
        <v>0</v>
      </c>
    </row>
    <row r="126" spans="1:54" ht="15" customHeight="1">
      <c r="G126" s="5"/>
      <c r="O126" s="5"/>
      <c r="P126" s="15"/>
      <c r="Q126" s="15"/>
      <c r="R126" s="15"/>
      <c r="S126" s="15"/>
      <c r="T126" s="15"/>
      <c r="U126" s="15"/>
      <c r="V126" s="15"/>
      <c r="W126" s="15"/>
      <c r="X126" s="15"/>
      <c r="Y126" s="15"/>
      <c r="Z126" s="15"/>
      <c r="AA126" s="15"/>
      <c r="AB126" s="15"/>
      <c r="AC126" s="15"/>
      <c r="AD126" s="15"/>
      <c r="AE126" s="15"/>
      <c r="AF126" s="15"/>
      <c r="AG126" s="15"/>
      <c r="AH126" s="15"/>
      <c r="AI126" s="15"/>
      <c r="AJ126" s="15"/>
      <c r="AK126" s="15"/>
      <c r="AL126" s="15"/>
      <c r="AM126" s="15"/>
      <c r="AN126" s="15"/>
      <c r="AO126" s="15"/>
      <c r="AP126" s="15"/>
      <c r="AQ126" s="15"/>
      <c r="AR126" s="15"/>
      <c r="AS126" s="15"/>
      <c r="AT126" s="15"/>
      <c r="AU126" s="15"/>
      <c r="AV126" s="15"/>
      <c r="AW126" s="15"/>
      <c r="AX126" s="15"/>
      <c r="AY126" s="15"/>
      <c r="AZ126" s="15"/>
      <c r="BA126" s="15"/>
      <c r="BB126" s="15"/>
    </row>
    <row r="127" spans="1:54" s="5" customFormat="1" ht="15" customHeight="1">
      <c r="B127" s="166" t="s">
        <v>257</v>
      </c>
      <c r="C127" s="34"/>
      <c r="D127" s="34"/>
      <c r="E127" s="34"/>
      <c r="F127" s="34"/>
      <c r="G127" s="34"/>
      <c r="H127" s="34"/>
      <c r="I127" s="34"/>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34"/>
      <c r="AK127" s="34"/>
      <c r="AL127" s="34"/>
      <c r="AM127" s="34"/>
      <c r="AN127" s="34"/>
      <c r="AO127" s="34"/>
      <c r="AP127" s="34"/>
      <c r="AQ127" s="34"/>
      <c r="AR127" s="34"/>
      <c r="AS127" s="34"/>
      <c r="AT127" s="34"/>
      <c r="AU127" s="34"/>
      <c r="AV127" s="34"/>
      <c r="AW127" s="34"/>
      <c r="AX127" s="34"/>
      <c r="AY127" s="34"/>
      <c r="AZ127" s="34"/>
      <c r="BA127" s="34"/>
      <c r="BB127" s="34"/>
    </row>
    <row r="128" spans="1:54" s="5" customFormat="1" ht="15" customHeight="1">
      <c r="B128" s="70"/>
    </row>
    <row r="129" spans="1:55" ht="15" customHeight="1">
      <c r="C129" s="38" t="s">
        <v>258</v>
      </c>
      <c r="D129" s="38"/>
      <c r="E129" s="38"/>
      <c r="F129" s="38"/>
      <c r="G129" s="38"/>
      <c r="H129" s="38"/>
      <c r="I129" s="38"/>
      <c r="J129" s="38"/>
      <c r="K129" s="38"/>
      <c r="L129" s="38"/>
      <c r="M129" s="38"/>
      <c r="N129" s="38"/>
      <c r="O129" s="38"/>
      <c r="P129" s="38"/>
      <c r="Q129" s="38"/>
      <c r="R129" s="38"/>
      <c r="S129" s="38"/>
      <c r="T129" s="38"/>
      <c r="U129" s="38"/>
      <c r="V129" s="38"/>
      <c r="W129" s="38"/>
      <c r="X129" s="38"/>
      <c r="Y129" s="38"/>
      <c r="Z129" s="38"/>
      <c r="AA129" s="38"/>
      <c r="AB129" s="38"/>
      <c r="AC129" s="38"/>
      <c r="AD129" s="38"/>
      <c r="AE129" s="38"/>
      <c r="AF129" s="38"/>
      <c r="AG129" s="38"/>
      <c r="AH129" s="38"/>
      <c r="AI129" s="38"/>
      <c r="AJ129" s="38"/>
      <c r="AK129" s="38"/>
      <c r="AL129" s="38"/>
      <c r="AM129" s="38"/>
      <c r="AN129" s="38"/>
      <c r="AO129" s="38"/>
      <c r="AP129" s="38"/>
      <c r="AQ129" s="38"/>
      <c r="AR129" s="38"/>
      <c r="AS129" s="38"/>
      <c r="AT129" s="38"/>
      <c r="AU129" s="38"/>
      <c r="AV129" s="38"/>
      <c r="AW129" s="38"/>
      <c r="AX129" s="38"/>
      <c r="AY129" s="38"/>
      <c r="AZ129" s="38"/>
      <c r="BA129" s="38"/>
      <c r="BB129" s="38"/>
      <c r="BC129" s="5"/>
    </row>
    <row r="130" spans="1:55" ht="15" customHeight="1">
      <c r="G130" s="5"/>
    </row>
    <row r="131" spans="1:55" ht="15" customHeight="1">
      <c r="E131" s="19" t="s">
        <v>259</v>
      </c>
      <c r="G131" s="19" t="s">
        <v>260</v>
      </c>
      <c r="I131" s="48">
        <v>1</v>
      </c>
    </row>
    <row r="132" spans="1:55" ht="15" customHeight="1">
      <c r="E132" s="19" t="s">
        <v>261</v>
      </c>
      <c r="G132" s="5" t="s">
        <v>209</v>
      </c>
      <c r="I132" s="178">
        <v>0.97550000000000003</v>
      </c>
    </row>
    <row r="133" spans="1:55" ht="15" customHeight="1">
      <c r="E133" s="19" t="s">
        <v>262</v>
      </c>
      <c r="G133" s="5" t="s">
        <v>193</v>
      </c>
      <c r="I133" s="210">
        <f>I131*(1+2%)</f>
        <v>1.02</v>
      </c>
    </row>
    <row r="134" spans="1:55" ht="15" customHeight="1">
      <c r="E134" s="19" t="s">
        <v>263</v>
      </c>
      <c r="G134" s="5" t="s">
        <v>193</v>
      </c>
      <c r="I134" s="210">
        <f>I131*(1-2%)</f>
        <v>0.98</v>
      </c>
    </row>
    <row r="135" spans="1:55" ht="15" customHeight="1">
      <c r="G135" s="5"/>
    </row>
    <row r="136" spans="1:55" ht="15" customHeight="1">
      <c r="E136" s="19" t="s">
        <v>264</v>
      </c>
      <c r="G136" s="5" t="s">
        <v>265</v>
      </c>
      <c r="H136" s="19" t="s">
        <v>266</v>
      </c>
      <c r="I136" s="179">
        <v>500</v>
      </c>
    </row>
    <row r="137" spans="1:55" ht="15" customHeight="1">
      <c r="E137" s="19" t="s">
        <v>267</v>
      </c>
      <c r="G137" s="5" t="s">
        <v>268</v>
      </c>
      <c r="I137" s="209">
        <f>365.25*24</f>
        <v>8766</v>
      </c>
    </row>
    <row r="138" spans="1:55" ht="15" customHeight="1">
      <c r="G138" s="5"/>
    </row>
    <row r="139" spans="1:55" ht="15" customHeight="1">
      <c r="A139"/>
      <c r="E139" s="19" t="s">
        <v>269</v>
      </c>
      <c r="G139" s="5" t="s">
        <v>270</v>
      </c>
      <c r="O139" s="31"/>
      <c r="P139" s="208">
        <v>0</v>
      </c>
      <c r="Q139" s="208">
        <v>0</v>
      </c>
      <c r="R139" s="208">
        <v>0</v>
      </c>
      <c r="S139" s="208">
        <v>0</v>
      </c>
      <c r="T139" s="208">
        <v>0</v>
      </c>
      <c r="U139" s="208">
        <v>0</v>
      </c>
      <c r="V139" s="208">
        <v>0</v>
      </c>
      <c r="W139" s="208">
        <v>0</v>
      </c>
      <c r="X139" s="208">
        <v>0</v>
      </c>
      <c r="Y139" s="208">
        <v>0</v>
      </c>
      <c r="Z139" s="208">
        <v>0</v>
      </c>
      <c r="AA139" s="208">
        <v>0</v>
      </c>
      <c r="AB139" s="208">
        <v>0</v>
      </c>
      <c r="AC139" s="208">
        <v>0</v>
      </c>
      <c r="AD139" s="208">
        <v>0</v>
      </c>
      <c r="AE139" s="208">
        <v>0</v>
      </c>
      <c r="AF139" s="208">
        <v>0</v>
      </c>
      <c r="AG139" s="208">
        <v>0</v>
      </c>
      <c r="AH139" s="208">
        <v>0</v>
      </c>
      <c r="AI139" s="208">
        <v>0</v>
      </c>
      <c r="AJ139" s="208">
        <v>0</v>
      </c>
      <c r="AK139" s="208">
        <v>0</v>
      </c>
      <c r="AL139" s="208">
        <v>0</v>
      </c>
      <c r="AM139" s="208">
        <v>0</v>
      </c>
      <c r="AN139" s="208">
        <v>0</v>
      </c>
      <c r="AO139" s="208">
        <v>0</v>
      </c>
      <c r="AP139" s="208">
        <v>0</v>
      </c>
      <c r="AQ139" s="208">
        <v>0</v>
      </c>
      <c r="AR139" s="208">
        <v>0</v>
      </c>
      <c r="AS139" s="208">
        <v>0</v>
      </c>
      <c r="AT139" s="208">
        <v>0</v>
      </c>
      <c r="AU139" s="208">
        <v>0</v>
      </c>
      <c r="AV139" s="208">
        <v>0</v>
      </c>
      <c r="AW139" s="208">
        <v>0</v>
      </c>
      <c r="AX139" s="208">
        <v>0</v>
      </c>
      <c r="AY139" s="208">
        <v>0</v>
      </c>
      <c r="AZ139" s="208">
        <v>0</v>
      </c>
      <c r="BA139" s="208">
        <v>0</v>
      </c>
      <c r="BB139" s="208">
        <v>0</v>
      </c>
    </row>
    <row r="140" spans="1:55" ht="15" customHeight="1">
      <c r="A140"/>
      <c r="E140" s="19" t="s">
        <v>271</v>
      </c>
      <c r="G140" s="5" t="s">
        <v>270</v>
      </c>
      <c r="O140" s="31"/>
      <c r="P140" s="208">
        <v>0</v>
      </c>
      <c r="Q140" s="208">
        <v>0</v>
      </c>
      <c r="R140" s="208">
        <v>0</v>
      </c>
      <c r="S140" s="208">
        <v>0</v>
      </c>
      <c r="T140" s="208">
        <v>0</v>
      </c>
      <c r="U140" s="208">
        <v>0</v>
      </c>
      <c r="V140" s="208">
        <v>0</v>
      </c>
      <c r="W140" s="208">
        <v>0</v>
      </c>
      <c r="X140" s="208">
        <v>0</v>
      </c>
      <c r="Y140" s="208">
        <v>0</v>
      </c>
      <c r="Z140" s="208">
        <v>0</v>
      </c>
      <c r="AA140" s="208">
        <v>0</v>
      </c>
      <c r="AB140" s="208">
        <v>0</v>
      </c>
      <c r="AC140" s="208">
        <v>0</v>
      </c>
      <c r="AD140" s="208">
        <v>0</v>
      </c>
      <c r="AE140" s="208">
        <v>0</v>
      </c>
      <c r="AF140" s="208">
        <v>0</v>
      </c>
      <c r="AG140" s="208">
        <v>0</v>
      </c>
      <c r="AH140" s="208">
        <v>0</v>
      </c>
      <c r="AI140" s="208">
        <v>0</v>
      </c>
      <c r="AJ140" s="208">
        <v>0</v>
      </c>
      <c r="AK140" s="208">
        <v>0</v>
      </c>
      <c r="AL140" s="208">
        <v>0</v>
      </c>
      <c r="AM140" s="208">
        <v>0</v>
      </c>
      <c r="AN140" s="208">
        <v>0</v>
      </c>
      <c r="AO140" s="208">
        <v>0</v>
      </c>
      <c r="AP140" s="208">
        <v>0</v>
      </c>
      <c r="AQ140" s="208">
        <v>0</v>
      </c>
      <c r="AR140" s="208">
        <v>0</v>
      </c>
      <c r="AS140" s="208">
        <v>0</v>
      </c>
      <c r="AT140" s="208">
        <v>0</v>
      </c>
      <c r="AU140" s="208">
        <v>0</v>
      </c>
      <c r="AV140" s="208">
        <v>0</v>
      </c>
      <c r="AW140" s="208">
        <v>0</v>
      </c>
      <c r="AX140" s="208">
        <v>0</v>
      </c>
      <c r="AY140" s="208">
        <v>0</v>
      </c>
      <c r="AZ140" s="208">
        <v>0</v>
      </c>
      <c r="BA140" s="208">
        <v>0</v>
      </c>
      <c r="BB140" s="208">
        <v>0</v>
      </c>
    </row>
    <row r="141" spans="1:55" ht="13.15">
      <c r="A141"/>
      <c r="E141" s="45" t="s">
        <v>272</v>
      </c>
      <c r="G141" s="5" t="s">
        <v>270</v>
      </c>
      <c r="H141" s="19" t="s">
        <v>273</v>
      </c>
      <c r="O141" s="31"/>
      <c r="P141" s="214">
        <f t="shared" ref="P141:BB141" si="18">P139-P140</f>
        <v>0</v>
      </c>
      <c r="Q141" s="214">
        <f t="shared" si="18"/>
        <v>0</v>
      </c>
      <c r="R141" s="214">
        <f t="shared" si="18"/>
        <v>0</v>
      </c>
      <c r="S141" s="214">
        <f t="shared" si="18"/>
        <v>0</v>
      </c>
      <c r="T141" s="214">
        <f t="shared" si="18"/>
        <v>0</v>
      </c>
      <c r="U141" s="214">
        <f t="shared" si="18"/>
        <v>0</v>
      </c>
      <c r="V141" s="214">
        <f t="shared" si="18"/>
        <v>0</v>
      </c>
      <c r="W141" s="214">
        <f t="shared" si="18"/>
        <v>0</v>
      </c>
      <c r="X141" s="214">
        <f t="shared" si="18"/>
        <v>0</v>
      </c>
      <c r="Y141" s="214">
        <f t="shared" si="18"/>
        <v>0</v>
      </c>
      <c r="Z141" s="214">
        <f t="shared" si="18"/>
        <v>0</v>
      </c>
      <c r="AA141" s="214">
        <f t="shared" si="18"/>
        <v>0</v>
      </c>
      <c r="AB141" s="214">
        <f t="shared" si="18"/>
        <v>0</v>
      </c>
      <c r="AC141" s="214">
        <f t="shared" si="18"/>
        <v>0</v>
      </c>
      <c r="AD141" s="214">
        <f t="shared" si="18"/>
        <v>0</v>
      </c>
      <c r="AE141" s="214">
        <f t="shared" si="18"/>
        <v>0</v>
      </c>
      <c r="AF141" s="214">
        <f t="shared" si="18"/>
        <v>0</v>
      </c>
      <c r="AG141" s="214">
        <f t="shared" si="18"/>
        <v>0</v>
      </c>
      <c r="AH141" s="214">
        <f t="shared" si="18"/>
        <v>0</v>
      </c>
      <c r="AI141" s="214">
        <f t="shared" si="18"/>
        <v>0</v>
      </c>
      <c r="AJ141" s="214">
        <f t="shared" si="18"/>
        <v>0</v>
      </c>
      <c r="AK141" s="214">
        <f t="shared" si="18"/>
        <v>0</v>
      </c>
      <c r="AL141" s="214">
        <f t="shared" si="18"/>
        <v>0</v>
      </c>
      <c r="AM141" s="214">
        <f t="shared" si="18"/>
        <v>0</v>
      </c>
      <c r="AN141" s="214">
        <f t="shared" si="18"/>
        <v>0</v>
      </c>
      <c r="AO141" s="214">
        <f t="shared" si="18"/>
        <v>0</v>
      </c>
      <c r="AP141" s="214">
        <f t="shared" si="18"/>
        <v>0</v>
      </c>
      <c r="AQ141" s="214">
        <f t="shared" si="18"/>
        <v>0</v>
      </c>
      <c r="AR141" s="214">
        <f t="shared" si="18"/>
        <v>0</v>
      </c>
      <c r="AS141" s="214">
        <f t="shared" si="18"/>
        <v>0</v>
      </c>
      <c r="AT141" s="214">
        <f t="shared" si="18"/>
        <v>0</v>
      </c>
      <c r="AU141" s="214">
        <f t="shared" si="18"/>
        <v>0</v>
      </c>
      <c r="AV141" s="214">
        <f t="shared" si="18"/>
        <v>0</v>
      </c>
      <c r="AW141" s="214">
        <f t="shared" si="18"/>
        <v>0</v>
      </c>
      <c r="AX141" s="214">
        <f t="shared" si="18"/>
        <v>0</v>
      </c>
      <c r="AY141" s="214">
        <f t="shared" si="18"/>
        <v>0</v>
      </c>
      <c r="AZ141" s="214">
        <f t="shared" si="18"/>
        <v>0</v>
      </c>
      <c r="BA141" s="214">
        <f t="shared" si="18"/>
        <v>0</v>
      </c>
      <c r="BB141" s="214">
        <f t="shared" si="18"/>
        <v>0</v>
      </c>
    </row>
    <row r="142" spans="1:55" ht="15" customHeight="1">
      <c r="A142"/>
      <c r="E142" s="19" t="s">
        <v>274</v>
      </c>
      <c r="G142" s="5" t="s">
        <v>270</v>
      </c>
      <c r="O142" s="31"/>
      <c r="P142" s="215">
        <v>0</v>
      </c>
      <c r="Q142" s="215">
        <v>0</v>
      </c>
      <c r="R142" s="215">
        <v>0</v>
      </c>
      <c r="S142" s="215">
        <v>0</v>
      </c>
      <c r="T142" s="215">
        <v>0</v>
      </c>
      <c r="U142" s="215">
        <v>0</v>
      </c>
      <c r="V142" s="215">
        <v>0</v>
      </c>
      <c r="W142" s="215">
        <v>0</v>
      </c>
      <c r="X142" s="215">
        <v>0</v>
      </c>
      <c r="Y142" s="215">
        <v>0</v>
      </c>
      <c r="Z142" s="215">
        <v>0</v>
      </c>
      <c r="AA142" s="215">
        <v>0</v>
      </c>
      <c r="AB142" s="215">
        <v>0</v>
      </c>
      <c r="AC142" s="215">
        <v>0</v>
      </c>
      <c r="AD142" s="215">
        <v>0</v>
      </c>
      <c r="AE142" s="215">
        <v>0</v>
      </c>
      <c r="AF142" s="215">
        <v>0</v>
      </c>
      <c r="AG142" s="215">
        <v>0</v>
      </c>
      <c r="AH142" s="215">
        <v>0</v>
      </c>
      <c r="AI142" s="215">
        <v>0</v>
      </c>
      <c r="AJ142" s="215">
        <v>0</v>
      </c>
      <c r="AK142" s="215">
        <v>0</v>
      </c>
      <c r="AL142" s="215">
        <v>0</v>
      </c>
      <c r="AM142" s="215">
        <v>0</v>
      </c>
      <c r="AN142" s="215">
        <v>0</v>
      </c>
      <c r="AO142" s="215">
        <v>0</v>
      </c>
      <c r="AP142" s="215">
        <v>0</v>
      </c>
      <c r="AQ142" s="215">
        <v>0</v>
      </c>
      <c r="AR142" s="215">
        <v>0</v>
      </c>
      <c r="AS142" s="215">
        <v>0</v>
      </c>
      <c r="AT142" s="215">
        <v>0</v>
      </c>
      <c r="AU142" s="215">
        <v>0</v>
      </c>
      <c r="AV142" s="215">
        <v>0</v>
      </c>
      <c r="AW142" s="215">
        <v>0</v>
      </c>
      <c r="AX142" s="215">
        <v>0</v>
      </c>
      <c r="AY142" s="215">
        <v>0</v>
      </c>
      <c r="AZ142" s="215">
        <v>0</v>
      </c>
      <c r="BA142" s="215">
        <v>0</v>
      </c>
      <c r="BB142" s="215">
        <v>0</v>
      </c>
    </row>
    <row r="143" spans="1:55" ht="15" customHeight="1">
      <c r="E143" s="19" t="s">
        <v>275</v>
      </c>
      <c r="G143" s="5" t="s">
        <v>270</v>
      </c>
      <c r="O143" s="31"/>
      <c r="P143" s="208">
        <v>0</v>
      </c>
      <c r="Q143" s="208">
        <v>0</v>
      </c>
      <c r="R143" s="208">
        <v>0</v>
      </c>
      <c r="S143" s="208">
        <v>0</v>
      </c>
      <c r="T143" s="208">
        <v>0</v>
      </c>
      <c r="U143" s="208">
        <v>0</v>
      </c>
      <c r="V143" s="208">
        <v>0</v>
      </c>
      <c r="W143" s="208">
        <v>0</v>
      </c>
      <c r="X143" s="208">
        <v>0</v>
      </c>
      <c r="Y143" s="208">
        <v>0</v>
      </c>
      <c r="Z143" s="208">
        <v>0</v>
      </c>
      <c r="AA143" s="208">
        <v>0</v>
      </c>
      <c r="AB143" s="208">
        <v>0</v>
      </c>
      <c r="AC143" s="208">
        <v>0</v>
      </c>
      <c r="AD143" s="208">
        <v>0</v>
      </c>
      <c r="AE143" s="208">
        <v>0</v>
      </c>
      <c r="AF143" s="208">
        <v>0</v>
      </c>
      <c r="AG143" s="208">
        <v>0</v>
      </c>
      <c r="AH143" s="208">
        <v>0</v>
      </c>
      <c r="AI143" s="208">
        <v>0</v>
      </c>
      <c r="AJ143" s="208">
        <v>0</v>
      </c>
      <c r="AK143" s="208">
        <v>0</v>
      </c>
      <c r="AL143" s="208">
        <v>0</v>
      </c>
      <c r="AM143" s="208">
        <v>0</v>
      </c>
      <c r="AN143" s="208">
        <v>0</v>
      </c>
      <c r="AO143" s="208">
        <v>0</v>
      </c>
      <c r="AP143" s="208">
        <v>0</v>
      </c>
      <c r="AQ143" s="208">
        <v>0</v>
      </c>
      <c r="AR143" s="208">
        <v>0</v>
      </c>
      <c r="AS143" s="208">
        <v>0</v>
      </c>
      <c r="AT143" s="208">
        <v>0</v>
      </c>
      <c r="AU143" s="208">
        <v>0</v>
      </c>
      <c r="AV143" s="208">
        <v>0</v>
      </c>
      <c r="AW143" s="208">
        <v>0</v>
      </c>
      <c r="AX143" s="208">
        <v>0</v>
      </c>
      <c r="AY143" s="208">
        <v>0</v>
      </c>
      <c r="AZ143" s="208">
        <v>0</v>
      </c>
      <c r="BA143" s="208">
        <v>0</v>
      </c>
      <c r="BB143" s="208">
        <v>0</v>
      </c>
    </row>
    <row r="144" spans="1:55" ht="13.15">
      <c r="E144" s="45" t="s">
        <v>276</v>
      </c>
      <c r="G144" s="5" t="s">
        <v>270</v>
      </c>
      <c r="H144" s="19" t="s">
        <v>273</v>
      </c>
      <c r="O144" s="31"/>
      <c r="P144" s="214">
        <f t="shared" ref="P144:BB144" si="19">P142-P143</f>
        <v>0</v>
      </c>
      <c r="Q144" s="214">
        <f t="shared" si="19"/>
        <v>0</v>
      </c>
      <c r="R144" s="214">
        <f t="shared" si="19"/>
        <v>0</v>
      </c>
      <c r="S144" s="214">
        <f t="shared" si="19"/>
        <v>0</v>
      </c>
      <c r="T144" s="214">
        <f t="shared" si="19"/>
        <v>0</v>
      </c>
      <c r="U144" s="214">
        <f t="shared" si="19"/>
        <v>0</v>
      </c>
      <c r="V144" s="214">
        <f t="shared" si="19"/>
        <v>0</v>
      </c>
      <c r="W144" s="214">
        <f t="shared" si="19"/>
        <v>0</v>
      </c>
      <c r="X144" s="214">
        <f t="shared" si="19"/>
        <v>0</v>
      </c>
      <c r="Y144" s="214">
        <f t="shared" si="19"/>
        <v>0</v>
      </c>
      <c r="Z144" s="214">
        <f t="shared" si="19"/>
        <v>0</v>
      </c>
      <c r="AA144" s="214">
        <f t="shared" si="19"/>
        <v>0</v>
      </c>
      <c r="AB144" s="214">
        <f t="shared" si="19"/>
        <v>0</v>
      </c>
      <c r="AC144" s="214">
        <f t="shared" si="19"/>
        <v>0</v>
      </c>
      <c r="AD144" s="214">
        <f t="shared" si="19"/>
        <v>0</v>
      </c>
      <c r="AE144" s="214">
        <f t="shared" si="19"/>
        <v>0</v>
      </c>
      <c r="AF144" s="214">
        <f t="shared" si="19"/>
        <v>0</v>
      </c>
      <c r="AG144" s="214">
        <f t="shared" si="19"/>
        <v>0</v>
      </c>
      <c r="AH144" s="214">
        <f t="shared" si="19"/>
        <v>0</v>
      </c>
      <c r="AI144" s="214">
        <f t="shared" si="19"/>
        <v>0</v>
      </c>
      <c r="AJ144" s="214">
        <f t="shared" si="19"/>
        <v>0</v>
      </c>
      <c r="AK144" s="214">
        <f t="shared" si="19"/>
        <v>0</v>
      </c>
      <c r="AL144" s="214">
        <f t="shared" si="19"/>
        <v>0</v>
      </c>
      <c r="AM144" s="214">
        <f t="shared" si="19"/>
        <v>0</v>
      </c>
      <c r="AN144" s="214">
        <f t="shared" ref="AN144" si="20">AN142-AN143</f>
        <v>0</v>
      </c>
      <c r="AO144" s="214">
        <f t="shared" si="19"/>
        <v>0</v>
      </c>
      <c r="AP144" s="214">
        <f t="shared" si="19"/>
        <v>0</v>
      </c>
      <c r="AQ144" s="214">
        <f t="shared" si="19"/>
        <v>0</v>
      </c>
      <c r="AR144" s="214">
        <f t="shared" si="19"/>
        <v>0</v>
      </c>
      <c r="AS144" s="214">
        <f t="shared" si="19"/>
        <v>0</v>
      </c>
      <c r="AT144" s="214">
        <f t="shared" si="19"/>
        <v>0</v>
      </c>
      <c r="AU144" s="214">
        <f t="shared" si="19"/>
        <v>0</v>
      </c>
      <c r="AV144" s="214">
        <f t="shared" si="19"/>
        <v>0</v>
      </c>
      <c r="AW144" s="214">
        <f t="shared" si="19"/>
        <v>0</v>
      </c>
      <c r="AX144" s="214">
        <f t="shared" si="19"/>
        <v>0</v>
      </c>
      <c r="AY144" s="214">
        <f t="shared" si="19"/>
        <v>0</v>
      </c>
      <c r="AZ144" s="214">
        <f t="shared" si="19"/>
        <v>0</v>
      </c>
      <c r="BA144" s="214">
        <f t="shared" si="19"/>
        <v>0</v>
      </c>
      <c r="BB144" s="214">
        <f t="shared" si="19"/>
        <v>0</v>
      </c>
    </row>
    <row r="145" spans="1:55" ht="15" customHeight="1">
      <c r="E145" s="19" t="s">
        <v>277</v>
      </c>
      <c r="G145" s="5" t="s">
        <v>270</v>
      </c>
      <c r="O145" s="31"/>
      <c r="P145" s="215">
        <v>0</v>
      </c>
      <c r="Q145" s="215">
        <v>0</v>
      </c>
      <c r="R145" s="215">
        <v>0</v>
      </c>
      <c r="S145" s="215">
        <v>0</v>
      </c>
      <c r="T145" s="215">
        <v>0</v>
      </c>
      <c r="U145" s="215">
        <v>0</v>
      </c>
      <c r="V145" s="215">
        <v>0</v>
      </c>
      <c r="W145" s="215">
        <v>0</v>
      </c>
      <c r="X145" s="215">
        <v>0</v>
      </c>
      <c r="Y145" s="215">
        <v>0</v>
      </c>
      <c r="Z145" s="215">
        <v>0</v>
      </c>
      <c r="AA145" s="215">
        <v>0</v>
      </c>
      <c r="AB145" s="215">
        <v>0</v>
      </c>
      <c r="AC145" s="215">
        <v>0</v>
      </c>
      <c r="AD145" s="215">
        <v>0</v>
      </c>
      <c r="AE145" s="215">
        <v>0</v>
      </c>
      <c r="AF145" s="215">
        <v>0</v>
      </c>
      <c r="AG145" s="215">
        <v>0</v>
      </c>
      <c r="AH145" s="215">
        <v>0</v>
      </c>
      <c r="AI145" s="215">
        <v>0</v>
      </c>
      <c r="AJ145" s="215">
        <v>0</v>
      </c>
      <c r="AK145" s="215">
        <v>0</v>
      </c>
      <c r="AL145" s="215">
        <v>0</v>
      </c>
      <c r="AM145" s="215">
        <v>0</v>
      </c>
      <c r="AN145" s="215">
        <v>0</v>
      </c>
      <c r="AO145" s="215">
        <v>0</v>
      </c>
      <c r="AP145" s="215">
        <v>0</v>
      </c>
      <c r="AQ145" s="215">
        <v>0</v>
      </c>
      <c r="AR145" s="215">
        <v>0</v>
      </c>
      <c r="AS145" s="215">
        <v>0</v>
      </c>
      <c r="AT145" s="215">
        <v>0</v>
      </c>
      <c r="AU145" s="215">
        <v>0</v>
      </c>
      <c r="AV145" s="215">
        <v>0</v>
      </c>
      <c r="AW145" s="215">
        <v>0</v>
      </c>
      <c r="AX145" s="215">
        <v>0</v>
      </c>
      <c r="AY145" s="215">
        <v>0</v>
      </c>
      <c r="AZ145" s="215">
        <v>0</v>
      </c>
      <c r="BA145" s="215">
        <v>0</v>
      </c>
      <c r="BB145" s="215">
        <v>0</v>
      </c>
    </row>
    <row r="146" spans="1:55" ht="15" customHeight="1">
      <c r="G146" s="5"/>
    </row>
    <row r="147" spans="1:55" ht="15" customHeight="1">
      <c r="D147" s="5"/>
      <c r="E147" s="19" t="s">
        <v>278</v>
      </c>
      <c r="G147" s="5" t="s">
        <v>209</v>
      </c>
      <c r="I147" s="178">
        <v>0.8</v>
      </c>
      <c r="P147" s="154"/>
      <c r="Q147" s="154"/>
      <c r="R147" s="154"/>
      <c r="S147" s="154"/>
      <c r="T147" s="154"/>
      <c r="U147" s="154"/>
      <c r="V147" s="154"/>
      <c r="W147" s="154"/>
      <c r="X147" s="154"/>
      <c r="Y147" s="154"/>
      <c r="Z147" s="154"/>
      <c r="AA147" s="154"/>
      <c r="AB147" s="154"/>
      <c r="AC147" s="154"/>
      <c r="AD147" s="154"/>
      <c r="AE147" s="154"/>
      <c r="AF147" s="154"/>
      <c r="AG147" s="154"/>
      <c r="AH147" s="154"/>
      <c r="AI147" s="154"/>
      <c r="AJ147" s="154"/>
      <c r="AK147" s="154"/>
      <c r="AL147" s="154"/>
      <c r="AM147" s="154"/>
      <c r="AN147" s="154"/>
    </row>
    <row r="148" spans="1:55" ht="15" customHeight="1">
      <c r="G148" s="5"/>
      <c r="P148" s="154"/>
      <c r="Q148" s="154"/>
      <c r="R148" s="154"/>
      <c r="S148" s="154"/>
      <c r="T148" s="154"/>
      <c r="U148" s="154"/>
      <c r="V148" s="154"/>
      <c r="W148" s="154"/>
      <c r="X148" s="154"/>
      <c r="Y148" s="154"/>
      <c r="Z148" s="154"/>
      <c r="AA148" s="154"/>
      <c r="AB148" s="154"/>
      <c r="AC148" s="154"/>
      <c r="AD148" s="154"/>
      <c r="AE148" s="154"/>
      <c r="AF148" s="154"/>
      <c r="AG148" s="154"/>
      <c r="AH148" s="154"/>
      <c r="AI148" s="154"/>
      <c r="AJ148" s="154"/>
      <c r="AK148" s="154"/>
      <c r="AL148" s="154"/>
      <c r="AM148" s="154"/>
      <c r="AN148" s="154"/>
    </row>
    <row r="149" spans="1:55" ht="15" customHeight="1">
      <c r="C149" s="38" t="s">
        <v>279</v>
      </c>
      <c r="D149" s="38"/>
      <c r="E149" s="38"/>
      <c r="F149" s="38"/>
      <c r="G149" s="38"/>
      <c r="H149" s="38"/>
      <c r="I149" s="38"/>
      <c r="J149" s="38"/>
      <c r="K149" s="38"/>
      <c r="L149" s="38"/>
      <c r="M149" s="38"/>
      <c r="N149" s="38"/>
      <c r="O149" s="38"/>
      <c r="P149" s="38"/>
      <c r="Q149" s="38"/>
      <c r="R149" s="38"/>
      <c r="S149" s="38"/>
      <c r="T149" s="38"/>
      <c r="U149" s="38"/>
      <c r="V149" s="38"/>
      <c r="W149" s="38"/>
      <c r="X149" s="38"/>
      <c r="Y149" s="38"/>
      <c r="Z149" s="38"/>
      <c r="AA149" s="38"/>
      <c r="AB149" s="38"/>
      <c r="AC149" s="38"/>
      <c r="AD149" s="38"/>
      <c r="AE149" s="38"/>
      <c r="AF149" s="38"/>
      <c r="AG149" s="38"/>
      <c r="AH149" s="38"/>
      <c r="AI149" s="38"/>
      <c r="AJ149" s="38"/>
      <c r="AK149" s="38"/>
      <c r="AL149" s="38"/>
      <c r="AM149" s="38"/>
      <c r="AN149" s="38"/>
      <c r="AO149" s="38"/>
      <c r="AP149" s="38"/>
      <c r="AQ149" s="38"/>
      <c r="AR149" s="38"/>
      <c r="AS149" s="38"/>
      <c r="AT149" s="38"/>
      <c r="AU149" s="38"/>
      <c r="AV149" s="38"/>
      <c r="AW149" s="38"/>
      <c r="AX149" s="38"/>
      <c r="AY149" s="38"/>
      <c r="AZ149" s="38"/>
      <c r="BA149" s="38"/>
      <c r="BB149" s="38"/>
      <c r="BC149" s="5"/>
    </row>
    <row r="150" spans="1:55" ht="15" customHeight="1">
      <c r="A150" s="5"/>
      <c r="B150" s="5"/>
      <c r="D150" s="5"/>
      <c r="O150" s="32"/>
      <c r="P150" s="32"/>
      <c r="Q150" s="32"/>
      <c r="R150" s="32"/>
      <c r="S150" s="32"/>
      <c r="T150" s="32"/>
      <c r="U150" s="32"/>
      <c r="V150" s="32"/>
      <c r="W150" s="32"/>
      <c r="X150" s="32"/>
      <c r="Y150" s="32"/>
      <c r="Z150" s="32"/>
      <c r="AA150" s="32"/>
      <c r="AB150" s="32"/>
      <c r="AC150" s="32"/>
      <c r="AD150" s="32"/>
      <c r="AE150" s="32"/>
      <c r="AF150" s="32"/>
      <c r="AG150" s="32"/>
      <c r="AH150" s="32"/>
      <c r="AI150" s="32"/>
      <c r="AJ150" s="32"/>
      <c r="AK150" s="32"/>
      <c r="AL150" s="32"/>
      <c r="AM150" s="32"/>
      <c r="AN150" s="32"/>
      <c r="AO150" s="32"/>
      <c r="AP150" s="32"/>
      <c r="AQ150" s="32"/>
      <c r="AR150" s="32"/>
      <c r="AS150" s="32"/>
      <c r="AT150" s="32"/>
      <c r="AU150" s="32"/>
      <c r="AV150" s="32"/>
      <c r="AW150" s="32"/>
      <c r="AX150" s="32"/>
      <c r="AY150" s="32"/>
      <c r="AZ150" s="32"/>
      <c r="BA150" s="32"/>
      <c r="BB150" s="32"/>
    </row>
    <row r="151" spans="1:55" ht="28.5" customHeight="1">
      <c r="A151" s="5"/>
      <c r="B151" s="5"/>
      <c r="D151" s="5"/>
      <c r="E151" s="19" t="str">
        <f>E52</f>
        <v>Base year RPI inflation index value (CHAW)</v>
      </c>
      <c r="G151" s="19" t="str">
        <f>G52</f>
        <v>Jan 1987 = 100</v>
      </c>
      <c r="H151" s="45" t="str">
        <f>H52</f>
        <v>UK RPI index 2020</v>
      </c>
      <c r="I151" s="87">
        <f>I52</f>
        <v>293.10000000000002</v>
      </c>
      <c r="O151" s="32"/>
      <c r="P151" s="32"/>
      <c r="Q151" s="32"/>
      <c r="R151" s="32"/>
      <c r="S151" s="32"/>
      <c r="U151" s="32"/>
      <c r="V151" s="32"/>
      <c r="W151" s="32"/>
      <c r="X151" s="32"/>
      <c r="Y151" s="32"/>
      <c r="Z151" s="32"/>
      <c r="AA151" s="32"/>
      <c r="AB151" s="32"/>
      <c r="AC151" s="32"/>
      <c r="AD151" s="32"/>
      <c r="AE151" s="32"/>
      <c r="AF151" s="32"/>
      <c r="AG151" s="32"/>
      <c r="AH151" s="32"/>
      <c r="AI151" s="32"/>
      <c r="AJ151" s="32"/>
      <c r="AK151" s="32"/>
      <c r="AL151" s="32"/>
      <c r="AM151" s="32"/>
      <c r="AN151" s="32"/>
      <c r="AO151" s="32"/>
      <c r="AP151" s="32"/>
      <c r="AQ151" s="32"/>
      <c r="AR151" s="32"/>
      <c r="AS151" s="32"/>
      <c r="AT151" s="32"/>
      <c r="AU151" s="32"/>
      <c r="AV151" s="32"/>
      <c r="AW151" s="32"/>
      <c r="AX151" s="32"/>
      <c r="AY151" s="32"/>
      <c r="AZ151" s="32"/>
      <c r="BA151" s="32"/>
      <c r="BB151" s="32"/>
    </row>
    <row r="152" spans="1:55" s="142" customFormat="1" ht="28.5" customHeight="1">
      <c r="A152" s="143"/>
      <c r="B152" s="143"/>
      <c r="D152" s="143"/>
      <c r="E152" s="146" t="str">
        <f>E53</f>
        <v>Base year non-GB inflation index value</v>
      </c>
      <c r="F152" s="146"/>
      <c r="G152" s="146" t="s">
        <v>280</v>
      </c>
      <c r="H152" s="147" t="str">
        <f>H53</f>
        <v>non-GB inflation index 2020</v>
      </c>
      <c r="I152" s="148">
        <f>I53</f>
        <v>0</v>
      </c>
      <c r="O152" s="144"/>
      <c r="P152" s="144"/>
      <c r="Q152" s="144"/>
      <c r="R152" s="144"/>
      <c r="S152" s="144"/>
      <c r="U152" s="144"/>
      <c r="V152" s="144"/>
      <c r="W152" s="144"/>
      <c r="X152" s="144"/>
      <c r="Y152" s="144"/>
      <c r="Z152" s="144"/>
      <c r="AA152" s="144"/>
      <c r="AB152" s="144"/>
      <c r="AC152" s="144"/>
      <c r="AD152" s="144"/>
      <c r="AE152" s="144"/>
      <c r="AF152" s="144"/>
      <c r="AG152" s="144"/>
      <c r="AH152" s="144"/>
      <c r="AI152" s="144"/>
      <c r="AJ152" s="144"/>
      <c r="AK152" s="144"/>
      <c r="AL152" s="144"/>
      <c r="AM152" s="144"/>
      <c r="AN152" s="144"/>
      <c r="AO152" s="144"/>
      <c r="AP152" s="144"/>
      <c r="AQ152" s="144"/>
      <c r="AR152" s="144"/>
      <c r="AS152" s="144"/>
      <c r="AT152" s="144"/>
      <c r="AU152" s="144"/>
      <c r="AV152" s="144"/>
      <c r="AW152" s="144"/>
      <c r="AX152" s="144"/>
      <c r="AY152" s="144"/>
      <c r="AZ152" s="144"/>
      <c r="BA152" s="144"/>
      <c r="BB152" s="144"/>
    </row>
    <row r="153" spans="1:55" s="142" customFormat="1" ht="28.5" customHeight="1">
      <c r="A153" s="143"/>
      <c r="B153" s="143"/>
      <c r="D153" s="143"/>
      <c r="E153" s="146" t="str">
        <f>E54</f>
        <v>Base year average exchange rate (XUMAERS)</v>
      </c>
      <c r="F153" s="146"/>
      <c r="G153" s="146" t="str">
        <f>G54</f>
        <v>GBP / EUR</v>
      </c>
      <c r="H153" s="147" t="str">
        <f>H54</f>
        <v>GBP2020 / EUR2020</v>
      </c>
      <c r="I153" s="148">
        <f>I54</f>
        <v>0</v>
      </c>
      <c r="O153" s="144"/>
      <c r="P153" s="144"/>
      <c r="Q153" s="144"/>
      <c r="R153" s="144"/>
      <c r="S153" s="144"/>
      <c r="U153" s="144"/>
      <c r="V153" s="144"/>
      <c r="W153" s="144"/>
      <c r="X153" s="144"/>
      <c r="Y153" s="144"/>
      <c r="Z153" s="144"/>
      <c r="AA153" s="144"/>
      <c r="AB153" s="144"/>
      <c r="AC153" s="144"/>
      <c r="AD153" s="144"/>
      <c r="AE153" s="144"/>
      <c r="AF153" s="144"/>
      <c r="AG153" s="144"/>
      <c r="AH153" s="144"/>
      <c r="AI153" s="144"/>
      <c r="AJ153" s="144"/>
      <c r="AK153" s="144"/>
      <c r="AL153" s="144"/>
      <c r="AM153" s="144"/>
      <c r="AN153" s="144"/>
      <c r="AO153" s="144"/>
      <c r="AP153" s="144"/>
      <c r="AQ153" s="144"/>
      <c r="AR153" s="144"/>
      <c r="AS153" s="144"/>
      <c r="AT153" s="144"/>
      <c r="AU153" s="144"/>
      <c r="AV153" s="144"/>
      <c r="AW153" s="144"/>
      <c r="AX153" s="144"/>
      <c r="AY153" s="144"/>
      <c r="AZ153" s="144"/>
      <c r="BA153" s="144"/>
      <c r="BB153" s="144"/>
    </row>
    <row r="154" spans="1:55" ht="15" customHeight="1">
      <c r="A154" s="5"/>
      <c r="B154" s="5"/>
      <c r="D154" s="5"/>
      <c r="O154" s="32"/>
      <c r="P154" s="32"/>
      <c r="Q154" s="32"/>
      <c r="R154" s="32"/>
      <c r="S154" s="32"/>
      <c r="U154" s="32"/>
      <c r="V154" s="32"/>
      <c r="W154" s="32"/>
      <c r="X154" s="32"/>
      <c r="Y154" s="32"/>
      <c r="Z154" s="32"/>
      <c r="AA154" s="32"/>
      <c r="AB154" s="32"/>
      <c r="AC154" s="32"/>
      <c r="AD154" s="32"/>
      <c r="AE154" s="32"/>
      <c r="AF154" s="32"/>
      <c r="AG154" s="32"/>
      <c r="AH154" s="32"/>
      <c r="AI154" s="32"/>
      <c r="AJ154" s="32"/>
      <c r="AK154" s="32"/>
      <c r="AL154" s="32"/>
      <c r="AM154" s="32"/>
      <c r="AN154" s="32"/>
      <c r="AO154" s="32"/>
      <c r="AP154" s="32"/>
      <c r="AQ154" s="32"/>
      <c r="AR154" s="32"/>
      <c r="AS154" s="32"/>
      <c r="AT154" s="32"/>
      <c r="AU154" s="32"/>
      <c r="AV154" s="32"/>
      <c r="AW154" s="32"/>
      <c r="AX154" s="32"/>
      <c r="AY154" s="32"/>
      <c r="AZ154" s="32"/>
      <c r="BA154" s="32"/>
      <c r="BB154" s="32"/>
    </row>
    <row r="155" spans="1:55" ht="15" customHeight="1">
      <c r="B155" s="30"/>
      <c r="E155" s="135" t="s">
        <v>281</v>
      </c>
      <c r="G155" s="19" t="str">
        <f>G151</f>
        <v>Jan 1987 = 100</v>
      </c>
      <c r="H155" s="135" t="s">
        <v>282</v>
      </c>
      <c r="O155" s="48">
        <v>386.70000000000005</v>
      </c>
      <c r="P155" s="48">
        <v>402.7</v>
      </c>
      <c r="Q155" s="87">
        <f>P155*(1+4.28%)</f>
        <v>419.93555999999995</v>
      </c>
      <c r="R155" s="87">
        <f t="shared" ref="R155:BB155" si="21">Q155*(1+4.28%)</f>
        <v>437.90880196799992</v>
      </c>
      <c r="S155" s="87">
        <f t="shared" si="21"/>
        <v>456.65129869223028</v>
      </c>
      <c r="T155" s="87">
        <f t="shared" si="21"/>
        <v>476.19597427625774</v>
      </c>
      <c r="U155" s="87">
        <f t="shared" si="21"/>
        <v>496.57716197528157</v>
      </c>
      <c r="V155" s="87">
        <f t="shared" si="21"/>
        <v>517.8306645078236</v>
      </c>
      <c r="W155" s="87">
        <f t="shared" si="21"/>
        <v>539.99381694875842</v>
      </c>
      <c r="X155" s="87">
        <f t="shared" si="21"/>
        <v>563.10555231416527</v>
      </c>
      <c r="Y155" s="87">
        <f t="shared" si="21"/>
        <v>587.20646995321147</v>
      </c>
      <c r="Z155" s="87">
        <f t="shared" si="21"/>
        <v>612.33890686720883</v>
      </c>
      <c r="AA155" s="87">
        <f t="shared" si="21"/>
        <v>638.54701208112533</v>
      </c>
      <c r="AB155" s="87">
        <f t="shared" si="21"/>
        <v>665.87682419819748</v>
      </c>
      <c r="AC155" s="87">
        <f t="shared" si="21"/>
        <v>694.37635227388034</v>
      </c>
      <c r="AD155" s="87">
        <f t="shared" si="21"/>
        <v>724.09566015120242</v>
      </c>
      <c r="AE155" s="87">
        <f t="shared" si="21"/>
        <v>755.08695440567385</v>
      </c>
      <c r="AF155" s="87">
        <f t="shared" si="21"/>
        <v>787.40467605423669</v>
      </c>
      <c r="AG155" s="87">
        <f t="shared" si="21"/>
        <v>821.10559618935793</v>
      </c>
      <c r="AH155" s="87">
        <f t="shared" si="21"/>
        <v>856.24891570626244</v>
      </c>
      <c r="AI155" s="87">
        <f t="shared" si="21"/>
        <v>892.89636929849041</v>
      </c>
      <c r="AJ155" s="87">
        <f t="shared" si="21"/>
        <v>931.1123339044658</v>
      </c>
      <c r="AK155" s="87">
        <f t="shared" si="21"/>
        <v>970.96394179557694</v>
      </c>
      <c r="AL155" s="87">
        <f t="shared" si="21"/>
        <v>1012.5211985044276</v>
      </c>
      <c r="AM155" s="87">
        <f t="shared" si="21"/>
        <v>1055.857105800417</v>
      </c>
      <c r="AN155" s="87">
        <f t="shared" si="21"/>
        <v>1101.0477899286748</v>
      </c>
      <c r="AO155" s="87">
        <f t="shared" si="21"/>
        <v>1148.1726353376221</v>
      </c>
      <c r="AP155" s="87">
        <f t="shared" si="21"/>
        <v>1197.3144241300722</v>
      </c>
      <c r="AQ155" s="87">
        <f t="shared" si="21"/>
        <v>1248.5594814828391</v>
      </c>
      <c r="AR155" s="87">
        <f t="shared" si="21"/>
        <v>1301.9978272903045</v>
      </c>
      <c r="AS155" s="87">
        <f t="shared" si="21"/>
        <v>1357.7233342983295</v>
      </c>
      <c r="AT155" s="87">
        <f t="shared" si="21"/>
        <v>1415.833893006298</v>
      </c>
      <c r="AU155" s="87">
        <f t="shared" si="21"/>
        <v>1476.4315836269675</v>
      </c>
      <c r="AV155" s="87">
        <f t="shared" si="21"/>
        <v>1539.6228554062016</v>
      </c>
      <c r="AW155" s="87">
        <f t="shared" si="21"/>
        <v>1605.5187136175869</v>
      </c>
      <c r="AX155" s="87">
        <f t="shared" si="21"/>
        <v>1674.2349145604194</v>
      </c>
      <c r="AY155" s="87">
        <f t="shared" si="21"/>
        <v>1745.8921689036054</v>
      </c>
      <c r="AZ155" s="87">
        <f t="shared" si="21"/>
        <v>1820.6163537326795</v>
      </c>
      <c r="BA155" s="87">
        <f t="shared" si="21"/>
        <v>1898.5387336724382</v>
      </c>
      <c r="BB155" s="87">
        <f t="shared" si="21"/>
        <v>1979.7961914736184</v>
      </c>
    </row>
    <row r="156" spans="1:55" s="142" customFormat="1" ht="15" customHeight="1">
      <c r="B156" s="145"/>
      <c r="E156" s="146" t="s">
        <v>283</v>
      </c>
      <c r="G156" s="19" t="str">
        <f>G152</f>
        <v>-</v>
      </c>
      <c r="H156" s="146" t="s">
        <v>284</v>
      </c>
      <c r="O156" s="148"/>
      <c r="P156" s="148"/>
      <c r="Q156" s="148"/>
      <c r="R156" s="148"/>
      <c r="S156" s="148"/>
      <c r="T156" s="148"/>
      <c r="U156" s="148"/>
      <c r="V156" s="148"/>
      <c r="W156" s="148"/>
      <c r="X156" s="148"/>
      <c r="Y156" s="148"/>
      <c r="Z156" s="148"/>
      <c r="AA156" s="148"/>
      <c r="AB156" s="148"/>
      <c r="AC156" s="148"/>
      <c r="AD156" s="148"/>
      <c r="AE156" s="148"/>
      <c r="AF156" s="148"/>
      <c r="AG156" s="148"/>
      <c r="AH156" s="148"/>
      <c r="AI156" s="148"/>
      <c r="AJ156" s="148"/>
      <c r="AK156" s="148"/>
      <c r="AL156" s="148"/>
      <c r="AM156" s="148"/>
      <c r="AN156" s="148"/>
      <c r="AO156" s="148"/>
      <c r="AP156" s="148"/>
      <c r="AQ156" s="148"/>
      <c r="AR156" s="148"/>
      <c r="AS156" s="148"/>
      <c r="AT156" s="148"/>
      <c r="AU156" s="148"/>
      <c r="AV156" s="148"/>
      <c r="AW156" s="148"/>
      <c r="AX156" s="148"/>
      <c r="AY156" s="148"/>
      <c r="AZ156" s="148"/>
      <c r="BA156" s="148"/>
      <c r="BB156" s="148"/>
    </row>
    <row r="157" spans="1:55" ht="15" customHeight="1">
      <c r="B157" s="30"/>
      <c r="O157" s="87"/>
      <c r="P157" s="87"/>
      <c r="Q157" s="87"/>
      <c r="R157" s="87"/>
      <c r="S157" s="87"/>
      <c r="T157" s="87"/>
      <c r="U157" s="87"/>
      <c r="V157" s="87"/>
      <c r="W157" s="87"/>
      <c r="X157" s="87"/>
      <c r="Y157" s="87"/>
      <c r="Z157" s="87"/>
      <c r="AA157" s="87"/>
      <c r="AB157" s="87"/>
      <c r="AC157" s="87"/>
      <c r="AD157" s="87"/>
      <c r="AE157" s="87"/>
      <c r="AF157" s="87"/>
      <c r="AG157" s="87"/>
      <c r="AH157" s="87"/>
      <c r="AI157" s="87"/>
      <c r="AJ157" s="87"/>
      <c r="AK157" s="87"/>
      <c r="AL157" s="87"/>
      <c r="AM157" s="87"/>
      <c r="AN157" s="87"/>
      <c r="AO157" s="87"/>
      <c r="AP157" s="87"/>
      <c r="AQ157" s="87"/>
      <c r="AR157" s="87"/>
      <c r="AS157" s="87"/>
      <c r="AT157" s="87"/>
      <c r="AU157" s="87"/>
      <c r="AV157" s="87"/>
      <c r="AW157" s="87"/>
      <c r="AX157" s="87"/>
      <c r="AY157" s="87"/>
      <c r="AZ157" s="87"/>
      <c r="BA157" s="87"/>
      <c r="BB157" s="87"/>
    </row>
    <row r="158" spans="1:55" s="142" customFormat="1" ht="15" customHeight="1">
      <c r="B158" s="145"/>
      <c r="E158" s="146" t="s">
        <v>285</v>
      </c>
      <c r="G158" s="19" t="str">
        <f>G153</f>
        <v>GBP / EUR</v>
      </c>
      <c r="H158" s="146" t="s">
        <v>286</v>
      </c>
      <c r="O158" s="148"/>
      <c r="P158" s="148"/>
      <c r="Q158" s="148"/>
      <c r="R158" s="148"/>
      <c r="S158" s="148"/>
      <c r="T158" s="148"/>
      <c r="U158" s="148"/>
      <c r="V158" s="148"/>
      <c r="W158" s="148"/>
      <c r="X158" s="148"/>
      <c r="Y158" s="148"/>
      <c r="Z158" s="148"/>
      <c r="AA158" s="148"/>
      <c r="AB158" s="148"/>
      <c r="AC158" s="148"/>
      <c r="AD158" s="148"/>
      <c r="AE158" s="148"/>
      <c r="AF158" s="148"/>
      <c r="AG158" s="148"/>
      <c r="AH158" s="148"/>
      <c r="AI158" s="148"/>
      <c r="AJ158" s="148"/>
      <c r="AK158" s="148"/>
      <c r="AL158" s="148"/>
      <c r="AM158" s="148"/>
      <c r="AN158" s="148"/>
      <c r="AO158" s="148"/>
      <c r="AP158" s="148"/>
      <c r="AQ158" s="148"/>
      <c r="AR158" s="148"/>
      <c r="AS158" s="148"/>
      <c r="AT158" s="148"/>
      <c r="AU158" s="148"/>
      <c r="AV158" s="148"/>
      <c r="AW158" s="148"/>
      <c r="AX158" s="148"/>
      <c r="AY158" s="148"/>
      <c r="AZ158" s="148"/>
      <c r="BA158" s="148"/>
      <c r="BB158" s="148"/>
    </row>
    <row r="159" spans="1:55" ht="15" customHeight="1">
      <c r="B159" s="30"/>
      <c r="O159" s="87"/>
      <c r="P159" s="87"/>
      <c r="Q159" s="87"/>
      <c r="R159" s="87"/>
      <c r="S159" s="87"/>
      <c r="T159" s="87"/>
      <c r="U159" s="87"/>
      <c r="V159" s="87"/>
      <c r="W159" s="87"/>
      <c r="X159" s="87"/>
      <c r="Y159" s="87"/>
      <c r="Z159" s="87"/>
      <c r="AA159" s="87"/>
      <c r="AB159" s="87"/>
      <c r="AC159" s="87"/>
      <c r="AD159" s="87"/>
      <c r="AE159" s="87"/>
      <c r="AF159" s="87"/>
      <c r="AG159" s="87"/>
      <c r="AH159" s="87"/>
      <c r="AI159" s="87"/>
      <c r="AJ159" s="87"/>
      <c r="AK159" s="87"/>
      <c r="AL159" s="87"/>
      <c r="AM159" s="87"/>
      <c r="AN159" s="87"/>
      <c r="AO159" s="87"/>
      <c r="AP159" s="87"/>
      <c r="AQ159" s="87"/>
      <c r="AR159" s="87"/>
      <c r="AS159" s="87"/>
      <c r="AT159" s="87"/>
      <c r="AU159" s="87"/>
      <c r="AV159" s="87"/>
      <c r="AW159" s="87"/>
      <c r="AX159" s="87"/>
      <c r="AY159" s="87"/>
      <c r="AZ159" s="87"/>
      <c r="BA159" s="87"/>
      <c r="BB159" s="87"/>
    </row>
    <row r="160" spans="1:55" ht="15" customHeight="1">
      <c r="B160" s="30"/>
      <c r="E160" s="19" t="s">
        <v>287</v>
      </c>
      <c r="H160" s="19" t="s">
        <v>288</v>
      </c>
      <c r="I160" s="32"/>
      <c r="O160" s="170">
        <f t="shared" ref="O160:BB160" si="22">IF($I$85=100%,O155/$I$151,($I$85*(O155/$I$151)+(1-$I$85)*(O156/$I$152)/(O158/$I$153)))</f>
        <v>1.3193449334698055</v>
      </c>
      <c r="P160" s="170">
        <f t="shared" si="22"/>
        <v>1.3739338109860115</v>
      </c>
      <c r="Q160" s="170">
        <f t="shared" si="22"/>
        <v>1.4327381780962127</v>
      </c>
      <c r="R160" s="170">
        <f t="shared" si="22"/>
        <v>1.4940593721187305</v>
      </c>
      <c r="S160" s="170">
        <f t="shared" si="22"/>
        <v>1.558005113245412</v>
      </c>
      <c r="T160" s="170">
        <f t="shared" si="22"/>
        <v>1.6246877320923157</v>
      </c>
      <c r="U160" s="170">
        <f t="shared" si="22"/>
        <v>1.6942243670258668</v>
      </c>
      <c r="V160" s="170">
        <f t="shared" si="22"/>
        <v>1.7667371699345737</v>
      </c>
      <c r="W160" s="170">
        <f t="shared" si="22"/>
        <v>1.8423535208077735</v>
      </c>
      <c r="X160" s="170">
        <f t="shared" si="22"/>
        <v>1.9212062514983461</v>
      </c>
      <c r="Y160" s="170">
        <f t="shared" si="22"/>
        <v>2.0034338790624751</v>
      </c>
      <c r="Z160" s="170">
        <f t="shared" si="22"/>
        <v>2.0891808490863486</v>
      </c>
      <c r="AA160" s="170">
        <f t="shared" si="22"/>
        <v>2.1785977894272444</v>
      </c>
      <c r="AB160" s="170">
        <f t="shared" si="22"/>
        <v>2.2718417748147304</v>
      </c>
      <c r="AC160" s="170">
        <f t="shared" si="22"/>
        <v>2.3690766027768007</v>
      </c>
      <c r="AD160" s="170">
        <f t="shared" si="22"/>
        <v>2.4704730813756477</v>
      </c>
      <c r="AE160" s="170">
        <f t="shared" si="22"/>
        <v>2.5762093292585253</v>
      </c>
      <c r="AF160" s="170">
        <f t="shared" si="22"/>
        <v>2.6864710885507903</v>
      </c>
      <c r="AG160" s="170">
        <f t="shared" si="22"/>
        <v>2.8014520511407639</v>
      </c>
      <c r="AH160" s="170">
        <f t="shared" si="22"/>
        <v>2.9213541989295884</v>
      </c>
      <c r="AI160" s="170">
        <f t="shared" si="22"/>
        <v>3.0463881586437744</v>
      </c>
      <c r="AJ160" s="170">
        <f t="shared" si="22"/>
        <v>3.1767735718337282</v>
      </c>
      <c r="AK160" s="170">
        <f t="shared" si="22"/>
        <v>3.3127394807082116</v>
      </c>
      <c r="AL160" s="170">
        <f t="shared" si="22"/>
        <v>3.4545247304825231</v>
      </c>
      <c r="AM160" s="170">
        <f t="shared" si="22"/>
        <v>3.6023783889471748</v>
      </c>
      <c r="AN160" s="170">
        <f t="shared" si="22"/>
        <v>3.7565601839941136</v>
      </c>
      <c r="AO160" s="170">
        <f t="shared" si="22"/>
        <v>3.9173409598690618</v>
      </c>
      <c r="AP160" s="170">
        <f t="shared" si="22"/>
        <v>4.0850031529514572</v>
      </c>
      <c r="AQ160" s="170">
        <f t="shared" si="22"/>
        <v>4.2598412878977792</v>
      </c>
      <c r="AR160" s="170">
        <f t="shared" si="22"/>
        <v>4.4421624950198035</v>
      </c>
      <c r="AS160" s="170">
        <f t="shared" si="22"/>
        <v>4.6322870498066511</v>
      </c>
      <c r="AT160" s="170">
        <f t="shared" si="22"/>
        <v>4.8305489355383759</v>
      </c>
      <c r="AU160" s="170">
        <f t="shared" si="22"/>
        <v>5.0372964299794178</v>
      </c>
      <c r="AV160" s="170">
        <f t="shared" si="22"/>
        <v>5.2528927171825366</v>
      </c>
      <c r="AW160" s="170">
        <f t="shared" si="22"/>
        <v>5.4777165254779483</v>
      </c>
      <c r="AX160" s="170">
        <f t="shared" si="22"/>
        <v>5.712162792768404</v>
      </c>
      <c r="AY160" s="170">
        <f t="shared" si="22"/>
        <v>5.9566433602988917</v>
      </c>
      <c r="AZ160" s="170">
        <f t="shared" si="22"/>
        <v>6.2115876961196843</v>
      </c>
      <c r="BA160" s="170">
        <f t="shared" si="22"/>
        <v>6.4774436495136065</v>
      </c>
      <c r="BB160" s="170">
        <f t="shared" si="22"/>
        <v>6.7546782377127883</v>
      </c>
    </row>
    <row r="161" spans="1:55" ht="15" customHeight="1">
      <c r="B161" s="30"/>
      <c r="I161" s="32"/>
      <c r="O161" s="94"/>
      <c r="P161" s="94"/>
      <c r="Q161" s="94"/>
      <c r="R161" s="94"/>
      <c r="S161" s="94"/>
      <c r="T161" s="94"/>
      <c r="U161" s="94"/>
      <c r="V161" s="94"/>
      <c r="W161" s="94"/>
      <c r="X161" s="94"/>
      <c r="Y161" s="94"/>
      <c r="Z161" s="94"/>
      <c r="AA161" s="94"/>
      <c r="AB161" s="94"/>
      <c r="AC161" s="94"/>
      <c r="AD161" s="94"/>
      <c r="AE161" s="94"/>
      <c r="AF161" s="94"/>
      <c r="AG161" s="94"/>
      <c r="AH161" s="94"/>
      <c r="AI161" s="94"/>
      <c r="AJ161" s="94"/>
      <c r="AK161" s="94"/>
      <c r="AL161" s="94"/>
      <c r="AM161" s="94"/>
      <c r="AN161" s="94"/>
      <c r="AO161" s="94"/>
      <c r="AP161" s="94"/>
      <c r="AQ161" s="94"/>
      <c r="AR161" s="94"/>
      <c r="AS161" s="94"/>
      <c r="AT161" s="94"/>
      <c r="AU161" s="94"/>
      <c r="AV161" s="94"/>
      <c r="AW161" s="94"/>
      <c r="AX161" s="94"/>
      <c r="AY161" s="94"/>
      <c r="AZ161" s="94"/>
      <c r="BA161" s="94"/>
      <c r="BB161" s="94"/>
    </row>
    <row r="162" spans="1:55" ht="15" customHeight="1">
      <c r="B162" s="30"/>
      <c r="E162" s="19" t="s">
        <v>289</v>
      </c>
      <c r="G162" s="19" t="s">
        <v>146</v>
      </c>
      <c r="H162" s="19" t="s">
        <v>290</v>
      </c>
      <c r="I162" s="32"/>
      <c r="O162" s="48">
        <v>4.9000000000000002E-2</v>
      </c>
      <c r="P162" s="48">
        <v>1.19</v>
      </c>
      <c r="Q162" s="48">
        <v>4.93</v>
      </c>
      <c r="R162" s="48">
        <v>5.2</v>
      </c>
      <c r="S162" s="48">
        <v>4.22</v>
      </c>
      <c r="T162" s="48">
        <f>S162</f>
        <v>4.22</v>
      </c>
      <c r="U162" s="48">
        <f t="shared" ref="U162:BB162" si="23">T162</f>
        <v>4.22</v>
      </c>
      <c r="V162" s="48">
        <f t="shared" si="23"/>
        <v>4.22</v>
      </c>
      <c r="W162" s="48">
        <f t="shared" si="23"/>
        <v>4.22</v>
      </c>
      <c r="X162" s="48">
        <f t="shared" si="23"/>
        <v>4.22</v>
      </c>
      <c r="Y162" s="48">
        <f t="shared" si="23"/>
        <v>4.22</v>
      </c>
      <c r="Z162" s="48">
        <f t="shared" si="23"/>
        <v>4.22</v>
      </c>
      <c r="AA162" s="48">
        <f t="shared" si="23"/>
        <v>4.22</v>
      </c>
      <c r="AB162" s="48">
        <f t="shared" si="23"/>
        <v>4.22</v>
      </c>
      <c r="AC162" s="48">
        <f t="shared" si="23"/>
        <v>4.22</v>
      </c>
      <c r="AD162" s="48">
        <f t="shared" si="23"/>
        <v>4.22</v>
      </c>
      <c r="AE162" s="48">
        <f t="shared" si="23"/>
        <v>4.22</v>
      </c>
      <c r="AF162" s="48">
        <f t="shared" si="23"/>
        <v>4.22</v>
      </c>
      <c r="AG162" s="48">
        <f t="shared" si="23"/>
        <v>4.22</v>
      </c>
      <c r="AH162" s="48">
        <f t="shared" si="23"/>
        <v>4.22</v>
      </c>
      <c r="AI162" s="48">
        <f t="shared" si="23"/>
        <v>4.22</v>
      </c>
      <c r="AJ162" s="48">
        <f t="shared" si="23"/>
        <v>4.22</v>
      </c>
      <c r="AK162" s="48">
        <f t="shared" si="23"/>
        <v>4.22</v>
      </c>
      <c r="AL162" s="48">
        <f t="shared" si="23"/>
        <v>4.22</v>
      </c>
      <c r="AM162" s="48">
        <f t="shared" si="23"/>
        <v>4.22</v>
      </c>
      <c r="AN162" s="48">
        <f t="shared" si="23"/>
        <v>4.22</v>
      </c>
      <c r="AO162" s="48">
        <f t="shared" si="23"/>
        <v>4.22</v>
      </c>
      <c r="AP162" s="48">
        <f t="shared" si="23"/>
        <v>4.22</v>
      </c>
      <c r="AQ162" s="48">
        <f t="shared" si="23"/>
        <v>4.22</v>
      </c>
      <c r="AR162" s="48">
        <f t="shared" si="23"/>
        <v>4.22</v>
      </c>
      <c r="AS162" s="48">
        <f t="shared" si="23"/>
        <v>4.22</v>
      </c>
      <c r="AT162" s="48">
        <f t="shared" si="23"/>
        <v>4.22</v>
      </c>
      <c r="AU162" s="48">
        <f t="shared" si="23"/>
        <v>4.22</v>
      </c>
      <c r="AV162" s="48">
        <f t="shared" si="23"/>
        <v>4.22</v>
      </c>
      <c r="AW162" s="48">
        <f t="shared" si="23"/>
        <v>4.22</v>
      </c>
      <c r="AX162" s="48">
        <f t="shared" si="23"/>
        <v>4.22</v>
      </c>
      <c r="AY162" s="48">
        <f t="shared" si="23"/>
        <v>4.22</v>
      </c>
      <c r="AZ162" s="48">
        <f t="shared" si="23"/>
        <v>4.22</v>
      </c>
      <c r="BA162" s="48">
        <f t="shared" si="23"/>
        <v>4.22</v>
      </c>
      <c r="BB162" s="48">
        <f t="shared" si="23"/>
        <v>4.22</v>
      </c>
    </row>
    <row r="163" spans="1:55" ht="15" customHeight="1">
      <c r="B163" s="30"/>
      <c r="E163" s="19" t="s">
        <v>291</v>
      </c>
      <c r="G163" s="19" t="s">
        <v>146</v>
      </c>
      <c r="I163" s="32"/>
      <c r="O163" s="48">
        <v>1</v>
      </c>
      <c r="P163" s="48">
        <v>1</v>
      </c>
      <c r="Q163" s="48">
        <v>1</v>
      </c>
      <c r="R163" s="48">
        <v>1</v>
      </c>
      <c r="S163" s="48">
        <v>1</v>
      </c>
      <c r="T163" s="48">
        <v>1</v>
      </c>
      <c r="U163" s="48">
        <v>1</v>
      </c>
      <c r="V163" s="48">
        <v>1</v>
      </c>
      <c r="W163" s="48">
        <v>1</v>
      </c>
      <c r="X163" s="48">
        <v>1</v>
      </c>
      <c r="Y163" s="48">
        <v>1</v>
      </c>
      <c r="Z163" s="48">
        <v>1</v>
      </c>
      <c r="AA163" s="48">
        <v>1</v>
      </c>
      <c r="AB163" s="48">
        <v>1</v>
      </c>
      <c r="AC163" s="48">
        <v>1</v>
      </c>
      <c r="AD163" s="48">
        <v>1</v>
      </c>
      <c r="AE163" s="48">
        <v>1</v>
      </c>
      <c r="AF163" s="48">
        <v>1</v>
      </c>
      <c r="AG163" s="48">
        <v>1</v>
      </c>
      <c r="AH163" s="48">
        <v>1</v>
      </c>
      <c r="AI163" s="48">
        <v>1</v>
      </c>
      <c r="AJ163" s="48">
        <v>1</v>
      </c>
      <c r="AK163" s="48">
        <v>1</v>
      </c>
      <c r="AL163" s="48">
        <v>1</v>
      </c>
      <c r="AM163" s="48">
        <v>1</v>
      </c>
      <c r="AN163" s="48">
        <v>1</v>
      </c>
      <c r="AO163" s="48">
        <v>1</v>
      </c>
      <c r="AP163" s="48">
        <v>1</v>
      </c>
      <c r="AQ163" s="48">
        <v>1</v>
      </c>
      <c r="AR163" s="48">
        <v>1</v>
      </c>
      <c r="AS163" s="48">
        <v>1</v>
      </c>
      <c r="AT163" s="48">
        <v>1</v>
      </c>
      <c r="AU163" s="48">
        <v>1</v>
      </c>
      <c r="AV163" s="48">
        <v>1</v>
      </c>
      <c r="AW163" s="48">
        <v>1</v>
      </c>
      <c r="AX163" s="48">
        <v>1</v>
      </c>
      <c r="AY163" s="48">
        <v>1</v>
      </c>
      <c r="AZ163" s="48">
        <v>1</v>
      </c>
      <c r="BA163" s="48">
        <v>1</v>
      </c>
      <c r="BB163" s="48">
        <v>1</v>
      </c>
    </row>
    <row r="164" spans="1:55" ht="15" customHeight="1">
      <c r="B164" s="30"/>
      <c r="E164" s="19" t="s">
        <v>292</v>
      </c>
      <c r="I164" s="32"/>
      <c r="O164" s="196">
        <f>(O162+O163)/100</f>
        <v>1.0489999999999999E-2</v>
      </c>
      <c r="P164" s="196">
        <f t="shared" ref="P164:BB164" si="24">(P162+P163)/100</f>
        <v>2.1899999999999999E-2</v>
      </c>
      <c r="Q164" s="196">
        <f t="shared" si="24"/>
        <v>5.9299999999999999E-2</v>
      </c>
      <c r="R164" s="196">
        <f t="shared" si="24"/>
        <v>6.2E-2</v>
      </c>
      <c r="S164" s="196">
        <f t="shared" si="24"/>
        <v>5.2199999999999996E-2</v>
      </c>
      <c r="T164" s="196">
        <f t="shared" si="24"/>
        <v>5.2199999999999996E-2</v>
      </c>
      <c r="U164" s="196">
        <f t="shared" si="24"/>
        <v>5.2199999999999996E-2</v>
      </c>
      <c r="V164" s="196">
        <f t="shared" si="24"/>
        <v>5.2199999999999996E-2</v>
      </c>
      <c r="W164" s="196">
        <f t="shared" si="24"/>
        <v>5.2199999999999996E-2</v>
      </c>
      <c r="X164" s="196">
        <f t="shared" si="24"/>
        <v>5.2199999999999996E-2</v>
      </c>
      <c r="Y164" s="196">
        <f t="shared" si="24"/>
        <v>5.2199999999999996E-2</v>
      </c>
      <c r="Z164" s="196">
        <f t="shared" si="24"/>
        <v>5.2199999999999996E-2</v>
      </c>
      <c r="AA164" s="196">
        <f t="shared" si="24"/>
        <v>5.2199999999999996E-2</v>
      </c>
      <c r="AB164" s="196">
        <f t="shared" si="24"/>
        <v>5.2199999999999996E-2</v>
      </c>
      <c r="AC164" s="196">
        <f t="shared" si="24"/>
        <v>5.2199999999999996E-2</v>
      </c>
      <c r="AD164" s="196">
        <f t="shared" si="24"/>
        <v>5.2199999999999996E-2</v>
      </c>
      <c r="AE164" s="196">
        <f t="shared" si="24"/>
        <v>5.2199999999999996E-2</v>
      </c>
      <c r="AF164" s="196">
        <f t="shared" si="24"/>
        <v>5.2199999999999996E-2</v>
      </c>
      <c r="AG164" s="196">
        <f t="shared" si="24"/>
        <v>5.2199999999999996E-2</v>
      </c>
      <c r="AH164" s="196">
        <f t="shared" si="24"/>
        <v>5.2199999999999996E-2</v>
      </c>
      <c r="AI164" s="196">
        <f t="shared" si="24"/>
        <v>5.2199999999999996E-2</v>
      </c>
      <c r="AJ164" s="196">
        <f t="shared" si="24"/>
        <v>5.2199999999999996E-2</v>
      </c>
      <c r="AK164" s="196">
        <f t="shared" si="24"/>
        <v>5.2199999999999996E-2</v>
      </c>
      <c r="AL164" s="196">
        <f t="shared" si="24"/>
        <v>5.2199999999999996E-2</v>
      </c>
      <c r="AM164" s="196">
        <f t="shared" si="24"/>
        <v>5.2199999999999996E-2</v>
      </c>
      <c r="AN164" s="196">
        <f t="shared" si="24"/>
        <v>5.2199999999999996E-2</v>
      </c>
      <c r="AO164" s="196">
        <f t="shared" si="24"/>
        <v>5.2199999999999996E-2</v>
      </c>
      <c r="AP164" s="196">
        <f t="shared" si="24"/>
        <v>5.2199999999999996E-2</v>
      </c>
      <c r="AQ164" s="196">
        <f t="shared" si="24"/>
        <v>5.2199999999999996E-2</v>
      </c>
      <c r="AR164" s="196">
        <f t="shared" si="24"/>
        <v>5.2199999999999996E-2</v>
      </c>
      <c r="AS164" s="196">
        <f t="shared" si="24"/>
        <v>5.2199999999999996E-2</v>
      </c>
      <c r="AT164" s="196">
        <f t="shared" si="24"/>
        <v>5.2199999999999996E-2</v>
      </c>
      <c r="AU164" s="196">
        <f t="shared" si="24"/>
        <v>5.2199999999999996E-2</v>
      </c>
      <c r="AV164" s="196">
        <f t="shared" si="24"/>
        <v>5.2199999999999996E-2</v>
      </c>
      <c r="AW164" s="196">
        <f t="shared" si="24"/>
        <v>5.2199999999999996E-2</v>
      </c>
      <c r="AX164" s="196">
        <f t="shared" si="24"/>
        <v>5.2199999999999996E-2</v>
      </c>
      <c r="AY164" s="196">
        <f t="shared" si="24"/>
        <v>5.2199999999999996E-2</v>
      </c>
      <c r="AZ164" s="196">
        <f t="shared" si="24"/>
        <v>5.2199999999999996E-2</v>
      </c>
      <c r="BA164" s="196">
        <f t="shared" si="24"/>
        <v>5.2199999999999996E-2</v>
      </c>
      <c r="BB164" s="196">
        <f t="shared" si="24"/>
        <v>5.2199999999999996E-2</v>
      </c>
      <c r="BC164" s="153"/>
    </row>
    <row r="165" spans="1:55" ht="15" customHeight="1">
      <c r="A165" s="5"/>
      <c r="B165" s="5"/>
      <c r="D165" s="5"/>
      <c r="O165" s="32"/>
      <c r="P165" s="32"/>
      <c r="Q165" s="32"/>
      <c r="R165" s="32"/>
      <c r="S165" s="32"/>
      <c r="W165" s="32"/>
      <c r="X165" s="32"/>
      <c r="Y165" s="32"/>
      <c r="Z165" s="32"/>
      <c r="AA165" s="32"/>
      <c r="AB165" s="32"/>
      <c r="AC165" s="32"/>
      <c r="AD165" s="32"/>
      <c r="AE165" s="32"/>
      <c r="AF165" s="32"/>
      <c r="AG165" s="32"/>
      <c r="AH165" s="32"/>
      <c r="AI165" s="32"/>
      <c r="AJ165" s="32"/>
      <c r="AK165" s="32"/>
      <c r="AL165" s="32"/>
      <c r="AM165" s="32"/>
      <c r="AN165" s="32"/>
      <c r="AO165" s="32"/>
      <c r="AP165" s="32"/>
      <c r="AQ165" s="32"/>
      <c r="AR165" s="32"/>
      <c r="AS165" s="32"/>
      <c r="AT165" s="32"/>
      <c r="AU165" s="32"/>
      <c r="AV165" s="32"/>
      <c r="AW165" s="32"/>
      <c r="AX165" s="32"/>
      <c r="AY165" s="32"/>
      <c r="AZ165" s="32"/>
      <c r="BA165" s="32"/>
      <c r="BB165" s="32"/>
    </row>
    <row r="166" spans="1:55" ht="15" customHeight="1">
      <c r="A166" s="30"/>
      <c r="B166" s="30"/>
      <c r="D166" s="5"/>
      <c r="E166" s="19" t="s">
        <v>293</v>
      </c>
      <c r="G166" s="5" t="s">
        <v>209</v>
      </c>
      <c r="O166" s="197">
        <v>2.4E-2</v>
      </c>
      <c r="P166" s="32"/>
      <c r="Q166" s="32"/>
      <c r="R166" s="32"/>
      <c r="S166" s="32"/>
      <c r="W166" s="32"/>
      <c r="X166" s="32"/>
      <c r="Y166" s="32"/>
      <c r="Z166" s="32"/>
      <c r="AA166" s="32"/>
      <c r="AB166" s="32"/>
      <c r="AC166" s="32"/>
      <c r="AD166" s="32"/>
      <c r="AE166" s="32"/>
      <c r="AF166" s="32"/>
      <c r="AG166" s="32"/>
      <c r="AH166" s="32"/>
      <c r="AI166" s="32"/>
      <c r="AJ166" s="32"/>
      <c r="AK166" s="32"/>
      <c r="AL166" s="32"/>
      <c r="AM166" s="32"/>
      <c r="AN166" s="32"/>
      <c r="AO166" s="32"/>
      <c r="AP166" s="32"/>
      <c r="AQ166" s="32"/>
      <c r="AR166" s="32"/>
      <c r="AS166" s="32"/>
      <c r="AT166" s="32"/>
      <c r="AU166" s="32"/>
      <c r="AV166" s="32"/>
      <c r="AW166" s="32"/>
      <c r="AX166" s="32"/>
      <c r="AY166" s="32"/>
      <c r="AZ166" s="32"/>
      <c r="BA166" s="32"/>
      <c r="BB166" s="32"/>
    </row>
    <row r="167" spans="1:55" ht="15" customHeight="1">
      <c r="A167" s="30"/>
      <c r="B167" s="30"/>
      <c r="D167" s="5"/>
      <c r="E167" s="19" t="s">
        <v>294</v>
      </c>
      <c r="G167" s="5" t="s">
        <v>209</v>
      </c>
      <c r="O167" s="197">
        <v>4.4999999999999998E-2</v>
      </c>
      <c r="P167" s="32"/>
      <c r="Q167" s="32"/>
      <c r="R167" s="32"/>
      <c r="S167" s="32"/>
      <c r="W167" s="32"/>
      <c r="X167" s="32"/>
      <c r="Y167" s="32"/>
      <c r="Z167" s="32"/>
      <c r="AA167" s="32"/>
      <c r="AB167" s="32"/>
      <c r="AC167" s="32"/>
      <c r="AD167" s="32"/>
      <c r="AE167" s="32"/>
      <c r="AF167" s="32"/>
      <c r="AG167" s="32"/>
      <c r="AH167" s="32"/>
      <c r="AI167" s="32"/>
      <c r="AJ167" s="32"/>
      <c r="AK167" s="32"/>
      <c r="AL167" s="32"/>
      <c r="AM167" s="32"/>
      <c r="AN167" s="32"/>
      <c r="AO167" s="32"/>
      <c r="AP167" s="32"/>
      <c r="AQ167" s="32"/>
      <c r="AR167" s="32"/>
      <c r="AS167" s="32"/>
      <c r="AT167" s="32"/>
      <c r="AU167" s="32"/>
      <c r="AV167" s="32"/>
      <c r="AW167" s="32"/>
      <c r="AX167" s="32"/>
      <c r="AY167" s="32"/>
      <c r="AZ167" s="32"/>
      <c r="BA167" s="32"/>
      <c r="BB167" s="32"/>
    </row>
    <row r="168" spans="1:55" ht="15" customHeight="1">
      <c r="A168" s="30"/>
      <c r="B168" s="30"/>
      <c r="D168" s="5"/>
      <c r="E168" s="19" t="s">
        <v>295</v>
      </c>
      <c r="G168" s="5" t="s">
        <v>209</v>
      </c>
      <c r="O168" s="197">
        <v>2.4E-2</v>
      </c>
      <c r="P168" s="32"/>
      <c r="Q168" s="32"/>
      <c r="R168" s="32"/>
      <c r="S168" s="32"/>
      <c r="W168" s="32"/>
      <c r="X168" s="32"/>
      <c r="Y168" s="32"/>
      <c r="Z168" s="32"/>
      <c r="AA168" s="32"/>
      <c r="AB168" s="32"/>
      <c r="AC168" s="32"/>
      <c r="AD168" s="32"/>
      <c r="AE168" s="32"/>
      <c r="AF168" s="32"/>
      <c r="AG168" s="32"/>
      <c r="AH168" s="32"/>
      <c r="AI168" s="32"/>
      <c r="AJ168" s="32"/>
      <c r="AK168" s="32"/>
      <c r="AL168" s="32"/>
      <c r="AM168" s="32"/>
      <c r="AN168" s="32"/>
      <c r="AO168" s="32"/>
      <c r="AP168" s="32"/>
      <c r="AQ168" s="32"/>
      <c r="AR168" s="32"/>
      <c r="AS168" s="32"/>
      <c r="AT168" s="32"/>
      <c r="AU168" s="32"/>
      <c r="AV168" s="32"/>
      <c r="AW168" s="32"/>
      <c r="AX168" s="32"/>
      <c r="AY168" s="32"/>
      <c r="AZ168" s="32"/>
      <c r="BA168" s="32"/>
      <c r="BB168" s="32"/>
    </row>
    <row r="169" spans="1:55" ht="15" customHeight="1">
      <c r="A169" s="5"/>
      <c r="B169" s="30"/>
      <c r="D169" s="5"/>
      <c r="E169" s="19" t="s">
        <v>296</v>
      </c>
      <c r="G169" s="5" t="s">
        <v>209</v>
      </c>
      <c r="O169" s="197">
        <v>2.1000000000000001E-2</v>
      </c>
      <c r="P169" s="197">
        <v>1.7000000000000001E-2</v>
      </c>
      <c r="Q169" s="197">
        <v>1.7000000000000001E-2</v>
      </c>
      <c r="R169" s="197">
        <v>1.7000000000000001E-2</v>
      </c>
      <c r="S169" s="197">
        <v>1.7000000000000001E-2</v>
      </c>
      <c r="T169" s="197">
        <f>S169</f>
        <v>1.7000000000000001E-2</v>
      </c>
      <c r="U169" s="197">
        <f t="shared" ref="U169:BB169" si="25">T169</f>
        <v>1.7000000000000001E-2</v>
      </c>
      <c r="V169" s="17">
        <f t="shared" si="25"/>
        <v>1.7000000000000001E-2</v>
      </c>
      <c r="W169" s="17">
        <f t="shared" si="25"/>
        <v>1.7000000000000001E-2</v>
      </c>
      <c r="X169" s="17">
        <f t="shared" si="25"/>
        <v>1.7000000000000001E-2</v>
      </c>
      <c r="Y169" s="17">
        <f t="shared" si="25"/>
        <v>1.7000000000000001E-2</v>
      </c>
      <c r="Z169" s="17">
        <f t="shared" si="25"/>
        <v>1.7000000000000001E-2</v>
      </c>
      <c r="AA169" s="17">
        <f t="shared" si="25"/>
        <v>1.7000000000000001E-2</v>
      </c>
      <c r="AB169" s="17">
        <f t="shared" si="25"/>
        <v>1.7000000000000001E-2</v>
      </c>
      <c r="AC169" s="17">
        <f t="shared" si="25"/>
        <v>1.7000000000000001E-2</v>
      </c>
      <c r="AD169" s="17">
        <f t="shared" si="25"/>
        <v>1.7000000000000001E-2</v>
      </c>
      <c r="AE169" s="17">
        <f t="shared" si="25"/>
        <v>1.7000000000000001E-2</v>
      </c>
      <c r="AF169" s="17">
        <f t="shared" si="25"/>
        <v>1.7000000000000001E-2</v>
      </c>
      <c r="AG169" s="17">
        <f t="shared" si="25"/>
        <v>1.7000000000000001E-2</v>
      </c>
      <c r="AH169" s="17">
        <f t="shared" si="25"/>
        <v>1.7000000000000001E-2</v>
      </c>
      <c r="AI169" s="17">
        <f t="shared" si="25"/>
        <v>1.7000000000000001E-2</v>
      </c>
      <c r="AJ169" s="17">
        <f t="shared" si="25"/>
        <v>1.7000000000000001E-2</v>
      </c>
      <c r="AK169" s="17">
        <f t="shared" si="25"/>
        <v>1.7000000000000001E-2</v>
      </c>
      <c r="AL169" s="17">
        <f t="shared" si="25"/>
        <v>1.7000000000000001E-2</v>
      </c>
      <c r="AM169" s="17">
        <f t="shared" si="25"/>
        <v>1.7000000000000001E-2</v>
      </c>
      <c r="AN169" s="17">
        <f t="shared" si="25"/>
        <v>1.7000000000000001E-2</v>
      </c>
      <c r="AO169" s="17">
        <f t="shared" si="25"/>
        <v>1.7000000000000001E-2</v>
      </c>
      <c r="AP169" s="17">
        <f t="shared" si="25"/>
        <v>1.7000000000000001E-2</v>
      </c>
      <c r="AQ169" s="17">
        <f t="shared" si="25"/>
        <v>1.7000000000000001E-2</v>
      </c>
      <c r="AR169" s="17">
        <f t="shared" si="25"/>
        <v>1.7000000000000001E-2</v>
      </c>
      <c r="AS169" s="17">
        <f t="shared" si="25"/>
        <v>1.7000000000000001E-2</v>
      </c>
      <c r="AT169" s="17">
        <f t="shared" si="25"/>
        <v>1.7000000000000001E-2</v>
      </c>
      <c r="AU169" s="17">
        <f t="shared" si="25"/>
        <v>1.7000000000000001E-2</v>
      </c>
      <c r="AV169" s="17">
        <f t="shared" si="25"/>
        <v>1.7000000000000001E-2</v>
      </c>
      <c r="AW169" s="17">
        <f t="shared" si="25"/>
        <v>1.7000000000000001E-2</v>
      </c>
      <c r="AX169" s="17">
        <f t="shared" si="25"/>
        <v>1.7000000000000001E-2</v>
      </c>
      <c r="AY169" s="17">
        <f t="shared" si="25"/>
        <v>1.7000000000000001E-2</v>
      </c>
      <c r="AZ169" s="17">
        <f t="shared" si="25"/>
        <v>1.7000000000000001E-2</v>
      </c>
      <c r="BA169" s="17">
        <f t="shared" si="25"/>
        <v>1.7000000000000001E-2</v>
      </c>
      <c r="BB169" s="17">
        <f t="shared" si="25"/>
        <v>1.7000000000000001E-2</v>
      </c>
    </row>
    <row r="170" spans="1:55" ht="15" customHeight="1">
      <c r="A170" s="5"/>
      <c r="B170" s="30"/>
      <c r="D170" s="5"/>
      <c r="E170" s="19" t="s">
        <v>297</v>
      </c>
      <c r="G170" s="19" t="s">
        <v>193</v>
      </c>
      <c r="O170" s="211">
        <f>(1+O166)*(1+O167)*(1+O168)*(1+O169)</f>
        <v>1.1187729203199999</v>
      </c>
      <c r="P170" s="212">
        <f>O170*(1+P169)</f>
        <v>1.1377920599654399</v>
      </c>
      <c r="Q170" s="212">
        <f t="shared" ref="Q170:BB170" si="26">P170*(1+Q169)</f>
        <v>1.1571345249848521</v>
      </c>
      <c r="R170" s="212">
        <f t="shared" si="26"/>
        <v>1.1768058119095945</v>
      </c>
      <c r="S170" s="212">
        <f t="shared" si="26"/>
        <v>1.1968115107120576</v>
      </c>
      <c r="T170" s="212">
        <f t="shared" si="26"/>
        <v>1.2171573063941625</v>
      </c>
      <c r="U170" s="212">
        <f t="shared" si="26"/>
        <v>1.2378489806028632</v>
      </c>
      <c r="V170" s="212">
        <f t="shared" si="26"/>
        <v>1.2588924132731119</v>
      </c>
      <c r="W170" s="212">
        <f t="shared" si="26"/>
        <v>1.2802935842987546</v>
      </c>
      <c r="X170" s="212">
        <f t="shared" si="26"/>
        <v>1.3020585752318332</v>
      </c>
      <c r="Y170" s="212">
        <f t="shared" si="26"/>
        <v>1.3241935710107742</v>
      </c>
      <c r="Z170" s="212">
        <f t="shared" si="26"/>
        <v>1.3467048617179571</v>
      </c>
      <c r="AA170" s="212">
        <f t="shared" si="26"/>
        <v>1.3695988443671623</v>
      </c>
      <c r="AB170" s="212">
        <f t="shared" si="26"/>
        <v>1.392882024721404</v>
      </c>
      <c r="AC170" s="212">
        <f t="shared" si="26"/>
        <v>1.4165610191416678</v>
      </c>
      <c r="AD170" s="212">
        <f t="shared" si="26"/>
        <v>1.440642556467076</v>
      </c>
      <c r="AE170" s="212">
        <f t="shared" si="26"/>
        <v>1.4651334799270161</v>
      </c>
      <c r="AF170" s="212">
        <f t="shared" si="26"/>
        <v>1.4900407490857752</v>
      </c>
      <c r="AG170" s="212">
        <f t="shared" si="26"/>
        <v>1.5153714418202333</v>
      </c>
      <c r="AH170" s="212">
        <f t="shared" si="26"/>
        <v>1.5411327563311772</v>
      </c>
      <c r="AI170" s="212">
        <f t="shared" si="26"/>
        <v>1.5673320131888071</v>
      </c>
      <c r="AJ170" s="212">
        <f t="shared" si="26"/>
        <v>1.5939766574130168</v>
      </c>
      <c r="AK170" s="212">
        <f t="shared" si="26"/>
        <v>1.6210742605890378</v>
      </c>
      <c r="AL170" s="212">
        <f t="shared" si="26"/>
        <v>1.6486325230190513</v>
      </c>
      <c r="AM170" s="212">
        <f t="shared" si="26"/>
        <v>1.6766592759103749</v>
      </c>
      <c r="AN170" s="212">
        <f t="shared" si="26"/>
        <v>1.7051624836008512</v>
      </c>
      <c r="AO170" s="212">
        <f t="shared" si="26"/>
        <v>1.7341502458220655</v>
      </c>
      <c r="AP170" s="212">
        <f t="shared" si="26"/>
        <v>1.7636308000010403</v>
      </c>
      <c r="AQ170" s="212">
        <f t="shared" si="26"/>
        <v>1.7936125236010578</v>
      </c>
      <c r="AR170" s="212">
        <f t="shared" si="26"/>
        <v>1.8241039365022755</v>
      </c>
      <c r="AS170" s="212">
        <f t="shared" si="26"/>
        <v>1.855113703422814</v>
      </c>
      <c r="AT170" s="212">
        <f t="shared" si="26"/>
        <v>1.8866506363810016</v>
      </c>
      <c r="AU170" s="212">
        <f t="shared" si="26"/>
        <v>1.9187236971994786</v>
      </c>
      <c r="AV170" s="212">
        <f t="shared" si="26"/>
        <v>1.9513420000518695</v>
      </c>
      <c r="AW170" s="212">
        <f t="shared" si="26"/>
        <v>1.9845148140527511</v>
      </c>
      <c r="AX170" s="212">
        <f t="shared" si="26"/>
        <v>2.0182515658916476</v>
      </c>
      <c r="AY170" s="212">
        <f t="shared" si="26"/>
        <v>2.0525618425118055</v>
      </c>
      <c r="AZ170" s="212">
        <f t="shared" si="26"/>
        <v>2.0874553938345062</v>
      </c>
      <c r="BA170" s="212">
        <f t="shared" si="26"/>
        <v>2.1229421355296925</v>
      </c>
      <c r="BB170" s="212">
        <f t="shared" si="26"/>
        <v>2.159032151833697</v>
      </c>
    </row>
    <row r="171" spans="1:55" ht="15" customHeight="1">
      <c r="A171" s="5"/>
      <c r="B171" s="5"/>
      <c r="D171" s="5"/>
      <c r="O171" s="32"/>
      <c r="P171" s="32"/>
      <c r="Q171" s="32"/>
      <c r="R171" s="32"/>
      <c r="S171" s="32"/>
      <c r="W171" s="32"/>
      <c r="X171" s="32"/>
      <c r="Y171" s="32"/>
      <c r="Z171" s="32"/>
      <c r="AA171" s="32"/>
      <c r="AB171" s="32"/>
      <c r="AC171" s="32"/>
      <c r="AD171" s="32"/>
      <c r="AE171" s="32"/>
      <c r="AF171" s="32"/>
      <c r="AG171" s="32"/>
      <c r="AH171" s="32"/>
      <c r="AI171" s="32"/>
      <c r="AJ171" s="32"/>
      <c r="AK171" s="32"/>
      <c r="AL171" s="32"/>
      <c r="AM171" s="32"/>
      <c r="AN171" s="32"/>
      <c r="AO171" s="32"/>
      <c r="AP171" s="32"/>
      <c r="AQ171" s="32"/>
      <c r="AR171" s="32"/>
      <c r="AS171" s="32"/>
      <c r="AT171" s="32"/>
      <c r="AU171" s="32"/>
      <c r="AV171" s="32"/>
      <c r="AW171" s="32"/>
      <c r="AX171" s="32"/>
      <c r="AY171" s="32"/>
      <c r="AZ171" s="32"/>
      <c r="BA171" s="32"/>
      <c r="BB171" s="32"/>
    </row>
    <row r="172" spans="1:55" s="5" customFormat="1" ht="15" customHeight="1">
      <c r="C172" s="38" t="s">
        <v>298</v>
      </c>
      <c r="D172" s="38"/>
      <c r="E172" s="38"/>
      <c r="F172" s="38"/>
      <c r="G172" s="38"/>
      <c r="H172" s="38"/>
      <c r="I172" s="38"/>
      <c r="J172" s="38"/>
      <c r="K172" s="38"/>
      <c r="L172" s="38"/>
      <c r="M172" s="38"/>
      <c r="N172" s="38"/>
      <c r="O172" s="38"/>
      <c r="P172" s="38"/>
      <c r="Q172" s="38"/>
      <c r="R172" s="38"/>
      <c r="S172" s="38"/>
      <c r="T172" s="38"/>
      <c r="U172" s="38"/>
      <c r="V172" s="38"/>
      <c r="W172" s="38"/>
      <c r="X172" s="38"/>
      <c r="Y172" s="38"/>
      <c r="Z172" s="38"/>
      <c r="AA172" s="38"/>
      <c r="AB172" s="38"/>
      <c r="AC172" s="38"/>
      <c r="AD172" s="38"/>
      <c r="AE172" s="38"/>
      <c r="AF172" s="38"/>
      <c r="AG172" s="38"/>
      <c r="AH172" s="38"/>
      <c r="AI172" s="38"/>
      <c r="AJ172" s="38"/>
      <c r="AK172" s="38"/>
      <c r="AL172" s="38"/>
      <c r="AM172" s="38"/>
      <c r="AN172" s="38"/>
      <c r="AO172" s="38"/>
      <c r="AP172" s="38"/>
      <c r="AQ172" s="38"/>
      <c r="AR172" s="38"/>
      <c r="AS172" s="38"/>
      <c r="AT172" s="38"/>
      <c r="AU172" s="38"/>
      <c r="AV172" s="38"/>
      <c r="AW172" s="38"/>
      <c r="AX172" s="38"/>
      <c r="AY172" s="38"/>
      <c r="AZ172" s="38"/>
      <c r="BA172" s="38"/>
      <c r="BB172" s="38"/>
    </row>
    <row r="173" spans="1:55" ht="15" customHeight="1">
      <c r="O173" s="62"/>
      <c r="P173" s="62"/>
      <c r="Q173" s="62"/>
      <c r="R173" s="62"/>
      <c r="S173" s="62"/>
      <c r="T173" s="62"/>
      <c r="U173" s="62"/>
      <c r="V173" s="62"/>
      <c r="W173" s="62"/>
      <c r="X173" s="62"/>
      <c r="Y173" s="62"/>
      <c r="Z173" s="62"/>
      <c r="AA173" s="62"/>
      <c r="AB173" s="62"/>
      <c r="AC173" s="62"/>
      <c r="AD173" s="62"/>
      <c r="AE173" s="62"/>
      <c r="AF173" s="62"/>
      <c r="AG173" s="62"/>
      <c r="AH173" s="62"/>
      <c r="AI173" s="62"/>
      <c r="AJ173" s="62"/>
      <c r="AK173" s="62"/>
      <c r="AL173" s="62"/>
      <c r="AM173" s="62"/>
      <c r="AN173" s="62"/>
      <c r="AO173" s="62"/>
      <c r="AP173" s="62"/>
      <c r="AQ173" s="62"/>
      <c r="AR173" s="62"/>
      <c r="AS173" s="62"/>
      <c r="AT173" s="62"/>
      <c r="AU173" s="62"/>
      <c r="AV173" s="62"/>
      <c r="AW173" s="62"/>
      <c r="AX173" s="62"/>
      <c r="AY173" s="62"/>
      <c r="AZ173" s="62"/>
      <c r="BA173" s="62"/>
      <c r="BB173" s="62"/>
    </row>
    <row r="174" spans="1:55" ht="15" customHeight="1">
      <c r="E174" s="19" t="s">
        <v>299</v>
      </c>
      <c r="G174" s="19" t="s">
        <v>139</v>
      </c>
      <c r="I174" s="47">
        <v>46357</v>
      </c>
      <c r="O174" s="62"/>
      <c r="P174" s="62"/>
      <c r="Q174" s="62"/>
      <c r="R174" s="62"/>
      <c r="S174" s="62"/>
      <c r="T174" s="62"/>
      <c r="U174" s="62"/>
      <c r="V174" s="62"/>
      <c r="W174" s="62"/>
      <c r="X174" s="62"/>
      <c r="Y174" s="62"/>
      <c r="Z174" s="62"/>
      <c r="AA174" s="62"/>
      <c r="AB174" s="62"/>
      <c r="AC174" s="62"/>
      <c r="AD174" s="62"/>
      <c r="AE174" s="62"/>
      <c r="AF174" s="62"/>
      <c r="AG174" s="62"/>
      <c r="AH174" s="62"/>
      <c r="AI174" s="62"/>
      <c r="AJ174" s="62"/>
      <c r="AK174" s="62"/>
      <c r="AL174" s="62"/>
      <c r="AM174" s="62"/>
      <c r="AN174" s="62"/>
      <c r="AO174" s="62"/>
      <c r="AP174" s="62"/>
      <c r="AQ174" s="62"/>
      <c r="AR174" s="62"/>
      <c r="AS174" s="62"/>
      <c r="AT174" s="62"/>
      <c r="AU174" s="62"/>
      <c r="AV174" s="62"/>
      <c r="AW174" s="62"/>
      <c r="AX174" s="62"/>
      <c r="AY174" s="62"/>
      <c r="AZ174" s="62"/>
      <c r="BA174" s="62"/>
      <c r="BB174" s="62"/>
    </row>
    <row r="175" spans="1:55" ht="15" customHeight="1">
      <c r="E175" s="19" t="s">
        <v>300</v>
      </c>
      <c r="G175" s="19" t="s">
        <v>139</v>
      </c>
      <c r="I175" s="39">
        <f>MAX(I174,I61)</f>
        <v>46357</v>
      </c>
      <c r="O175" s="62"/>
      <c r="P175" s="62"/>
      <c r="Q175" s="62"/>
      <c r="R175" s="62"/>
      <c r="S175" s="62"/>
      <c r="T175" s="62"/>
      <c r="U175" s="62"/>
      <c r="V175" s="62"/>
      <c r="W175" s="62"/>
      <c r="X175" s="62"/>
      <c r="Y175" s="62"/>
      <c r="Z175" s="62"/>
      <c r="AA175" s="62"/>
      <c r="AB175" s="62"/>
      <c r="AC175" s="62"/>
      <c r="AD175" s="62"/>
      <c r="AE175" s="62"/>
      <c r="AF175" s="62"/>
      <c r="AG175" s="62"/>
      <c r="AH175" s="62"/>
      <c r="AI175" s="62"/>
      <c r="AJ175" s="62"/>
      <c r="AK175" s="62"/>
      <c r="AL175" s="62"/>
      <c r="AM175" s="62"/>
      <c r="AN175" s="62"/>
      <c r="AO175" s="62"/>
      <c r="AP175" s="62"/>
      <c r="AQ175" s="62"/>
      <c r="AR175" s="62"/>
      <c r="AS175" s="62"/>
      <c r="AT175" s="62"/>
      <c r="AU175" s="62"/>
      <c r="AV175" s="62"/>
      <c r="AW175" s="62"/>
      <c r="AX175" s="62"/>
      <c r="AY175" s="62"/>
      <c r="AZ175" s="62"/>
      <c r="BA175" s="62"/>
      <c r="BB175" s="62"/>
    </row>
    <row r="176" spans="1:55" ht="15" customHeight="1">
      <c r="E176" s="19" t="s">
        <v>301</v>
      </c>
      <c r="G176" s="19" t="s">
        <v>139</v>
      </c>
      <c r="I176" s="39">
        <f>MAX(I174,I73)</f>
        <v>46357</v>
      </c>
      <c r="O176" s="62"/>
      <c r="P176" s="62"/>
      <c r="Q176" s="62"/>
      <c r="R176" s="62"/>
      <c r="S176" s="62"/>
      <c r="T176" s="62"/>
      <c r="U176" s="62"/>
      <c r="V176" s="62"/>
      <c r="W176" s="62"/>
      <c r="X176" s="62"/>
      <c r="Y176" s="62"/>
      <c r="Z176" s="62"/>
      <c r="AA176" s="62"/>
      <c r="AB176" s="62"/>
      <c r="AC176" s="62"/>
      <c r="AD176" s="62"/>
      <c r="AE176" s="62"/>
      <c r="AF176" s="62"/>
      <c r="AG176" s="62"/>
      <c r="AH176" s="62"/>
      <c r="AI176" s="62"/>
      <c r="AJ176" s="62"/>
      <c r="AK176" s="62"/>
      <c r="AL176" s="62"/>
      <c r="AM176" s="62"/>
      <c r="AN176" s="62"/>
      <c r="AO176" s="62"/>
      <c r="AP176" s="62"/>
      <c r="AQ176" s="62"/>
      <c r="AR176" s="62"/>
      <c r="AS176" s="62"/>
      <c r="AT176" s="62"/>
      <c r="AU176" s="62"/>
      <c r="AV176" s="62"/>
      <c r="AW176" s="62"/>
      <c r="AX176" s="62"/>
      <c r="AY176" s="62"/>
      <c r="AZ176" s="62"/>
      <c r="BA176" s="62"/>
      <c r="BB176" s="62"/>
    </row>
    <row r="177" spans="1:54" ht="15" customHeight="1">
      <c r="E177" s="19" t="s">
        <v>302</v>
      </c>
      <c r="G177" s="19" t="s">
        <v>303</v>
      </c>
      <c r="I177" s="180" t="s">
        <v>304</v>
      </c>
      <c r="O177" s="62"/>
      <c r="P177" s="62"/>
      <c r="Q177" s="62"/>
      <c r="R177" s="62"/>
      <c r="S177" s="62"/>
      <c r="T177" s="62"/>
      <c r="U177" s="62"/>
      <c r="V177" s="62"/>
      <c r="W177" s="62"/>
      <c r="X177" s="62"/>
      <c r="Y177" s="62"/>
      <c r="Z177" s="62"/>
      <c r="AA177" s="62"/>
      <c r="AB177" s="62"/>
      <c r="AC177" s="62"/>
      <c r="AD177" s="62"/>
      <c r="AE177" s="62"/>
      <c r="AF177" s="62"/>
      <c r="AG177" s="62"/>
      <c r="AH177" s="62"/>
      <c r="AI177" s="62"/>
      <c r="AJ177" s="62"/>
      <c r="AK177" s="62"/>
      <c r="AL177" s="62"/>
      <c r="AM177" s="62"/>
      <c r="AN177" s="62"/>
      <c r="AO177" s="62"/>
      <c r="AP177" s="62"/>
      <c r="AQ177" s="62"/>
      <c r="AR177" s="62"/>
      <c r="AS177" s="62"/>
      <c r="AT177" s="62"/>
      <c r="AU177" s="62"/>
      <c r="AV177" s="62"/>
      <c r="AW177" s="62"/>
      <c r="AX177" s="62"/>
      <c r="AY177" s="62"/>
      <c r="AZ177" s="62"/>
      <c r="BA177" s="62"/>
      <c r="BB177" s="62"/>
    </row>
    <row r="178" spans="1:54" ht="15" customHeight="1">
      <c r="E178" s="19" t="s">
        <v>305</v>
      </c>
      <c r="G178" s="19" t="s">
        <v>193</v>
      </c>
      <c r="I178" s="39"/>
      <c r="O178" s="62">
        <f t="shared" ref="O178:BB178" si="27">IF(AND($I175&lt;=O$4,$I175&gt;N4),(O$4-$I175+1)/365.25,IF($I175&gt;O$4,0,O$70))</f>
        <v>0</v>
      </c>
      <c r="P178" s="171">
        <f t="shared" si="27"/>
        <v>0</v>
      </c>
      <c r="Q178" s="171">
        <f t="shared" si="27"/>
        <v>0</v>
      </c>
      <c r="R178" s="171">
        <f t="shared" si="27"/>
        <v>0</v>
      </c>
      <c r="S178" s="171">
        <f t="shared" si="27"/>
        <v>0</v>
      </c>
      <c r="T178" s="171">
        <f t="shared" si="27"/>
        <v>8.4873374401095145E-2</v>
      </c>
      <c r="U178" s="171">
        <f t="shared" si="27"/>
        <v>1</v>
      </c>
      <c r="V178" s="171">
        <f t="shared" si="27"/>
        <v>1</v>
      </c>
      <c r="W178" s="171">
        <f t="shared" si="27"/>
        <v>1</v>
      </c>
      <c r="X178" s="171">
        <f t="shared" si="27"/>
        <v>1</v>
      </c>
      <c r="Y178" s="171">
        <f t="shared" si="27"/>
        <v>1</v>
      </c>
      <c r="Z178" s="171">
        <f t="shared" si="27"/>
        <v>1</v>
      </c>
      <c r="AA178" s="171">
        <f t="shared" si="27"/>
        <v>1</v>
      </c>
      <c r="AB178" s="171">
        <f t="shared" si="27"/>
        <v>1</v>
      </c>
      <c r="AC178" s="171">
        <f t="shared" si="27"/>
        <v>1</v>
      </c>
      <c r="AD178" s="171">
        <f t="shared" si="27"/>
        <v>1</v>
      </c>
      <c r="AE178" s="171">
        <f t="shared" si="27"/>
        <v>1</v>
      </c>
      <c r="AF178" s="171">
        <f t="shared" si="27"/>
        <v>1</v>
      </c>
      <c r="AG178" s="171">
        <f t="shared" si="27"/>
        <v>1</v>
      </c>
      <c r="AH178" s="171">
        <f t="shared" si="27"/>
        <v>1</v>
      </c>
      <c r="AI178" s="171">
        <f t="shared" si="27"/>
        <v>1</v>
      </c>
      <c r="AJ178" s="171">
        <f t="shared" si="27"/>
        <v>1</v>
      </c>
      <c r="AK178" s="171">
        <f t="shared" si="27"/>
        <v>1</v>
      </c>
      <c r="AL178" s="171">
        <f t="shared" si="27"/>
        <v>1</v>
      </c>
      <c r="AM178" s="171">
        <f t="shared" si="27"/>
        <v>1</v>
      </c>
      <c r="AN178" s="171">
        <f t="shared" si="27"/>
        <v>1</v>
      </c>
      <c r="AO178" s="171">
        <f t="shared" si="27"/>
        <v>0.32922655715263516</v>
      </c>
      <c r="AP178" s="171">
        <f t="shared" si="27"/>
        <v>0</v>
      </c>
      <c r="AQ178" s="171">
        <f t="shared" si="27"/>
        <v>0</v>
      </c>
      <c r="AR178" s="171">
        <f t="shared" si="27"/>
        <v>0</v>
      </c>
      <c r="AS178" s="171">
        <f t="shared" si="27"/>
        <v>0</v>
      </c>
      <c r="AT178" s="171">
        <f t="shared" si="27"/>
        <v>0</v>
      </c>
      <c r="AU178" s="171">
        <f t="shared" si="27"/>
        <v>0</v>
      </c>
      <c r="AV178" s="171">
        <f t="shared" si="27"/>
        <v>0</v>
      </c>
      <c r="AW178" s="171">
        <f t="shared" si="27"/>
        <v>0</v>
      </c>
      <c r="AX178" s="171">
        <f t="shared" si="27"/>
        <v>0</v>
      </c>
      <c r="AY178" s="171">
        <f t="shared" si="27"/>
        <v>0</v>
      </c>
      <c r="AZ178" s="171">
        <f t="shared" si="27"/>
        <v>0</v>
      </c>
      <c r="BA178" s="171">
        <f t="shared" si="27"/>
        <v>0</v>
      </c>
      <c r="BB178" s="171">
        <f t="shared" si="27"/>
        <v>0</v>
      </c>
    </row>
    <row r="179" spans="1:54" ht="15" customHeight="1">
      <c r="E179" s="19" t="s">
        <v>306</v>
      </c>
      <c r="G179" s="19" t="s">
        <v>193</v>
      </c>
      <c r="I179" s="39"/>
      <c r="O179" s="62">
        <f t="shared" ref="O179:BB179" si="28">IF(AND($I176&lt;=O$4,$I176&gt;N$4),(O$4-$I176+1)/365.25,IF($I176&gt;O$4,0,O$78))</f>
        <v>0</v>
      </c>
      <c r="P179" s="171">
        <f t="shared" si="28"/>
        <v>0</v>
      </c>
      <c r="Q179" s="171">
        <f t="shared" si="28"/>
        <v>0</v>
      </c>
      <c r="R179" s="171">
        <f t="shared" si="28"/>
        <v>0</v>
      </c>
      <c r="S179" s="171">
        <f t="shared" si="28"/>
        <v>0</v>
      </c>
      <c r="T179" s="171">
        <f t="shared" si="28"/>
        <v>8.4873374401095145E-2</v>
      </c>
      <c r="U179" s="171">
        <f t="shared" si="28"/>
        <v>1</v>
      </c>
      <c r="V179" s="171">
        <f t="shared" si="28"/>
        <v>1</v>
      </c>
      <c r="W179" s="171">
        <f t="shared" si="28"/>
        <v>1</v>
      </c>
      <c r="X179" s="171">
        <f t="shared" si="28"/>
        <v>1</v>
      </c>
      <c r="Y179" s="171">
        <f t="shared" si="28"/>
        <v>1</v>
      </c>
      <c r="Z179" s="171">
        <f t="shared" si="28"/>
        <v>1</v>
      </c>
      <c r="AA179" s="171">
        <f t="shared" si="28"/>
        <v>1</v>
      </c>
      <c r="AB179" s="171">
        <f t="shared" si="28"/>
        <v>1</v>
      </c>
      <c r="AC179" s="171">
        <f t="shared" si="28"/>
        <v>1</v>
      </c>
      <c r="AD179" s="171">
        <f t="shared" si="28"/>
        <v>1</v>
      </c>
      <c r="AE179" s="171">
        <f t="shared" si="28"/>
        <v>1</v>
      </c>
      <c r="AF179" s="171">
        <f t="shared" si="28"/>
        <v>1</v>
      </c>
      <c r="AG179" s="171">
        <f t="shared" si="28"/>
        <v>1</v>
      </c>
      <c r="AH179" s="171">
        <f t="shared" si="28"/>
        <v>1</v>
      </c>
      <c r="AI179" s="171">
        <f t="shared" si="28"/>
        <v>1</v>
      </c>
      <c r="AJ179" s="171">
        <f t="shared" si="28"/>
        <v>1</v>
      </c>
      <c r="AK179" s="171">
        <f t="shared" si="28"/>
        <v>1</v>
      </c>
      <c r="AL179" s="171">
        <f t="shared" si="28"/>
        <v>1</v>
      </c>
      <c r="AM179" s="171">
        <f t="shared" si="28"/>
        <v>1</v>
      </c>
      <c r="AN179" s="171">
        <f t="shared" si="28"/>
        <v>1</v>
      </c>
      <c r="AO179" s="171">
        <f t="shared" si="28"/>
        <v>0.32922655715263516</v>
      </c>
      <c r="AP179" s="171">
        <f t="shared" si="28"/>
        <v>0</v>
      </c>
      <c r="AQ179" s="171">
        <f t="shared" si="28"/>
        <v>0</v>
      </c>
      <c r="AR179" s="171">
        <f t="shared" si="28"/>
        <v>0</v>
      </c>
      <c r="AS179" s="171">
        <f t="shared" si="28"/>
        <v>0</v>
      </c>
      <c r="AT179" s="171">
        <f t="shared" si="28"/>
        <v>0</v>
      </c>
      <c r="AU179" s="171">
        <f t="shared" si="28"/>
        <v>0</v>
      </c>
      <c r="AV179" s="171">
        <f t="shared" si="28"/>
        <v>0</v>
      </c>
      <c r="AW179" s="171">
        <f t="shared" si="28"/>
        <v>0</v>
      </c>
      <c r="AX179" s="171">
        <f t="shared" si="28"/>
        <v>0</v>
      </c>
      <c r="AY179" s="171">
        <f t="shared" si="28"/>
        <v>0</v>
      </c>
      <c r="AZ179" s="171">
        <f t="shared" si="28"/>
        <v>0</v>
      </c>
      <c r="BA179" s="171">
        <f t="shared" si="28"/>
        <v>0</v>
      </c>
      <c r="BB179" s="171">
        <f t="shared" si="28"/>
        <v>0</v>
      </c>
    </row>
    <row r="180" spans="1:54" ht="15" customHeight="1">
      <c r="E180" s="30"/>
      <c r="F180" s="30"/>
      <c r="G180" s="30"/>
      <c r="H180" s="30"/>
      <c r="I180" s="50"/>
      <c r="J180" s="30"/>
      <c r="K180" s="30"/>
      <c r="L180" s="30"/>
      <c r="M180" s="30"/>
      <c r="N180" s="30"/>
      <c r="O180" s="62"/>
      <c r="P180" s="62"/>
      <c r="Q180" s="62"/>
      <c r="R180" s="62"/>
      <c r="S180" s="62"/>
      <c r="T180" s="62"/>
      <c r="U180" s="62"/>
      <c r="V180" s="62"/>
      <c r="W180" s="62"/>
      <c r="X180" s="62"/>
      <c r="Y180" s="62"/>
      <c r="Z180" s="62"/>
      <c r="AA180" s="62"/>
      <c r="AB180" s="62"/>
      <c r="AC180" s="62"/>
      <c r="AD180" s="62"/>
      <c r="AE180" s="62"/>
      <c r="AF180" s="62"/>
      <c r="AG180" s="62"/>
      <c r="AH180" s="62"/>
      <c r="AI180" s="62"/>
      <c r="AJ180" s="62"/>
      <c r="AK180" s="62"/>
      <c r="AL180" s="62"/>
      <c r="AM180" s="62"/>
      <c r="AN180" s="62"/>
      <c r="AO180" s="62"/>
      <c r="AP180" s="62"/>
      <c r="AQ180" s="62"/>
      <c r="AR180" s="62"/>
      <c r="AS180" s="62"/>
      <c r="AT180" s="62"/>
      <c r="AU180" s="62"/>
      <c r="AV180" s="62"/>
      <c r="AW180" s="62"/>
      <c r="AX180" s="62"/>
      <c r="AY180" s="62"/>
      <c r="AZ180" s="62"/>
      <c r="BA180" s="62"/>
      <c r="BB180" s="62"/>
    </row>
    <row r="181" spans="1:54" s="5" customFormat="1" ht="15" customHeight="1">
      <c r="C181" s="38" t="s">
        <v>307</v>
      </c>
      <c r="D181" s="38"/>
      <c r="E181" s="38"/>
      <c r="F181" s="38"/>
      <c r="G181" s="38"/>
      <c r="H181" s="38"/>
      <c r="I181" s="38"/>
      <c r="J181" s="38"/>
      <c r="K181" s="38"/>
      <c r="L181" s="38"/>
      <c r="M181" s="38"/>
      <c r="N181" s="38"/>
      <c r="O181" s="38"/>
      <c r="P181" s="38"/>
      <c r="Q181" s="38"/>
      <c r="R181" s="38"/>
      <c r="S181" s="38"/>
      <c r="T181" s="38"/>
      <c r="U181" s="38"/>
      <c r="V181" s="38"/>
      <c r="W181" s="38"/>
      <c r="X181" s="38"/>
      <c r="Y181" s="38"/>
      <c r="Z181" s="38"/>
      <c r="AA181" s="38"/>
      <c r="AB181" s="38"/>
      <c r="AC181" s="38"/>
      <c r="AD181" s="38"/>
      <c r="AE181" s="38"/>
      <c r="AF181" s="38"/>
      <c r="AG181" s="38"/>
      <c r="AH181" s="38"/>
      <c r="AI181" s="38"/>
      <c r="AJ181" s="38"/>
      <c r="AK181" s="38"/>
      <c r="AL181" s="38"/>
      <c r="AM181" s="38"/>
      <c r="AN181" s="38"/>
      <c r="AO181" s="38"/>
      <c r="AP181" s="38"/>
      <c r="AQ181" s="38"/>
      <c r="AR181" s="38"/>
      <c r="AS181" s="38"/>
      <c r="AT181" s="38"/>
      <c r="AU181" s="38"/>
      <c r="AV181" s="38"/>
      <c r="AW181" s="38"/>
      <c r="AX181" s="38"/>
      <c r="AY181" s="38"/>
      <c r="AZ181" s="38"/>
      <c r="BA181" s="38"/>
      <c r="BB181" s="38"/>
    </row>
    <row r="182" spans="1:54" ht="15" customHeight="1"/>
    <row r="183" spans="1:54" ht="15" customHeight="1">
      <c r="E183" s="19" t="s">
        <v>308</v>
      </c>
      <c r="G183" s="19" t="s">
        <v>303</v>
      </c>
      <c r="I183" s="180" t="s">
        <v>64</v>
      </c>
    </row>
    <row r="184" spans="1:54" ht="15" customHeight="1">
      <c r="E184" s="19" t="s">
        <v>44</v>
      </c>
      <c r="G184" s="19" t="s">
        <v>139</v>
      </c>
      <c r="I184" s="175">
        <v>49310</v>
      </c>
    </row>
    <row r="185" spans="1:54" ht="15" customHeight="1">
      <c r="E185" s="30" t="s">
        <v>309</v>
      </c>
      <c r="F185" s="30"/>
      <c r="G185" s="30" t="s">
        <v>196</v>
      </c>
      <c r="I185" s="183" t="b">
        <f>I184&gt;DATE(YEAR(I17)+10,MONTH(I17),DAY(I17))</f>
        <v>1</v>
      </c>
    </row>
    <row r="186" spans="1:54" ht="15" customHeight="1">
      <c r="E186" s="19" t="s">
        <v>310</v>
      </c>
      <c r="G186" s="19" t="s">
        <v>193</v>
      </c>
      <c r="O186" s="62">
        <f t="shared" ref="O186:BB186" si="29">IF(AND($I184&lt;=O$4,$I184&gt;N$4),(O$4-$I184+1)/365.25,IF($I184&gt;O$4,0,O$70))</f>
        <v>0</v>
      </c>
      <c r="P186" s="171">
        <f t="shared" si="29"/>
        <v>0</v>
      </c>
      <c r="Q186" s="171">
        <f t="shared" si="29"/>
        <v>0</v>
      </c>
      <c r="R186" s="171">
        <f t="shared" si="29"/>
        <v>0</v>
      </c>
      <c r="S186" s="171">
        <f t="shared" si="29"/>
        <v>0</v>
      </c>
      <c r="T186" s="171">
        <f t="shared" si="29"/>
        <v>0</v>
      </c>
      <c r="U186" s="171">
        <f t="shared" si="29"/>
        <v>0</v>
      </c>
      <c r="V186" s="171">
        <f t="shared" si="29"/>
        <v>0</v>
      </c>
      <c r="W186" s="171">
        <f t="shared" si="29"/>
        <v>0</v>
      </c>
      <c r="X186" s="171">
        <f t="shared" si="29"/>
        <v>0</v>
      </c>
      <c r="Y186" s="171">
        <f t="shared" si="29"/>
        <v>0</v>
      </c>
      <c r="Z186" s="171">
        <f t="shared" si="29"/>
        <v>0</v>
      </c>
      <c r="AA186" s="171">
        <f t="shared" si="29"/>
        <v>0</v>
      </c>
      <c r="AB186" s="171">
        <f t="shared" si="29"/>
        <v>0</v>
      </c>
      <c r="AC186" s="171">
        <f t="shared" si="29"/>
        <v>0.99931553730321698</v>
      </c>
      <c r="AD186" s="171">
        <f t="shared" si="29"/>
        <v>1</v>
      </c>
      <c r="AE186" s="171">
        <f t="shared" si="29"/>
        <v>1</v>
      </c>
      <c r="AF186" s="171">
        <f t="shared" si="29"/>
        <v>1</v>
      </c>
      <c r="AG186" s="171">
        <f t="shared" si="29"/>
        <v>1</v>
      </c>
      <c r="AH186" s="171">
        <f t="shared" si="29"/>
        <v>1</v>
      </c>
      <c r="AI186" s="171">
        <f t="shared" si="29"/>
        <v>1</v>
      </c>
      <c r="AJ186" s="171">
        <f t="shared" si="29"/>
        <v>1</v>
      </c>
      <c r="AK186" s="171">
        <f t="shared" si="29"/>
        <v>1</v>
      </c>
      <c r="AL186" s="171">
        <f t="shared" si="29"/>
        <v>1</v>
      </c>
      <c r="AM186" s="171">
        <f t="shared" si="29"/>
        <v>1</v>
      </c>
      <c r="AN186" s="171">
        <f t="shared" si="29"/>
        <v>1</v>
      </c>
      <c r="AO186" s="171">
        <f t="shared" si="29"/>
        <v>0.32922655715263516</v>
      </c>
      <c r="AP186" s="171">
        <f t="shared" si="29"/>
        <v>0</v>
      </c>
      <c r="AQ186" s="171">
        <f t="shared" si="29"/>
        <v>0</v>
      </c>
      <c r="AR186" s="171">
        <f t="shared" si="29"/>
        <v>0</v>
      </c>
      <c r="AS186" s="171">
        <f t="shared" si="29"/>
        <v>0</v>
      </c>
      <c r="AT186" s="171">
        <f t="shared" si="29"/>
        <v>0</v>
      </c>
      <c r="AU186" s="171">
        <f t="shared" si="29"/>
        <v>0</v>
      </c>
      <c r="AV186" s="171">
        <f t="shared" si="29"/>
        <v>0</v>
      </c>
      <c r="AW186" s="171">
        <f t="shared" si="29"/>
        <v>0</v>
      </c>
      <c r="AX186" s="171">
        <f t="shared" si="29"/>
        <v>0</v>
      </c>
      <c r="AY186" s="171">
        <f t="shared" si="29"/>
        <v>0</v>
      </c>
      <c r="AZ186" s="171">
        <f t="shared" si="29"/>
        <v>0</v>
      </c>
      <c r="BA186" s="171">
        <f t="shared" si="29"/>
        <v>0</v>
      </c>
      <c r="BB186" s="171">
        <f t="shared" si="29"/>
        <v>0</v>
      </c>
    </row>
    <row r="187" spans="1:54" ht="15" customHeight="1">
      <c r="E187" s="19" t="s">
        <v>311</v>
      </c>
      <c r="G187" s="19" t="s">
        <v>193</v>
      </c>
      <c r="O187" s="62">
        <f t="shared" ref="O187:BB187" si="30">IF(AND($I184&lt;=O$4,$I184&gt;N$4),(O$4-$I184+1)/365.25,IF($I184&gt;O$4,0,O$78))</f>
        <v>0</v>
      </c>
      <c r="P187" s="171">
        <f t="shared" si="30"/>
        <v>0</v>
      </c>
      <c r="Q187" s="171">
        <f t="shared" si="30"/>
        <v>0</v>
      </c>
      <c r="R187" s="171">
        <f t="shared" si="30"/>
        <v>0</v>
      </c>
      <c r="S187" s="171">
        <f t="shared" si="30"/>
        <v>0</v>
      </c>
      <c r="T187" s="171">
        <f t="shared" si="30"/>
        <v>0</v>
      </c>
      <c r="U187" s="171">
        <f t="shared" si="30"/>
        <v>0</v>
      </c>
      <c r="V187" s="171">
        <f t="shared" si="30"/>
        <v>0</v>
      </c>
      <c r="W187" s="171">
        <f t="shared" si="30"/>
        <v>0</v>
      </c>
      <c r="X187" s="171">
        <f t="shared" si="30"/>
        <v>0</v>
      </c>
      <c r="Y187" s="171">
        <f t="shared" si="30"/>
        <v>0</v>
      </c>
      <c r="Z187" s="171">
        <f t="shared" si="30"/>
        <v>0</v>
      </c>
      <c r="AA187" s="171">
        <f t="shared" si="30"/>
        <v>0</v>
      </c>
      <c r="AB187" s="171">
        <f t="shared" si="30"/>
        <v>0</v>
      </c>
      <c r="AC187" s="171">
        <f t="shared" si="30"/>
        <v>0.99931553730321698</v>
      </c>
      <c r="AD187" s="171">
        <f t="shared" si="30"/>
        <v>1</v>
      </c>
      <c r="AE187" s="171">
        <f t="shared" si="30"/>
        <v>1</v>
      </c>
      <c r="AF187" s="171">
        <f t="shared" si="30"/>
        <v>1</v>
      </c>
      <c r="AG187" s="171">
        <f t="shared" si="30"/>
        <v>1</v>
      </c>
      <c r="AH187" s="171">
        <f t="shared" si="30"/>
        <v>1</v>
      </c>
      <c r="AI187" s="171">
        <f t="shared" si="30"/>
        <v>1</v>
      </c>
      <c r="AJ187" s="171">
        <f t="shared" si="30"/>
        <v>1</v>
      </c>
      <c r="AK187" s="171">
        <f t="shared" si="30"/>
        <v>1</v>
      </c>
      <c r="AL187" s="171">
        <f t="shared" si="30"/>
        <v>1</v>
      </c>
      <c r="AM187" s="171">
        <f t="shared" si="30"/>
        <v>1</v>
      </c>
      <c r="AN187" s="171">
        <f t="shared" si="30"/>
        <v>1</v>
      </c>
      <c r="AO187" s="171">
        <f t="shared" si="30"/>
        <v>0.32922655715263516</v>
      </c>
      <c r="AP187" s="171">
        <f t="shared" si="30"/>
        <v>0</v>
      </c>
      <c r="AQ187" s="171">
        <f t="shared" si="30"/>
        <v>0</v>
      </c>
      <c r="AR187" s="171">
        <f t="shared" si="30"/>
        <v>0</v>
      </c>
      <c r="AS187" s="171">
        <f t="shared" si="30"/>
        <v>0</v>
      </c>
      <c r="AT187" s="171">
        <f t="shared" si="30"/>
        <v>0</v>
      </c>
      <c r="AU187" s="171">
        <f t="shared" si="30"/>
        <v>0</v>
      </c>
      <c r="AV187" s="171">
        <f t="shared" si="30"/>
        <v>0</v>
      </c>
      <c r="AW187" s="171">
        <f t="shared" si="30"/>
        <v>0</v>
      </c>
      <c r="AX187" s="171">
        <f t="shared" si="30"/>
        <v>0</v>
      </c>
      <c r="AY187" s="171">
        <f t="shared" si="30"/>
        <v>0</v>
      </c>
      <c r="AZ187" s="171">
        <f t="shared" si="30"/>
        <v>0</v>
      </c>
      <c r="BA187" s="171">
        <f t="shared" si="30"/>
        <v>0</v>
      </c>
      <c r="BB187" s="171">
        <f t="shared" si="30"/>
        <v>0</v>
      </c>
    </row>
    <row r="188" spans="1:54" ht="15" customHeight="1">
      <c r="O188" s="62"/>
      <c r="P188" s="62"/>
      <c r="Q188" s="62"/>
      <c r="R188" s="62"/>
      <c r="S188" s="62"/>
      <c r="T188" s="62"/>
      <c r="U188" s="62"/>
      <c r="V188" s="62"/>
      <c r="W188" s="62"/>
      <c r="X188" s="62"/>
      <c r="Y188" s="62"/>
      <c r="Z188" s="62"/>
      <c r="AA188" s="62"/>
      <c r="AB188" s="62"/>
      <c r="AC188" s="62"/>
      <c r="AD188" s="62"/>
      <c r="AE188" s="62"/>
      <c r="AF188" s="62"/>
      <c r="AG188" s="62"/>
      <c r="AH188" s="62"/>
      <c r="AI188" s="62"/>
      <c r="AJ188" s="62"/>
      <c r="AK188" s="62"/>
      <c r="AL188" s="62"/>
      <c r="AM188" s="62"/>
      <c r="AN188" s="62"/>
      <c r="AO188" s="62"/>
      <c r="AP188" s="62"/>
      <c r="AQ188" s="62"/>
      <c r="AR188" s="62"/>
      <c r="AS188" s="62"/>
      <c r="AT188" s="62"/>
      <c r="AU188" s="62"/>
      <c r="AV188" s="62"/>
      <c r="AW188" s="62"/>
      <c r="AX188" s="62"/>
      <c r="AY188" s="62"/>
      <c r="AZ188" s="62"/>
      <c r="BA188" s="62"/>
      <c r="BB188" s="62"/>
    </row>
    <row r="189" spans="1:54" ht="15" customHeight="1">
      <c r="A189"/>
      <c r="E189" s="19" t="s">
        <v>312</v>
      </c>
      <c r="G189" s="5" t="str">
        <f>base_year</f>
        <v>£m 2020</v>
      </c>
      <c r="O189" s="88"/>
      <c r="P189" s="222">
        <v>0</v>
      </c>
      <c r="Q189" s="222">
        <v>0</v>
      </c>
      <c r="R189" s="222">
        <v>0</v>
      </c>
      <c r="S189" s="222">
        <v>0</v>
      </c>
      <c r="T189" s="222">
        <v>0</v>
      </c>
      <c r="U189" s="222">
        <v>0</v>
      </c>
      <c r="V189" s="222">
        <v>0</v>
      </c>
      <c r="W189" s="222">
        <v>0</v>
      </c>
      <c r="X189" s="222">
        <v>0</v>
      </c>
      <c r="Y189" s="222">
        <v>0</v>
      </c>
      <c r="Z189" s="222">
        <v>0</v>
      </c>
      <c r="AA189" s="222">
        <v>0</v>
      </c>
      <c r="AB189" s="222">
        <v>0</v>
      </c>
      <c r="AC189" s="222">
        <v>0</v>
      </c>
      <c r="AD189" s="222">
        <v>0</v>
      </c>
      <c r="AE189" s="222">
        <v>0</v>
      </c>
      <c r="AF189" s="222">
        <v>0</v>
      </c>
      <c r="AG189" s="222">
        <v>0</v>
      </c>
      <c r="AH189" s="222">
        <v>0</v>
      </c>
      <c r="AI189" s="222">
        <v>0</v>
      </c>
      <c r="AJ189" s="222">
        <v>0</v>
      </c>
      <c r="AK189" s="222">
        <v>0</v>
      </c>
      <c r="AL189" s="222">
        <v>0</v>
      </c>
      <c r="AM189" s="222">
        <v>0</v>
      </c>
      <c r="AN189" s="222">
        <v>0</v>
      </c>
      <c r="AO189" s="222">
        <v>0</v>
      </c>
      <c r="AP189" s="222">
        <v>0</v>
      </c>
      <c r="AQ189" s="222">
        <v>0</v>
      </c>
      <c r="AR189" s="222">
        <v>0</v>
      </c>
      <c r="AS189" s="222">
        <v>0</v>
      </c>
      <c r="AT189" s="222">
        <v>0</v>
      </c>
      <c r="AU189" s="222">
        <v>0</v>
      </c>
      <c r="AV189" s="222">
        <v>0</v>
      </c>
      <c r="AW189" s="222">
        <v>0</v>
      </c>
      <c r="AX189" s="222">
        <v>0</v>
      </c>
      <c r="AY189" s="222">
        <v>0</v>
      </c>
      <c r="AZ189" s="222">
        <v>0</v>
      </c>
      <c r="BA189" s="222">
        <v>0</v>
      </c>
      <c r="BB189" s="222">
        <v>0</v>
      </c>
    </row>
    <row r="190" spans="1:54" ht="15" customHeight="1">
      <c r="A190"/>
      <c r="O190" s="62"/>
      <c r="P190" s="62"/>
      <c r="Q190" s="62"/>
      <c r="R190" s="62"/>
      <c r="S190" s="62"/>
      <c r="T190" s="62"/>
      <c r="U190" s="62"/>
      <c r="V190" s="62"/>
      <c r="W190" s="62"/>
      <c r="X190" s="62"/>
      <c r="Y190" s="62"/>
      <c r="Z190" s="62"/>
      <c r="AA190" s="62"/>
      <c r="AB190" s="62"/>
      <c r="AC190" s="62"/>
      <c r="AD190" s="62"/>
      <c r="AE190" s="62"/>
      <c r="AF190" s="62"/>
      <c r="AG190" s="62"/>
      <c r="AH190" s="62"/>
      <c r="AI190" s="62"/>
      <c r="AJ190" s="62"/>
      <c r="AK190" s="62"/>
      <c r="AL190" s="62"/>
      <c r="AM190" s="62"/>
      <c r="AN190" s="62"/>
      <c r="AO190" s="62"/>
      <c r="AP190" s="62"/>
      <c r="AQ190" s="62"/>
      <c r="AR190" s="62"/>
      <c r="AS190" s="62"/>
      <c r="AT190" s="62"/>
      <c r="AU190" s="62"/>
      <c r="AV190" s="62"/>
      <c r="AW190" s="62"/>
      <c r="AX190" s="62"/>
      <c r="AY190" s="62"/>
      <c r="AZ190" s="62"/>
      <c r="BA190" s="62"/>
      <c r="BB190" s="62"/>
    </row>
    <row r="191" spans="1:54" ht="15" customHeight="1">
      <c r="A191"/>
      <c r="E191" s="19" t="s">
        <v>313</v>
      </c>
      <c r="G191" s="5" t="str">
        <f>base_year</f>
        <v>£m 2020</v>
      </c>
      <c r="H191" s="19" t="s">
        <v>314</v>
      </c>
      <c r="I191" s="155">
        <f>'ORA Adjustment'!I27</f>
        <v>-4.2855260390855774</v>
      </c>
      <c r="O191" s="62"/>
      <c r="P191" s="62"/>
      <c r="Q191" s="62"/>
      <c r="R191" s="62"/>
      <c r="S191" s="62"/>
      <c r="T191" s="62"/>
      <c r="U191" s="62"/>
      <c r="V191" s="62"/>
      <c r="W191" s="62"/>
      <c r="X191" s="62"/>
      <c r="Y191" s="62"/>
      <c r="Z191" s="62"/>
      <c r="AA191" s="62"/>
      <c r="AB191" s="62"/>
      <c r="AC191" s="62"/>
      <c r="AD191" s="62"/>
      <c r="AE191" s="62"/>
      <c r="AF191" s="62"/>
      <c r="AG191" s="62"/>
      <c r="AH191" s="62"/>
      <c r="AI191" s="62"/>
      <c r="AJ191" s="62"/>
      <c r="AK191" s="62"/>
      <c r="AL191" s="62"/>
      <c r="AM191" s="62"/>
      <c r="AN191" s="62"/>
      <c r="AO191" s="62"/>
      <c r="AP191" s="62"/>
      <c r="AQ191" s="62"/>
      <c r="AR191" s="62"/>
      <c r="AS191" s="62"/>
      <c r="AT191" s="62"/>
      <c r="AU191" s="62"/>
      <c r="AV191" s="62"/>
      <c r="AW191" s="62"/>
      <c r="AX191" s="62"/>
      <c r="AY191" s="62"/>
      <c r="AZ191" s="62"/>
      <c r="BA191" s="62"/>
      <c r="BB191" s="62"/>
    </row>
    <row r="192" spans="1:54" ht="15" customHeight="1">
      <c r="A192"/>
      <c r="E192" s="19" t="s">
        <v>315</v>
      </c>
      <c r="G192" s="5" t="str">
        <f>base_year</f>
        <v>£m 2020</v>
      </c>
      <c r="H192" s="19" t="s">
        <v>316</v>
      </c>
      <c r="I192" s="155">
        <f>'ORA Adjustment'!I37</f>
        <v>-4.187678381962769</v>
      </c>
      <c r="O192" s="62"/>
      <c r="P192" s="62"/>
      <c r="Q192" s="62"/>
      <c r="R192" s="62"/>
      <c r="S192" s="62"/>
      <c r="T192" s="62"/>
      <c r="U192" s="62"/>
      <c r="V192" s="62"/>
      <c r="W192" s="62"/>
      <c r="X192" s="62"/>
      <c r="Y192" s="62"/>
      <c r="Z192" s="62"/>
      <c r="AA192" s="62"/>
      <c r="AB192" s="62"/>
      <c r="AC192" s="62"/>
      <c r="AD192" s="62"/>
      <c r="AE192" s="62"/>
      <c r="AF192" s="62"/>
      <c r="AG192" s="62"/>
      <c r="AH192" s="62"/>
      <c r="AI192" s="62"/>
      <c r="AJ192" s="62"/>
      <c r="AK192" s="62"/>
      <c r="AL192" s="62"/>
      <c r="AM192" s="62"/>
      <c r="AN192" s="62"/>
      <c r="AO192" s="62"/>
      <c r="AP192" s="62"/>
      <c r="AQ192" s="62"/>
      <c r="AR192" s="62"/>
      <c r="AS192" s="62"/>
      <c r="AT192" s="62"/>
      <c r="AU192" s="62"/>
      <c r="AV192" s="62"/>
      <c r="AW192" s="62"/>
      <c r="AX192" s="62"/>
      <c r="AY192" s="62"/>
      <c r="AZ192" s="62"/>
      <c r="BA192" s="62"/>
      <c r="BB192" s="62"/>
    </row>
    <row r="193" spans="1:54" ht="15" customHeight="1">
      <c r="A193"/>
      <c r="E193" s="19" t="s">
        <v>317</v>
      </c>
      <c r="G193" s="5" t="str">
        <f>base_year</f>
        <v>£m 2020</v>
      </c>
      <c r="H193" s="19" t="s">
        <v>318</v>
      </c>
      <c r="I193" s="155">
        <f>'ORA Adjustment'!I47</f>
        <v>-4.1840731663332367</v>
      </c>
      <c r="O193" s="62"/>
      <c r="P193" s="62"/>
      <c r="Q193" s="62"/>
      <c r="R193" s="62"/>
      <c r="S193" s="62"/>
      <c r="T193" s="62"/>
      <c r="U193" s="62"/>
      <c r="V193" s="62"/>
      <c r="W193" s="62"/>
      <c r="X193" s="62"/>
      <c r="Y193" s="62"/>
      <c r="Z193" s="62"/>
      <c r="AA193" s="62"/>
      <c r="AB193" s="62"/>
      <c r="AC193" s="62"/>
      <c r="AD193" s="62"/>
      <c r="AE193" s="62"/>
      <c r="AF193" s="62"/>
      <c r="AG193" s="62"/>
      <c r="AH193" s="62"/>
      <c r="AI193" s="62"/>
      <c r="AJ193" s="62"/>
      <c r="AK193" s="62"/>
      <c r="AL193" s="62"/>
      <c r="AM193" s="62"/>
      <c r="AN193" s="62"/>
      <c r="AO193" s="62"/>
      <c r="AP193" s="62"/>
      <c r="AQ193" s="62"/>
      <c r="AR193" s="62"/>
      <c r="AS193" s="62"/>
      <c r="AT193" s="62"/>
      <c r="AU193" s="62"/>
      <c r="AV193" s="62"/>
      <c r="AW193" s="62"/>
      <c r="AX193" s="62"/>
      <c r="AY193" s="62"/>
      <c r="AZ193" s="62"/>
      <c r="BA193" s="62"/>
      <c r="BB193" s="62"/>
    </row>
    <row r="194" spans="1:54" ht="15" customHeight="1">
      <c r="A194"/>
    </row>
    <row r="195" spans="1:54" s="5" customFormat="1" ht="15" customHeight="1">
      <c r="A195"/>
      <c r="C195" s="38" t="s">
        <v>319</v>
      </c>
      <c r="D195" s="38"/>
      <c r="E195" s="38"/>
      <c r="F195" s="38"/>
      <c r="G195" s="38"/>
      <c r="H195" s="38"/>
      <c r="I195" s="38"/>
      <c r="J195" s="38"/>
      <c r="K195" s="38"/>
      <c r="L195" s="38"/>
      <c r="M195" s="38"/>
      <c r="N195" s="38"/>
      <c r="O195" s="38"/>
      <c r="P195" s="38"/>
      <c r="Q195" s="38"/>
      <c r="R195" s="38"/>
      <c r="S195" s="38"/>
      <c r="T195" s="38"/>
      <c r="U195" s="38"/>
      <c r="V195" s="38"/>
      <c r="W195" s="38"/>
      <c r="X195" s="38"/>
      <c r="Y195" s="38"/>
      <c r="Z195" s="38"/>
      <c r="AA195" s="38"/>
      <c r="AB195" s="38"/>
      <c r="AC195" s="38"/>
      <c r="AD195" s="38"/>
      <c r="AE195" s="38"/>
      <c r="AF195" s="38"/>
      <c r="AG195" s="38"/>
      <c r="AH195" s="38"/>
      <c r="AI195" s="38"/>
      <c r="AJ195" s="38"/>
      <c r="AK195" s="38"/>
      <c r="AL195" s="38"/>
      <c r="AM195" s="38"/>
      <c r="AN195" s="38"/>
      <c r="AO195" s="38"/>
      <c r="AP195" s="38"/>
      <c r="AQ195" s="38"/>
      <c r="AR195" s="38"/>
      <c r="AS195" s="38"/>
      <c r="AT195" s="38"/>
      <c r="AU195" s="38"/>
      <c r="AV195" s="38"/>
      <c r="AW195" s="38"/>
      <c r="AX195" s="38"/>
      <c r="AY195" s="38"/>
      <c r="AZ195" s="38"/>
      <c r="BA195" s="38"/>
      <c r="BB195" s="38"/>
    </row>
    <row r="196" spans="1:54" ht="15" customHeight="1">
      <c r="A196"/>
    </row>
    <row r="197" spans="1:54" ht="15" customHeight="1">
      <c r="A197"/>
      <c r="E197" s="19" t="s">
        <v>320</v>
      </c>
      <c r="G197" s="19" t="s">
        <v>303</v>
      </c>
      <c r="I197" s="180" t="s">
        <v>64</v>
      </c>
    </row>
    <row r="198" spans="1:54" ht="15" customHeight="1">
      <c r="A198"/>
      <c r="I198" s="52"/>
    </row>
    <row r="199" spans="1:54" s="5" customFormat="1" ht="15" customHeight="1">
      <c r="A199"/>
      <c r="D199" s="38" t="s">
        <v>321</v>
      </c>
      <c r="E199" s="38"/>
      <c r="F199" s="38"/>
      <c r="G199" s="38"/>
      <c r="H199" s="38"/>
      <c r="I199" s="38"/>
      <c r="J199" s="38"/>
      <c r="K199" s="38"/>
      <c r="L199" s="38"/>
      <c r="M199" s="38"/>
      <c r="N199" s="38"/>
      <c r="O199" s="38"/>
      <c r="P199" s="38"/>
      <c r="Q199" s="38"/>
      <c r="R199" s="38"/>
      <c r="S199" s="38"/>
      <c r="T199" s="38"/>
      <c r="U199" s="38"/>
      <c r="V199" s="38"/>
      <c r="W199" s="38"/>
      <c r="X199" s="38"/>
      <c r="Y199" s="38"/>
      <c r="Z199" s="38"/>
      <c r="AA199" s="38"/>
      <c r="AB199" s="38"/>
      <c r="AC199" s="38"/>
      <c r="AD199" s="38"/>
      <c r="AE199" s="38"/>
      <c r="AF199" s="38"/>
      <c r="AG199" s="38"/>
      <c r="AH199" s="38"/>
      <c r="AI199" s="38"/>
      <c r="AJ199" s="38"/>
      <c r="AK199" s="38"/>
      <c r="AL199" s="38"/>
      <c r="AM199" s="38"/>
      <c r="AN199" s="38"/>
      <c r="AO199" s="38"/>
      <c r="AP199" s="38"/>
      <c r="AQ199" s="38"/>
      <c r="AR199" s="38"/>
      <c r="AS199" s="38"/>
      <c r="AT199" s="38"/>
      <c r="AU199" s="38"/>
      <c r="AV199" s="38"/>
      <c r="AW199" s="38"/>
      <c r="AX199" s="38"/>
      <c r="AY199" s="38"/>
      <c r="AZ199" s="38"/>
      <c r="BA199" s="38"/>
      <c r="BB199" s="38"/>
    </row>
    <row r="200" spans="1:54" s="5" customFormat="1" ht="15" customHeight="1">
      <c r="A200"/>
    </row>
    <row r="201" spans="1:54" ht="15" customHeight="1">
      <c r="A201"/>
      <c r="E201" s="19" t="s">
        <v>322</v>
      </c>
      <c r="G201" s="19" t="s">
        <v>139</v>
      </c>
      <c r="I201" s="47"/>
    </row>
    <row r="202" spans="1:54" ht="15" customHeight="1">
      <c r="A202"/>
      <c r="E202" s="19" t="s">
        <v>323</v>
      </c>
      <c r="G202" s="19" t="s">
        <v>193</v>
      </c>
      <c r="O202" s="89"/>
      <c r="P202" s="172">
        <f t="shared" ref="P202:BB202" si="31">IF(AND($I201&lt;=P$4,$I201&gt;O$4),(P$4-$I201+1)/365.25,IF($I201&gt;P$4,0,P$70))</f>
        <v>0.67077344284736484</v>
      </c>
      <c r="Q202" s="172">
        <f t="shared" si="31"/>
        <v>1</v>
      </c>
      <c r="R202" s="172">
        <f t="shared" si="31"/>
        <v>1</v>
      </c>
      <c r="S202" s="172">
        <f t="shared" si="31"/>
        <v>1</v>
      </c>
      <c r="T202" s="172">
        <f t="shared" si="31"/>
        <v>1</v>
      </c>
      <c r="U202" s="172">
        <f t="shared" si="31"/>
        <v>1</v>
      </c>
      <c r="V202" s="172">
        <f t="shared" si="31"/>
        <v>1</v>
      </c>
      <c r="W202" s="172">
        <f t="shared" si="31"/>
        <v>1</v>
      </c>
      <c r="X202" s="172">
        <f t="shared" si="31"/>
        <v>1</v>
      </c>
      <c r="Y202" s="172">
        <f t="shared" si="31"/>
        <v>1</v>
      </c>
      <c r="Z202" s="172">
        <f t="shared" si="31"/>
        <v>1</v>
      </c>
      <c r="AA202" s="172">
        <f t="shared" si="31"/>
        <v>1</v>
      </c>
      <c r="AB202" s="172">
        <f t="shared" si="31"/>
        <v>1</v>
      </c>
      <c r="AC202" s="172">
        <f t="shared" si="31"/>
        <v>1</v>
      </c>
      <c r="AD202" s="172">
        <f t="shared" si="31"/>
        <v>1</v>
      </c>
      <c r="AE202" s="172">
        <f t="shared" si="31"/>
        <v>1</v>
      </c>
      <c r="AF202" s="172">
        <f t="shared" si="31"/>
        <v>1</v>
      </c>
      <c r="AG202" s="172">
        <f t="shared" si="31"/>
        <v>1</v>
      </c>
      <c r="AH202" s="172">
        <f t="shared" si="31"/>
        <v>1</v>
      </c>
      <c r="AI202" s="172">
        <f t="shared" si="31"/>
        <v>1</v>
      </c>
      <c r="AJ202" s="172">
        <f t="shared" si="31"/>
        <v>1</v>
      </c>
      <c r="AK202" s="172">
        <f t="shared" si="31"/>
        <v>1</v>
      </c>
      <c r="AL202" s="172">
        <f t="shared" si="31"/>
        <v>1</v>
      </c>
      <c r="AM202" s="172">
        <f t="shared" si="31"/>
        <v>1</v>
      </c>
      <c r="AN202" s="172">
        <f t="shared" si="31"/>
        <v>1</v>
      </c>
      <c r="AO202" s="172">
        <f t="shared" si="31"/>
        <v>0.32922655715263516</v>
      </c>
      <c r="AP202" s="172">
        <f t="shared" si="31"/>
        <v>0</v>
      </c>
      <c r="AQ202" s="172">
        <f t="shared" si="31"/>
        <v>0</v>
      </c>
      <c r="AR202" s="172">
        <f t="shared" si="31"/>
        <v>0</v>
      </c>
      <c r="AS202" s="172">
        <f t="shared" si="31"/>
        <v>0</v>
      </c>
      <c r="AT202" s="172">
        <f t="shared" si="31"/>
        <v>0</v>
      </c>
      <c r="AU202" s="172">
        <f t="shared" si="31"/>
        <v>0</v>
      </c>
      <c r="AV202" s="172">
        <f t="shared" si="31"/>
        <v>0</v>
      </c>
      <c r="AW202" s="172">
        <f t="shared" si="31"/>
        <v>0</v>
      </c>
      <c r="AX202" s="172">
        <f t="shared" si="31"/>
        <v>0</v>
      </c>
      <c r="AY202" s="172">
        <f t="shared" si="31"/>
        <v>0</v>
      </c>
      <c r="AZ202" s="172">
        <f t="shared" si="31"/>
        <v>0</v>
      </c>
      <c r="BA202" s="172">
        <f t="shared" si="31"/>
        <v>0</v>
      </c>
      <c r="BB202" s="172">
        <f t="shared" si="31"/>
        <v>0</v>
      </c>
    </row>
    <row r="203" spans="1:54" ht="15" customHeight="1">
      <c r="A203"/>
      <c r="I203" s="52"/>
      <c r="O203" s="35"/>
      <c r="P203" s="35"/>
      <c r="Q203" s="35"/>
      <c r="R203" s="35"/>
      <c r="S203" s="35"/>
      <c r="T203" s="35"/>
      <c r="U203" s="35"/>
      <c r="V203" s="35"/>
      <c r="W203" s="35"/>
      <c r="X203" s="35"/>
      <c r="Y203" s="35"/>
      <c r="Z203" s="35"/>
      <c r="AA203" s="35"/>
      <c r="AB203" s="35"/>
      <c r="AC203" s="35"/>
      <c r="AD203" s="35"/>
      <c r="AE203" s="35"/>
      <c r="AF203" s="35"/>
      <c r="AG203" s="35"/>
      <c r="AH203" s="35"/>
      <c r="AI203" s="35"/>
      <c r="AJ203" s="35"/>
      <c r="AK203" s="35"/>
      <c r="AL203" s="35"/>
      <c r="AM203" s="35"/>
      <c r="AN203" s="35"/>
      <c r="AO203" s="35"/>
      <c r="AP203" s="35"/>
      <c r="AQ203" s="35"/>
      <c r="AR203" s="35"/>
      <c r="AS203" s="35"/>
      <c r="AT203" s="35"/>
      <c r="AU203" s="35"/>
      <c r="AV203" s="35"/>
      <c r="AW203" s="35"/>
      <c r="AX203" s="35"/>
      <c r="AY203" s="35"/>
      <c r="AZ203" s="35"/>
      <c r="BA203" s="35"/>
      <c r="BB203" s="35"/>
    </row>
    <row r="204" spans="1:54" ht="13.15">
      <c r="A204"/>
      <c r="E204" s="45" t="s">
        <v>324</v>
      </c>
      <c r="G204" s="5" t="str">
        <f>base_year</f>
        <v>£m 2020</v>
      </c>
      <c r="O204" s="89"/>
      <c r="P204" s="177">
        <v>0</v>
      </c>
      <c r="Q204" s="177">
        <v>0</v>
      </c>
      <c r="R204" s="177">
        <v>0</v>
      </c>
      <c r="S204" s="177">
        <v>0</v>
      </c>
      <c r="T204" s="177">
        <v>0</v>
      </c>
      <c r="U204" s="177">
        <v>0</v>
      </c>
      <c r="V204" s="177">
        <v>0</v>
      </c>
      <c r="W204" s="177">
        <v>0</v>
      </c>
      <c r="X204" s="177">
        <v>0</v>
      </c>
      <c r="Y204" s="177">
        <v>0</v>
      </c>
      <c r="Z204" s="177">
        <v>0</v>
      </c>
      <c r="AA204" s="177">
        <v>0</v>
      </c>
      <c r="AB204" s="177">
        <v>0</v>
      </c>
      <c r="AC204" s="177">
        <v>0</v>
      </c>
      <c r="AD204" s="177">
        <v>0</v>
      </c>
      <c r="AE204" s="177">
        <v>0</v>
      </c>
      <c r="AF204" s="177">
        <v>0</v>
      </c>
      <c r="AG204" s="177">
        <v>0</v>
      </c>
      <c r="AH204" s="177">
        <v>0</v>
      </c>
      <c r="AI204" s="177">
        <v>0</v>
      </c>
      <c r="AJ204" s="177">
        <v>0</v>
      </c>
      <c r="AK204" s="177">
        <v>0</v>
      </c>
      <c r="AL204" s="177">
        <v>0</v>
      </c>
      <c r="AM204" s="177">
        <v>0</v>
      </c>
      <c r="AN204" s="177">
        <v>0</v>
      </c>
      <c r="AO204" s="177">
        <v>0</v>
      </c>
      <c r="AP204" s="177">
        <v>0</v>
      </c>
      <c r="AQ204" s="177">
        <v>0</v>
      </c>
      <c r="AR204" s="177">
        <v>0</v>
      </c>
      <c r="AS204" s="177">
        <v>0</v>
      </c>
      <c r="AT204" s="177">
        <v>0</v>
      </c>
      <c r="AU204" s="177">
        <v>0</v>
      </c>
      <c r="AV204" s="177">
        <v>0</v>
      </c>
      <c r="AW204" s="177">
        <v>0</v>
      </c>
      <c r="AX204" s="177">
        <v>0</v>
      </c>
      <c r="AY204" s="177">
        <v>0</v>
      </c>
      <c r="AZ204" s="177">
        <v>0</v>
      </c>
      <c r="BA204" s="177">
        <v>0</v>
      </c>
      <c r="BB204" s="177">
        <v>0</v>
      </c>
    </row>
    <row r="205" spans="1:54" ht="13.15">
      <c r="I205" s="52"/>
      <c r="P205" s="87"/>
      <c r="Q205" s="87"/>
      <c r="R205" s="87"/>
      <c r="S205" s="87"/>
      <c r="T205" s="87"/>
      <c r="U205" s="87"/>
      <c r="V205" s="87"/>
      <c r="W205" s="87"/>
      <c r="X205" s="87"/>
      <c r="Y205" s="87"/>
      <c r="Z205" s="87"/>
      <c r="AA205" s="87"/>
      <c r="AB205" s="87"/>
      <c r="AC205" s="87"/>
      <c r="AD205" s="87"/>
      <c r="AE205" s="87"/>
      <c r="AF205" s="87"/>
      <c r="AG205" s="87"/>
      <c r="AH205" s="87"/>
      <c r="AI205" s="87"/>
      <c r="AJ205" s="87"/>
      <c r="AK205" s="87"/>
      <c r="AL205" s="87"/>
      <c r="AM205" s="87"/>
      <c r="AN205" s="87"/>
      <c r="AO205" s="87"/>
      <c r="AP205" s="87"/>
      <c r="AQ205" s="87"/>
      <c r="AR205" s="87"/>
      <c r="AS205" s="87"/>
      <c r="AT205" s="87"/>
      <c r="AU205" s="87"/>
      <c r="AV205" s="87"/>
      <c r="AW205" s="87"/>
      <c r="AX205" s="87"/>
      <c r="AY205" s="87"/>
      <c r="AZ205" s="87"/>
      <c r="BA205" s="87"/>
      <c r="BB205" s="87"/>
    </row>
    <row r="206" spans="1:54" ht="13.15">
      <c r="E206" s="19" t="s">
        <v>325</v>
      </c>
      <c r="G206" s="5" t="str">
        <f>base_year</f>
        <v>£m 2020</v>
      </c>
      <c r="H206" s="19" t="s">
        <v>326</v>
      </c>
      <c r="I206" s="123">
        <f>'DC Adjustment'!I67</f>
        <v>-4.8651501771587446E-2</v>
      </c>
    </row>
    <row r="207" spans="1:54" ht="13.15">
      <c r="E207" s="19" t="s">
        <v>327</v>
      </c>
      <c r="G207" s="5" t="str">
        <f>base_year</f>
        <v>£m 2020</v>
      </c>
      <c r="H207" s="19" t="s">
        <v>328</v>
      </c>
      <c r="I207" s="123">
        <f>'DC Adjustment'!I80</f>
        <v>-0.15508095307810627</v>
      </c>
    </row>
    <row r="208" spans="1:54" ht="13.15">
      <c r="E208" s="19" t="s">
        <v>329</v>
      </c>
      <c r="G208" s="5" t="str">
        <f>base_year</f>
        <v>£m 2020</v>
      </c>
      <c r="H208" s="19" t="s">
        <v>330</v>
      </c>
      <c r="I208" s="123">
        <f>'DC Adjustment'!I93</f>
        <v>-0.16041061662676345</v>
      </c>
    </row>
    <row r="209" spans="4:54" ht="15" customHeight="1"/>
    <row r="210" spans="4:54" s="5" customFormat="1" ht="15" customHeight="1">
      <c r="D210" s="38" t="s">
        <v>331</v>
      </c>
      <c r="E210" s="38"/>
      <c r="F210" s="38"/>
      <c r="G210" s="38"/>
      <c r="H210" s="38"/>
      <c r="I210" s="38"/>
      <c r="J210" s="38"/>
      <c r="K210" s="38"/>
      <c r="L210" s="38"/>
      <c r="M210" s="38"/>
      <c r="N210" s="38"/>
      <c r="O210" s="38"/>
      <c r="P210" s="38"/>
      <c r="Q210" s="38"/>
      <c r="R210" s="38"/>
      <c r="S210" s="38"/>
      <c r="T210" s="38"/>
      <c r="U210" s="38"/>
      <c r="V210" s="38"/>
      <c r="W210" s="38"/>
      <c r="X210" s="38"/>
      <c r="Y210" s="38"/>
      <c r="Z210" s="38"/>
      <c r="AA210" s="38"/>
      <c r="AB210" s="38"/>
      <c r="AC210" s="38"/>
      <c r="AD210" s="38"/>
      <c r="AE210" s="38"/>
      <c r="AF210" s="38"/>
      <c r="AG210" s="38"/>
      <c r="AH210" s="38"/>
      <c r="AI210" s="38"/>
      <c r="AJ210" s="38"/>
      <c r="AK210" s="38"/>
      <c r="AL210" s="38"/>
      <c r="AM210" s="38"/>
      <c r="AN210" s="38"/>
      <c r="AO210" s="38"/>
      <c r="AP210" s="38"/>
      <c r="AQ210" s="38"/>
      <c r="AR210" s="38"/>
      <c r="AS210" s="38"/>
      <c r="AT210" s="38"/>
      <c r="AU210" s="38"/>
      <c r="AV210" s="38"/>
      <c r="AW210" s="38"/>
      <c r="AX210" s="38"/>
      <c r="AY210" s="38"/>
      <c r="AZ210" s="38"/>
      <c r="BA210" s="38"/>
      <c r="BB210" s="38"/>
    </row>
    <row r="211" spans="4:54" s="5" customFormat="1" ht="15" customHeight="1"/>
    <row r="212" spans="4:54" ht="15" customHeight="1">
      <c r="E212" s="83" t="s">
        <v>332</v>
      </c>
    </row>
    <row r="213" spans="4:54" ht="15" customHeight="1">
      <c r="E213" s="19" t="s">
        <v>333</v>
      </c>
      <c r="G213" s="19" t="s">
        <v>139</v>
      </c>
      <c r="I213" s="47"/>
    </row>
    <row r="214" spans="4:54" ht="15" customHeight="1">
      <c r="E214" s="19" t="s">
        <v>334</v>
      </c>
      <c r="G214" s="5" t="str">
        <f>base_year</f>
        <v>£m 2020</v>
      </c>
      <c r="I214" s="122"/>
    </row>
    <row r="215" spans="4:54" ht="15" customHeight="1">
      <c r="E215" s="19" t="s">
        <v>335</v>
      </c>
      <c r="G215" s="5" t="str">
        <f>base_year</f>
        <v>£m 2020</v>
      </c>
      <c r="I215" s="122"/>
    </row>
    <row r="216" spans="4:54" ht="15" customHeight="1">
      <c r="E216" s="19" t="s">
        <v>336</v>
      </c>
      <c r="G216" s="5" t="str">
        <f>base_year</f>
        <v>£m 2020</v>
      </c>
      <c r="I216" s="122"/>
    </row>
    <row r="217" spans="4:54" ht="15" customHeight="1">
      <c r="G217" s="5"/>
      <c r="I217" s="82"/>
    </row>
    <row r="218" spans="4:54" ht="15" customHeight="1">
      <c r="E218" s="83" t="s">
        <v>337</v>
      </c>
    </row>
    <row r="219" spans="4:54" ht="15" customHeight="1">
      <c r="E219" s="19" t="s">
        <v>333</v>
      </c>
      <c r="G219" s="19" t="s">
        <v>139</v>
      </c>
      <c r="I219" s="47"/>
    </row>
    <row r="220" spans="4:54" ht="15" customHeight="1">
      <c r="E220" s="19" t="s">
        <v>334</v>
      </c>
      <c r="G220" s="5" t="str">
        <f>base_year</f>
        <v>£m 2020</v>
      </c>
      <c r="I220" s="122"/>
    </row>
    <row r="221" spans="4:54" ht="15" customHeight="1">
      <c r="E221" s="19" t="s">
        <v>335</v>
      </c>
      <c r="G221" s="5" t="str">
        <f>base_year</f>
        <v>£m 2020</v>
      </c>
      <c r="I221" s="122"/>
    </row>
    <row r="222" spans="4:54" ht="15" customHeight="1">
      <c r="E222" s="19" t="s">
        <v>336</v>
      </c>
      <c r="G222" s="5" t="str">
        <f>base_year</f>
        <v>£m 2020</v>
      </c>
      <c r="I222" s="122"/>
    </row>
    <row r="223" spans="4:54" ht="15" customHeight="1">
      <c r="G223" s="5"/>
      <c r="I223" s="82"/>
    </row>
    <row r="224" spans="4:54" ht="15" customHeight="1">
      <c r="E224" s="83" t="s">
        <v>338</v>
      </c>
    </row>
    <row r="225" spans="5:54" ht="15" customHeight="1">
      <c r="E225" s="19" t="s">
        <v>333</v>
      </c>
      <c r="G225" s="19" t="s">
        <v>139</v>
      </c>
      <c r="I225" s="47"/>
    </row>
    <row r="226" spans="5:54" ht="15" customHeight="1">
      <c r="E226" s="19" t="s">
        <v>334</v>
      </c>
      <c r="G226" s="5" t="str">
        <f>base_year</f>
        <v>£m 2020</v>
      </c>
      <c r="I226" s="122"/>
    </row>
    <row r="227" spans="5:54" ht="15" customHeight="1">
      <c r="E227" s="19" t="s">
        <v>335</v>
      </c>
      <c r="G227" s="5" t="str">
        <f>base_year</f>
        <v>£m 2020</v>
      </c>
      <c r="I227" s="122"/>
    </row>
    <row r="228" spans="5:54" ht="15" customHeight="1">
      <c r="E228" s="19" t="s">
        <v>336</v>
      </c>
      <c r="G228" s="5" t="str">
        <f>base_year</f>
        <v>£m 2020</v>
      </c>
      <c r="I228" s="122"/>
    </row>
    <row r="229" spans="5:54" ht="15" customHeight="1">
      <c r="G229" s="5"/>
      <c r="I229" s="82"/>
    </row>
    <row r="230" spans="5:54" ht="15" customHeight="1">
      <c r="E230" s="83" t="s">
        <v>339</v>
      </c>
    </row>
    <row r="231" spans="5:54" ht="15" customHeight="1">
      <c r="E231" s="19" t="s">
        <v>333</v>
      </c>
      <c r="G231" s="19" t="s">
        <v>139</v>
      </c>
      <c r="I231" s="47"/>
    </row>
    <row r="232" spans="5:54" ht="15" customHeight="1">
      <c r="E232" s="19" t="s">
        <v>334</v>
      </c>
      <c r="G232" s="5" t="str">
        <f>base_year</f>
        <v>£m 2020</v>
      </c>
      <c r="I232" s="122"/>
    </row>
    <row r="233" spans="5:54" ht="15" customHeight="1">
      <c r="E233" s="19" t="s">
        <v>335</v>
      </c>
      <c r="G233" s="5" t="str">
        <f>base_year</f>
        <v>£m 2020</v>
      </c>
      <c r="I233" s="122"/>
    </row>
    <row r="234" spans="5:54" ht="15" customHeight="1">
      <c r="E234" s="19" t="s">
        <v>336</v>
      </c>
      <c r="G234" s="5" t="str">
        <f>base_year</f>
        <v>£m 2020</v>
      </c>
      <c r="I234" s="122"/>
    </row>
    <row r="235" spans="5:54" ht="15" customHeight="1">
      <c r="G235" s="5"/>
      <c r="I235" s="53"/>
    </row>
    <row r="236" spans="5:54" ht="15" customHeight="1">
      <c r="E236" s="19" t="s">
        <v>340</v>
      </c>
      <c r="G236" s="19" t="s">
        <v>139</v>
      </c>
      <c r="I236" s="39">
        <f>MAX(I231,I225,I219,I213)</f>
        <v>0</v>
      </c>
    </row>
    <row r="237" spans="5:54" ht="15" customHeight="1">
      <c r="G237" s="5"/>
      <c r="I237" s="53"/>
    </row>
    <row r="238" spans="5:54" ht="15" customHeight="1">
      <c r="E238" s="83" t="s">
        <v>341</v>
      </c>
      <c r="G238" s="5"/>
      <c r="H238" s="68" t="s">
        <v>342</v>
      </c>
      <c r="I238" s="54" t="s">
        <v>343</v>
      </c>
    </row>
    <row r="239" spans="5:54" ht="15" customHeight="1">
      <c r="E239" s="19" t="s">
        <v>344</v>
      </c>
      <c r="G239" s="19" t="s">
        <v>193</v>
      </c>
      <c r="H239" s="39" t="str">
        <f>IF(I213="","",I213)</f>
        <v/>
      </c>
      <c r="I239" s="39" t="str">
        <f>IF(H239="","",IF(H240="",$I$201-1,H240-1))</f>
        <v/>
      </c>
      <c r="O239" s="31"/>
      <c r="P239" s="173">
        <f t="shared" ref="P239:BB239" si="32">IF(OR($H239&gt;P$4,$I239&lt;=O$4),0,IF(AND($H239&lt;=O$4,$I239&gt;=P$4,Q$68=1),($I239-P$3)/365.25,IF(AND($H239&lt;=O$4,$I239&gt;=P$4),1,IF(AND($H239&lt;=O$4,$I239&lt;P$4,P$68=0),($I239-O$4)/365.25,IF(AND($H239&lt;=P$4,$I239&gt;=P$4,Q$68=1),($I239-$H239+1)/365.25,IF(AND($H239&lt;=P$4,$I239&gt;=P$4),(P$4-$H239+1)/365.25,IF(AND($H239&lt;=P$4,$I239&lt;P$4,P$68=0),($I239-$H239+1)/365.25,0)))))))</f>
        <v>0</v>
      </c>
      <c r="Q239" s="173">
        <f t="shared" si="32"/>
        <v>0</v>
      </c>
      <c r="R239" s="173">
        <f t="shared" si="32"/>
        <v>0</v>
      </c>
      <c r="S239" s="173">
        <f t="shared" si="32"/>
        <v>0</v>
      </c>
      <c r="T239" s="173">
        <f t="shared" si="32"/>
        <v>0</v>
      </c>
      <c r="U239" s="173">
        <f t="shared" si="32"/>
        <v>0</v>
      </c>
      <c r="V239" s="173">
        <f t="shared" si="32"/>
        <v>0</v>
      </c>
      <c r="W239" s="173">
        <f t="shared" si="32"/>
        <v>0</v>
      </c>
      <c r="X239" s="173">
        <f t="shared" si="32"/>
        <v>0</v>
      </c>
      <c r="Y239" s="173">
        <f t="shared" si="32"/>
        <v>0</v>
      </c>
      <c r="Z239" s="173">
        <f t="shared" si="32"/>
        <v>0</v>
      </c>
      <c r="AA239" s="173">
        <f t="shared" si="32"/>
        <v>0</v>
      </c>
      <c r="AB239" s="173">
        <f t="shared" si="32"/>
        <v>0</v>
      </c>
      <c r="AC239" s="173">
        <f t="shared" si="32"/>
        <v>0</v>
      </c>
      <c r="AD239" s="173">
        <f t="shared" si="32"/>
        <v>0</v>
      </c>
      <c r="AE239" s="173">
        <f t="shared" si="32"/>
        <v>0</v>
      </c>
      <c r="AF239" s="173">
        <f t="shared" si="32"/>
        <v>0</v>
      </c>
      <c r="AG239" s="173">
        <f t="shared" si="32"/>
        <v>0</v>
      </c>
      <c r="AH239" s="173">
        <f t="shared" si="32"/>
        <v>0</v>
      </c>
      <c r="AI239" s="173">
        <f t="shared" si="32"/>
        <v>0</v>
      </c>
      <c r="AJ239" s="173">
        <f t="shared" si="32"/>
        <v>0</v>
      </c>
      <c r="AK239" s="173">
        <f t="shared" si="32"/>
        <v>0</v>
      </c>
      <c r="AL239" s="173">
        <f t="shared" si="32"/>
        <v>0</v>
      </c>
      <c r="AM239" s="173">
        <f t="shared" si="32"/>
        <v>0</v>
      </c>
      <c r="AN239" s="173">
        <f t="shared" si="32"/>
        <v>0</v>
      </c>
      <c r="AO239" s="173">
        <f t="shared" si="32"/>
        <v>0</v>
      </c>
      <c r="AP239" s="173">
        <f t="shared" si="32"/>
        <v>0</v>
      </c>
      <c r="AQ239" s="173">
        <f t="shared" si="32"/>
        <v>0</v>
      </c>
      <c r="AR239" s="173">
        <f t="shared" si="32"/>
        <v>0</v>
      </c>
      <c r="AS239" s="173">
        <f t="shared" si="32"/>
        <v>0</v>
      </c>
      <c r="AT239" s="173">
        <f t="shared" si="32"/>
        <v>0</v>
      </c>
      <c r="AU239" s="173">
        <f t="shared" si="32"/>
        <v>0</v>
      </c>
      <c r="AV239" s="173">
        <f t="shared" si="32"/>
        <v>0</v>
      </c>
      <c r="AW239" s="173">
        <f t="shared" si="32"/>
        <v>0</v>
      </c>
      <c r="AX239" s="173">
        <f t="shared" si="32"/>
        <v>0</v>
      </c>
      <c r="AY239" s="173">
        <f t="shared" si="32"/>
        <v>0</v>
      </c>
      <c r="AZ239" s="173">
        <f t="shared" si="32"/>
        <v>0</v>
      </c>
      <c r="BA239" s="173">
        <f t="shared" si="32"/>
        <v>0</v>
      </c>
      <c r="BB239" s="173">
        <f t="shared" si="32"/>
        <v>0</v>
      </c>
    </row>
    <row r="240" spans="5:54" ht="15" customHeight="1">
      <c r="E240" s="19" t="s">
        <v>345</v>
      </c>
      <c r="G240" s="19" t="s">
        <v>193</v>
      </c>
      <c r="H240" s="39" t="str">
        <f>IF(I219="","",I219)</f>
        <v/>
      </c>
      <c r="I240" s="39" t="str">
        <f>IF(H240="","",IF(H241="",$I$201-1,H241-1))</f>
        <v/>
      </c>
      <c r="O240" s="31"/>
      <c r="P240" s="173">
        <f t="shared" ref="P240:BB240" si="33">IF(OR($H240&gt;P$4,$I240&lt;=O$4),0,IF(AND($H240&lt;=O$4,$I240&gt;=P$4,Q$68=1),($I240-P$3)/365.25,IF(AND($H240&lt;=O$4,$I240&gt;=P$4),1,IF(AND($H240&lt;=O$4,$I240&lt;P$4,P$68=0),($I240-O$4)/365.25,IF(AND($H240&lt;=P$4,$I240&gt;=P$4,Q$68=1),($I240-$H240+1)/365.25,IF(AND($H240&lt;=P$4,$I240&gt;=P$4),(P$4-$H240+1)/365.25,IF(AND($H240&lt;=P$4,$I240&lt;P$4,P$68=0),($I240-$H240+1)/365.25,0)))))))</f>
        <v>0</v>
      </c>
      <c r="Q240" s="173">
        <f t="shared" si="33"/>
        <v>0</v>
      </c>
      <c r="R240" s="173">
        <f t="shared" si="33"/>
        <v>0</v>
      </c>
      <c r="S240" s="173">
        <f t="shared" si="33"/>
        <v>0</v>
      </c>
      <c r="T240" s="173">
        <f t="shared" si="33"/>
        <v>0</v>
      </c>
      <c r="U240" s="173">
        <f t="shared" si="33"/>
        <v>0</v>
      </c>
      <c r="V240" s="173">
        <f t="shared" si="33"/>
        <v>0</v>
      </c>
      <c r="W240" s="173">
        <f t="shared" si="33"/>
        <v>0</v>
      </c>
      <c r="X240" s="173">
        <f t="shared" si="33"/>
        <v>0</v>
      </c>
      <c r="Y240" s="173">
        <f t="shared" si="33"/>
        <v>0</v>
      </c>
      <c r="Z240" s="173">
        <f t="shared" si="33"/>
        <v>0</v>
      </c>
      <c r="AA240" s="173">
        <f t="shared" si="33"/>
        <v>0</v>
      </c>
      <c r="AB240" s="173">
        <f t="shared" si="33"/>
        <v>0</v>
      </c>
      <c r="AC240" s="173">
        <f t="shared" si="33"/>
        <v>0</v>
      </c>
      <c r="AD240" s="173">
        <f t="shared" si="33"/>
        <v>0</v>
      </c>
      <c r="AE240" s="173">
        <f t="shared" si="33"/>
        <v>0</v>
      </c>
      <c r="AF240" s="173">
        <f t="shared" si="33"/>
        <v>0</v>
      </c>
      <c r="AG240" s="173">
        <f t="shared" si="33"/>
        <v>0</v>
      </c>
      <c r="AH240" s="173">
        <f t="shared" si="33"/>
        <v>0</v>
      </c>
      <c r="AI240" s="173">
        <f t="shared" si="33"/>
        <v>0</v>
      </c>
      <c r="AJ240" s="173">
        <f t="shared" si="33"/>
        <v>0</v>
      </c>
      <c r="AK240" s="173">
        <f t="shared" si="33"/>
        <v>0</v>
      </c>
      <c r="AL240" s="173">
        <f t="shared" si="33"/>
        <v>0</v>
      </c>
      <c r="AM240" s="173">
        <f t="shared" si="33"/>
        <v>0</v>
      </c>
      <c r="AN240" s="173">
        <f t="shared" si="33"/>
        <v>0</v>
      </c>
      <c r="AO240" s="173">
        <f t="shared" si="33"/>
        <v>0</v>
      </c>
      <c r="AP240" s="173">
        <f t="shared" si="33"/>
        <v>0</v>
      </c>
      <c r="AQ240" s="173">
        <f t="shared" si="33"/>
        <v>0</v>
      </c>
      <c r="AR240" s="173">
        <f t="shared" si="33"/>
        <v>0</v>
      </c>
      <c r="AS240" s="173">
        <f t="shared" si="33"/>
        <v>0</v>
      </c>
      <c r="AT240" s="173">
        <f t="shared" si="33"/>
        <v>0</v>
      </c>
      <c r="AU240" s="173">
        <f t="shared" si="33"/>
        <v>0</v>
      </c>
      <c r="AV240" s="173">
        <f t="shared" si="33"/>
        <v>0</v>
      </c>
      <c r="AW240" s="173">
        <f t="shared" si="33"/>
        <v>0</v>
      </c>
      <c r="AX240" s="173">
        <f t="shared" si="33"/>
        <v>0</v>
      </c>
      <c r="AY240" s="173">
        <f t="shared" si="33"/>
        <v>0</v>
      </c>
      <c r="AZ240" s="173">
        <f t="shared" si="33"/>
        <v>0</v>
      </c>
      <c r="BA240" s="173">
        <f t="shared" si="33"/>
        <v>0</v>
      </c>
      <c r="BB240" s="173">
        <f t="shared" si="33"/>
        <v>0</v>
      </c>
    </row>
    <row r="241" spans="2:55" ht="15" customHeight="1">
      <c r="E241" s="19" t="s">
        <v>346</v>
      </c>
      <c r="G241" s="19" t="s">
        <v>193</v>
      </c>
      <c r="H241" s="39" t="str">
        <f>IF(I225="","",I225)</f>
        <v/>
      </c>
      <c r="I241" s="39" t="str">
        <f>IF(H241="","",IF(H242="",$I$201-1,H242-1))</f>
        <v/>
      </c>
      <c r="O241" s="31"/>
      <c r="P241" s="173">
        <f t="shared" ref="P241:BB241" si="34">IF(OR($H241&gt;P$4,$I241&lt;=O$4),0,IF(AND($H241&lt;=O$4,$I241&gt;=P$4,Q$68=1),($I241-P$3)/365.25,IF(AND($H241&lt;=O$4,$I241&gt;=P$4),1,IF(AND($H241&lt;=O$4,$I241&lt;P$4,P$68=0),($I241-O$4)/365.25,IF(AND($H241&lt;=P$4,$I241&gt;=P$4,Q$68=1),($I241-$H241+1)/365.25,IF(AND($H241&lt;=P$4,$I241&gt;=P$4),(P$4-$H241+1)/365.25,IF(AND($H241&lt;=P$4,$I241&lt;P$4,P$68=0),($I241-$H241+1)/365.25,0)))))))</f>
        <v>0</v>
      </c>
      <c r="Q241" s="173">
        <f t="shared" si="34"/>
        <v>0</v>
      </c>
      <c r="R241" s="173">
        <f t="shared" si="34"/>
        <v>0</v>
      </c>
      <c r="S241" s="173">
        <f t="shared" si="34"/>
        <v>0</v>
      </c>
      <c r="T241" s="173">
        <f t="shared" si="34"/>
        <v>0</v>
      </c>
      <c r="U241" s="173">
        <f t="shared" si="34"/>
        <v>0</v>
      </c>
      <c r="V241" s="173">
        <f t="shared" si="34"/>
        <v>0</v>
      </c>
      <c r="W241" s="173">
        <f t="shared" si="34"/>
        <v>0</v>
      </c>
      <c r="X241" s="173">
        <f t="shared" si="34"/>
        <v>0</v>
      </c>
      <c r="Y241" s="173">
        <f t="shared" si="34"/>
        <v>0</v>
      </c>
      <c r="Z241" s="173">
        <f t="shared" si="34"/>
        <v>0</v>
      </c>
      <c r="AA241" s="173">
        <f t="shared" si="34"/>
        <v>0</v>
      </c>
      <c r="AB241" s="173">
        <f t="shared" si="34"/>
        <v>0</v>
      </c>
      <c r="AC241" s="173">
        <f t="shared" si="34"/>
        <v>0</v>
      </c>
      <c r="AD241" s="173">
        <f t="shared" si="34"/>
        <v>0</v>
      </c>
      <c r="AE241" s="173">
        <f t="shared" si="34"/>
        <v>0</v>
      </c>
      <c r="AF241" s="173">
        <f t="shared" si="34"/>
        <v>0</v>
      </c>
      <c r="AG241" s="173">
        <f t="shared" si="34"/>
        <v>0</v>
      </c>
      <c r="AH241" s="173">
        <f t="shared" si="34"/>
        <v>0</v>
      </c>
      <c r="AI241" s="173">
        <f t="shared" si="34"/>
        <v>0</v>
      </c>
      <c r="AJ241" s="173">
        <f t="shared" si="34"/>
        <v>0</v>
      </c>
      <c r="AK241" s="173">
        <f t="shared" si="34"/>
        <v>0</v>
      </c>
      <c r="AL241" s="173">
        <f t="shared" si="34"/>
        <v>0</v>
      </c>
      <c r="AM241" s="173">
        <f t="shared" si="34"/>
        <v>0</v>
      </c>
      <c r="AN241" s="173">
        <f t="shared" si="34"/>
        <v>0</v>
      </c>
      <c r="AO241" s="173">
        <f t="shared" si="34"/>
        <v>0</v>
      </c>
      <c r="AP241" s="173">
        <f t="shared" si="34"/>
        <v>0</v>
      </c>
      <c r="AQ241" s="173">
        <f t="shared" si="34"/>
        <v>0</v>
      </c>
      <c r="AR241" s="173">
        <f t="shared" si="34"/>
        <v>0</v>
      </c>
      <c r="AS241" s="173">
        <f t="shared" si="34"/>
        <v>0</v>
      </c>
      <c r="AT241" s="173">
        <f t="shared" si="34"/>
        <v>0</v>
      </c>
      <c r="AU241" s="173">
        <f t="shared" si="34"/>
        <v>0</v>
      </c>
      <c r="AV241" s="173">
        <f t="shared" si="34"/>
        <v>0</v>
      </c>
      <c r="AW241" s="173">
        <f t="shared" si="34"/>
        <v>0</v>
      </c>
      <c r="AX241" s="173">
        <f t="shared" si="34"/>
        <v>0</v>
      </c>
      <c r="AY241" s="173">
        <f t="shared" si="34"/>
        <v>0</v>
      </c>
      <c r="AZ241" s="173">
        <f t="shared" si="34"/>
        <v>0</v>
      </c>
      <c r="BA241" s="173">
        <f t="shared" si="34"/>
        <v>0</v>
      </c>
      <c r="BB241" s="173">
        <f t="shared" si="34"/>
        <v>0</v>
      </c>
    </row>
    <row r="242" spans="2:55" ht="15" customHeight="1">
      <c r="E242" s="19" t="s">
        <v>347</v>
      </c>
      <c r="G242" s="19" t="s">
        <v>193</v>
      </c>
      <c r="H242" s="39" t="str">
        <f>IF(I231="","",I231)</f>
        <v/>
      </c>
      <c r="I242" s="39" t="str">
        <f>IF(H242="","",$I$201-1)</f>
        <v/>
      </c>
      <c r="O242" s="31"/>
      <c r="P242" s="173">
        <f t="shared" ref="P242:BB242" si="35">IF(OR($H242&gt;P$4,$I242&lt;=O$4),0,IF(AND($H242&lt;=O$4,$I242&gt;=P$4,Q$68=1),($I242-P$3)/365.25,IF(AND($H242&lt;=O$4,$I242&gt;=P$4),1,IF(AND($H242&lt;=O$4,$I242&lt;P$4,P$68=0),($I242-O$4)/365.25,IF(AND($H242&lt;=P$4,$I242&gt;=P$4,Q$68=1),($I242-$H242+1)/365.25,IF(AND($H242&lt;=P$4,$I242&gt;=P$4),(P$4-$H242+1)/365.25,IF(AND($H242&lt;=P$4,$I242&lt;P$4,P$68=0),($I242-$H242+1)/365.25,0)))))))</f>
        <v>0</v>
      </c>
      <c r="Q242" s="173">
        <f t="shared" si="35"/>
        <v>0</v>
      </c>
      <c r="R242" s="173">
        <f t="shared" si="35"/>
        <v>0</v>
      </c>
      <c r="S242" s="173">
        <f t="shared" si="35"/>
        <v>0</v>
      </c>
      <c r="T242" s="173">
        <f t="shared" si="35"/>
        <v>0</v>
      </c>
      <c r="U242" s="173">
        <f t="shared" si="35"/>
        <v>0</v>
      </c>
      <c r="V242" s="173">
        <f t="shared" si="35"/>
        <v>0</v>
      </c>
      <c r="W242" s="173">
        <f t="shared" si="35"/>
        <v>0</v>
      </c>
      <c r="X242" s="173">
        <f t="shared" si="35"/>
        <v>0</v>
      </c>
      <c r="Y242" s="173">
        <f t="shared" si="35"/>
        <v>0</v>
      </c>
      <c r="Z242" s="173">
        <f t="shared" si="35"/>
        <v>0</v>
      </c>
      <c r="AA242" s="173">
        <f t="shared" si="35"/>
        <v>0</v>
      </c>
      <c r="AB242" s="173">
        <f t="shared" si="35"/>
        <v>0</v>
      </c>
      <c r="AC242" s="173">
        <f t="shared" si="35"/>
        <v>0</v>
      </c>
      <c r="AD242" s="173">
        <f t="shared" si="35"/>
        <v>0</v>
      </c>
      <c r="AE242" s="173">
        <f t="shared" si="35"/>
        <v>0</v>
      </c>
      <c r="AF242" s="173">
        <f t="shared" si="35"/>
        <v>0</v>
      </c>
      <c r="AG242" s="173">
        <f t="shared" si="35"/>
        <v>0</v>
      </c>
      <c r="AH242" s="173">
        <f t="shared" si="35"/>
        <v>0</v>
      </c>
      <c r="AI242" s="173">
        <f t="shared" si="35"/>
        <v>0</v>
      </c>
      <c r="AJ242" s="173">
        <f t="shared" si="35"/>
        <v>0</v>
      </c>
      <c r="AK242" s="173">
        <f t="shared" si="35"/>
        <v>0</v>
      </c>
      <c r="AL242" s="173">
        <f t="shared" si="35"/>
        <v>0</v>
      </c>
      <c r="AM242" s="173">
        <f t="shared" si="35"/>
        <v>0</v>
      </c>
      <c r="AN242" s="173">
        <f t="shared" si="35"/>
        <v>0</v>
      </c>
      <c r="AO242" s="173">
        <f t="shared" si="35"/>
        <v>0</v>
      </c>
      <c r="AP242" s="173">
        <f t="shared" si="35"/>
        <v>0</v>
      </c>
      <c r="AQ242" s="173">
        <f t="shared" si="35"/>
        <v>0</v>
      </c>
      <c r="AR242" s="173">
        <f t="shared" si="35"/>
        <v>0</v>
      </c>
      <c r="AS242" s="173">
        <f t="shared" si="35"/>
        <v>0</v>
      </c>
      <c r="AT242" s="173">
        <f t="shared" si="35"/>
        <v>0</v>
      </c>
      <c r="AU242" s="173">
        <f t="shared" si="35"/>
        <v>0</v>
      </c>
      <c r="AV242" s="173">
        <f t="shared" si="35"/>
        <v>0</v>
      </c>
      <c r="AW242" s="173">
        <f t="shared" si="35"/>
        <v>0</v>
      </c>
      <c r="AX242" s="173">
        <f t="shared" si="35"/>
        <v>0</v>
      </c>
      <c r="AY242" s="173">
        <f t="shared" si="35"/>
        <v>0</v>
      </c>
      <c r="AZ242" s="173">
        <f t="shared" si="35"/>
        <v>0</v>
      </c>
      <c r="BA242" s="173">
        <f t="shared" si="35"/>
        <v>0</v>
      </c>
      <c r="BB242" s="173">
        <f t="shared" si="35"/>
        <v>0</v>
      </c>
    </row>
    <row r="243" spans="2:55" ht="15" customHeight="1">
      <c r="G243" s="5"/>
      <c r="I243" s="53"/>
    </row>
    <row r="244" spans="2:55" ht="15" customHeight="1">
      <c r="C244" s="38" t="s">
        <v>41</v>
      </c>
      <c r="D244" s="40"/>
      <c r="E244" s="40"/>
      <c r="F244" s="40"/>
      <c r="G244" s="40"/>
      <c r="H244" s="40"/>
      <c r="I244" s="40"/>
      <c r="J244" s="40"/>
      <c r="K244" s="40"/>
      <c r="L244" s="40"/>
      <c r="M244" s="40"/>
      <c r="N244" s="40"/>
      <c r="O244" s="40"/>
      <c r="P244" s="40"/>
      <c r="Q244" s="40"/>
      <c r="R244" s="40"/>
      <c r="S244" s="40"/>
      <c r="T244" s="40"/>
      <c r="U244" s="40"/>
      <c r="V244" s="40"/>
      <c r="W244" s="40"/>
      <c r="X244" s="40"/>
      <c r="Y244" s="40"/>
      <c r="Z244" s="40"/>
      <c r="AA244" s="40"/>
      <c r="AB244" s="40"/>
      <c r="AC244" s="40"/>
      <c r="AD244" s="40"/>
      <c r="AE244" s="40"/>
      <c r="AF244" s="40"/>
      <c r="AG244" s="40"/>
      <c r="AH244" s="40"/>
      <c r="AI244" s="40"/>
      <c r="AJ244" s="40"/>
      <c r="AK244" s="40"/>
      <c r="AL244" s="40"/>
      <c r="AM244" s="40"/>
      <c r="AN244" s="40"/>
      <c r="AO244" s="40"/>
      <c r="AP244" s="40"/>
      <c r="AQ244" s="40"/>
      <c r="AR244" s="40"/>
      <c r="AS244" s="40"/>
      <c r="AT244" s="40"/>
      <c r="AU244" s="40"/>
      <c r="AV244" s="40"/>
      <c r="AW244" s="40"/>
      <c r="AX244" s="40"/>
      <c r="AY244" s="40"/>
      <c r="AZ244" s="40"/>
      <c r="BA244" s="40"/>
      <c r="BB244" s="40"/>
    </row>
    <row r="245" spans="2:55" ht="15" customHeight="1">
      <c r="C245" s="5"/>
      <c r="D245" s="5"/>
      <c r="E245" s="5"/>
      <c r="F245" s="5"/>
      <c r="G245" s="5"/>
      <c r="H245" s="5"/>
      <c r="I245" s="5"/>
      <c r="J245" s="5"/>
      <c r="K245" s="5"/>
      <c r="L245" s="5"/>
      <c r="M245" s="5"/>
      <c r="N245" s="5"/>
      <c r="O245" s="5"/>
      <c r="P245" s="5"/>
      <c r="Q245" s="5"/>
      <c r="R245" s="5"/>
      <c r="S245" s="5"/>
      <c r="T245" s="5"/>
      <c r="U245" s="5"/>
      <c r="V245" s="5"/>
      <c r="W245" s="5"/>
      <c r="X245" s="5"/>
      <c r="Y245" s="5"/>
      <c r="Z245" s="5"/>
      <c r="AA245" s="5"/>
      <c r="AB245" s="5"/>
      <c r="AC245" s="5"/>
      <c r="AD245" s="5"/>
      <c r="AE245" s="5"/>
      <c r="AF245" s="5"/>
      <c r="AG245" s="5"/>
      <c r="AH245" s="5"/>
      <c r="AI245" s="5"/>
      <c r="AJ245" s="5"/>
      <c r="AK245" s="5"/>
      <c r="AL245" s="5"/>
      <c r="AM245" s="5"/>
      <c r="AN245" s="5"/>
      <c r="AO245" s="5"/>
      <c r="AP245" s="5"/>
      <c r="AQ245" s="5"/>
      <c r="AR245" s="5"/>
      <c r="AS245" s="5"/>
      <c r="AT245" s="5"/>
      <c r="AU245" s="5"/>
      <c r="AV245" s="5"/>
      <c r="AW245" s="5"/>
      <c r="AX245" s="5"/>
      <c r="AY245" s="5"/>
      <c r="AZ245" s="5"/>
      <c r="BA245" s="5"/>
      <c r="BB245" s="5"/>
    </row>
    <row r="246" spans="2:55" s="30" customFormat="1" ht="15" customHeight="1">
      <c r="C246" s="136"/>
      <c r="D246" s="136"/>
      <c r="E246" s="136" t="s">
        <v>348</v>
      </c>
      <c r="F246" s="136"/>
      <c r="G246" s="136" t="s">
        <v>196</v>
      </c>
      <c r="H246" s="136"/>
      <c r="I246" s="136"/>
      <c r="J246" s="136"/>
      <c r="K246" s="136"/>
      <c r="L246" s="136"/>
      <c r="M246" s="136"/>
      <c r="N246" s="136"/>
      <c r="O246" s="136" t="b">
        <f t="shared" ref="O246:BB246" si="36">IF(AND(O5&gt;0,O5&lt;=op_years),TRUE,SUM(O40:O42,O91:O92,O96:O103,O106:O108,O111,O117,O139:O140,O142:O143,O145,O189,O204)=0)</f>
        <v>1</v>
      </c>
      <c r="P246" s="136" t="b">
        <f t="shared" si="36"/>
        <v>1</v>
      </c>
      <c r="Q246" s="136" t="b">
        <f t="shared" si="36"/>
        <v>1</v>
      </c>
      <c r="R246" s="136" t="b">
        <f t="shared" si="36"/>
        <v>1</v>
      </c>
      <c r="S246" s="136" t="b">
        <f t="shared" si="36"/>
        <v>1</v>
      </c>
      <c r="T246" s="136" t="b">
        <f t="shared" si="36"/>
        <v>1</v>
      </c>
      <c r="U246" s="136" t="b">
        <f t="shared" si="36"/>
        <v>1</v>
      </c>
      <c r="V246" s="136" t="b">
        <f t="shared" si="36"/>
        <v>1</v>
      </c>
      <c r="W246" s="136" t="b">
        <f t="shared" si="36"/>
        <v>1</v>
      </c>
      <c r="X246" s="136" t="b">
        <f t="shared" si="36"/>
        <v>1</v>
      </c>
      <c r="Y246" s="136" t="b">
        <f t="shared" si="36"/>
        <v>1</v>
      </c>
      <c r="Z246" s="136" t="b">
        <f t="shared" si="36"/>
        <v>1</v>
      </c>
      <c r="AA246" s="136" t="b">
        <f t="shared" si="36"/>
        <v>1</v>
      </c>
      <c r="AB246" s="136" t="b">
        <f t="shared" si="36"/>
        <v>1</v>
      </c>
      <c r="AC246" s="136" t="b">
        <f t="shared" si="36"/>
        <v>1</v>
      </c>
      <c r="AD246" s="136" t="b">
        <f t="shared" si="36"/>
        <v>1</v>
      </c>
      <c r="AE246" s="136" t="b">
        <f t="shared" si="36"/>
        <v>1</v>
      </c>
      <c r="AF246" s="136" t="b">
        <f t="shared" si="36"/>
        <v>1</v>
      </c>
      <c r="AG246" s="136" t="b">
        <f t="shared" si="36"/>
        <v>1</v>
      </c>
      <c r="AH246" s="136" t="b">
        <f t="shared" si="36"/>
        <v>1</v>
      </c>
      <c r="AI246" s="136" t="b">
        <f t="shared" si="36"/>
        <v>1</v>
      </c>
      <c r="AJ246" s="136" t="b">
        <f t="shared" si="36"/>
        <v>1</v>
      </c>
      <c r="AK246" s="136" t="b">
        <f t="shared" si="36"/>
        <v>1</v>
      </c>
      <c r="AL246" s="136" t="b">
        <f t="shared" si="36"/>
        <v>1</v>
      </c>
      <c r="AM246" s="136" t="b">
        <f t="shared" si="36"/>
        <v>1</v>
      </c>
      <c r="AN246" s="136" t="b">
        <f t="shared" si="36"/>
        <v>1</v>
      </c>
      <c r="AO246" s="136" t="b">
        <f>IF(AND(AO5&gt;0,AO5&lt;=op_years),TRUE,SUM(AO40:AO42,AO91:AO92,AO96:AO103,AO106:AO108,AO111,AO117,AO139:AO140,AO142:AO143,AO145,AO189,AO204)=0)</f>
        <v>1</v>
      </c>
      <c r="AP246" s="136" t="b">
        <f t="shared" si="36"/>
        <v>1</v>
      </c>
      <c r="AQ246" s="136" t="b">
        <f t="shared" si="36"/>
        <v>1</v>
      </c>
      <c r="AR246" s="136" t="b">
        <f t="shared" si="36"/>
        <v>1</v>
      </c>
      <c r="AS246" s="136" t="b">
        <f t="shared" si="36"/>
        <v>1</v>
      </c>
      <c r="AT246" s="136" t="b">
        <f t="shared" si="36"/>
        <v>1</v>
      </c>
      <c r="AU246" s="136" t="b">
        <f t="shared" si="36"/>
        <v>1</v>
      </c>
      <c r="AV246" s="136" t="b">
        <f t="shared" si="36"/>
        <v>1</v>
      </c>
      <c r="AW246" s="136" t="b">
        <f t="shared" si="36"/>
        <v>1</v>
      </c>
      <c r="AX246" s="136" t="b">
        <f t="shared" si="36"/>
        <v>1</v>
      </c>
      <c r="AY246" s="136" t="b">
        <f t="shared" si="36"/>
        <v>1</v>
      </c>
      <c r="AZ246" s="136" t="b">
        <f t="shared" si="36"/>
        <v>1</v>
      </c>
      <c r="BA246" s="136" t="b">
        <f t="shared" si="36"/>
        <v>1</v>
      </c>
      <c r="BB246" s="136" t="b">
        <f t="shared" si="36"/>
        <v>1</v>
      </c>
    </row>
    <row r="247" spans="2:55" s="30" customFormat="1" ht="15" customHeight="1">
      <c r="C247" s="136"/>
      <c r="D247" s="136"/>
      <c r="E247" s="136" t="s">
        <v>349</v>
      </c>
      <c r="F247" s="136"/>
      <c r="G247" s="136" t="s">
        <v>196</v>
      </c>
      <c r="H247" s="136"/>
      <c r="I247" s="182" t="b">
        <f>SUM(O247:BB247)=0</f>
        <v>1</v>
      </c>
      <c r="J247" s="136"/>
      <c r="K247" s="136"/>
      <c r="L247" s="136"/>
      <c r="M247" s="136"/>
      <c r="N247" s="136"/>
      <c r="O247" s="137">
        <f>IF(O246=TRUE,0,1)</f>
        <v>0</v>
      </c>
      <c r="P247" s="137">
        <f t="shared" ref="P247:BB247" si="37">IF(P246=TRUE,0,1)</f>
        <v>0</v>
      </c>
      <c r="Q247" s="137">
        <f t="shared" si="37"/>
        <v>0</v>
      </c>
      <c r="R247" s="137">
        <f t="shared" si="37"/>
        <v>0</v>
      </c>
      <c r="S247" s="137">
        <f t="shared" si="37"/>
        <v>0</v>
      </c>
      <c r="T247" s="137">
        <f t="shared" si="37"/>
        <v>0</v>
      </c>
      <c r="U247" s="137">
        <f t="shared" si="37"/>
        <v>0</v>
      </c>
      <c r="V247" s="137">
        <f t="shared" si="37"/>
        <v>0</v>
      </c>
      <c r="W247" s="137">
        <f t="shared" si="37"/>
        <v>0</v>
      </c>
      <c r="X247" s="137">
        <f t="shared" si="37"/>
        <v>0</v>
      </c>
      <c r="Y247" s="137">
        <f t="shared" si="37"/>
        <v>0</v>
      </c>
      <c r="Z247" s="137">
        <f t="shared" si="37"/>
        <v>0</v>
      </c>
      <c r="AA247" s="137">
        <f t="shared" si="37"/>
        <v>0</v>
      </c>
      <c r="AB247" s="137">
        <f t="shared" si="37"/>
        <v>0</v>
      </c>
      <c r="AC247" s="137">
        <f t="shared" si="37"/>
        <v>0</v>
      </c>
      <c r="AD247" s="137">
        <f t="shared" si="37"/>
        <v>0</v>
      </c>
      <c r="AE247" s="137">
        <f t="shared" si="37"/>
        <v>0</v>
      </c>
      <c r="AF247" s="137">
        <f t="shared" si="37"/>
        <v>0</v>
      </c>
      <c r="AG247" s="137">
        <f t="shared" si="37"/>
        <v>0</v>
      </c>
      <c r="AH247" s="137">
        <f t="shared" si="37"/>
        <v>0</v>
      </c>
      <c r="AI247" s="137">
        <f t="shared" si="37"/>
        <v>0</v>
      </c>
      <c r="AJ247" s="137">
        <f t="shared" si="37"/>
        <v>0</v>
      </c>
      <c r="AK247" s="137">
        <f t="shared" si="37"/>
        <v>0</v>
      </c>
      <c r="AL247" s="137">
        <f t="shared" si="37"/>
        <v>0</v>
      </c>
      <c r="AM247" s="137">
        <f t="shared" si="37"/>
        <v>0</v>
      </c>
      <c r="AN247" s="137">
        <f t="shared" si="37"/>
        <v>0</v>
      </c>
      <c r="AO247" s="137">
        <f>IF(AO246=TRUE,0,1)</f>
        <v>0</v>
      </c>
      <c r="AP247" s="137">
        <f t="shared" si="37"/>
        <v>0</v>
      </c>
      <c r="AQ247" s="137">
        <f t="shared" si="37"/>
        <v>0</v>
      </c>
      <c r="AR247" s="137">
        <f t="shared" si="37"/>
        <v>0</v>
      </c>
      <c r="AS247" s="137">
        <f t="shared" si="37"/>
        <v>0</v>
      </c>
      <c r="AT247" s="137">
        <f t="shared" si="37"/>
        <v>0</v>
      </c>
      <c r="AU247" s="137">
        <f t="shared" si="37"/>
        <v>0</v>
      </c>
      <c r="AV247" s="137">
        <f t="shared" si="37"/>
        <v>0</v>
      </c>
      <c r="AW247" s="137">
        <f t="shared" si="37"/>
        <v>0</v>
      </c>
      <c r="AX247" s="137">
        <f t="shared" si="37"/>
        <v>0</v>
      </c>
      <c r="AY247" s="137">
        <f t="shared" si="37"/>
        <v>0</v>
      </c>
      <c r="AZ247" s="137">
        <f t="shared" si="37"/>
        <v>0</v>
      </c>
      <c r="BA247" s="137">
        <f t="shared" si="37"/>
        <v>0</v>
      </c>
      <c r="BB247" s="137">
        <f t="shared" si="37"/>
        <v>0</v>
      </c>
    </row>
    <row r="248" spans="2:55" ht="15" customHeight="1">
      <c r="G248" s="5"/>
      <c r="I248" s="53"/>
    </row>
    <row r="249" spans="2:55" ht="15" customHeight="1">
      <c r="B249" s="166" t="s">
        <v>46</v>
      </c>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c r="AA249" s="34"/>
      <c r="AB249" s="34"/>
      <c r="AC249" s="34"/>
      <c r="AD249" s="34"/>
      <c r="AE249" s="34"/>
      <c r="AF249" s="34"/>
      <c r="AG249" s="34"/>
      <c r="AH249" s="34"/>
      <c r="AI249" s="34"/>
      <c r="AJ249" s="34"/>
      <c r="AK249" s="34"/>
      <c r="AL249" s="34"/>
      <c r="AM249" s="34"/>
      <c r="AN249" s="34"/>
      <c r="AO249" s="34"/>
      <c r="AP249" s="34"/>
      <c r="AQ249" s="34"/>
      <c r="AR249" s="34"/>
      <c r="AS249" s="34"/>
      <c r="AT249" s="34"/>
      <c r="AU249" s="34"/>
      <c r="AV249" s="34"/>
      <c r="AW249" s="34"/>
      <c r="AX249" s="34"/>
      <c r="AY249" s="34"/>
      <c r="AZ249" s="34"/>
      <c r="BA249" s="34"/>
      <c r="BB249" s="34"/>
      <c r="BC249" s="5"/>
    </row>
    <row r="250" spans="2:55" ht="15" customHeight="1"/>
    <row r="252" spans="2:55" ht="15" customHeight="1"/>
    <row r="253" spans="2:55" ht="15" customHeight="1"/>
  </sheetData>
  <dataValidations count="10">
    <dataValidation type="list" allowBlank="1" showInputMessage="1" showErrorMessage="1" sqref="I177 I183 I197:I198 I203 I205" xr:uid="{72A6FE54-FD1A-4DDF-8549-44B5F9B1BAD7}">
      <formula1>"Yes,No"</formula1>
    </dataValidation>
    <dataValidation type="date" operator="greaterThanOrEqual" allowBlank="1" showInputMessage="1" showErrorMessage="1" sqref="I74" xr:uid="{0C9F7B1C-0336-4A02-BAAC-7E1401034140}">
      <formula1>I61</formula1>
    </dataValidation>
    <dataValidation type="date" operator="greaterThan" allowBlank="1" showInputMessage="1" showErrorMessage="1" sqref="I219 I231 I225" xr:uid="{602509CF-4D1F-4689-8592-5E6D93EA1EA6}">
      <formula1>I213</formula1>
    </dataValidation>
    <dataValidation type="date" operator="greaterThanOrEqual" allowBlank="1" showInputMessage="1" showErrorMessage="1" sqref="I61:I63 E61:E63" xr:uid="{A50E1487-87AB-464C-9AB1-417F60E581C0}">
      <formula1>E149</formula1>
    </dataValidation>
    <dataValidation type="date" operator="greaterThanOrEqual" allowBlank="1" showInputMessage="1" showErrorMessage="1" sqref="I73" xr:uid="{903EA6E2-D19B-4ADA-9C93-10BB98E4DC4D}">
      <formula1>I61</formula1>
    </dataValidation>
    <dataValidation type="date" operator="greaterThan" allowBlank="1" showInputMessage="1" showErrorMessage="1" sqref="I201" xr:uid="{3E1C30B8-2DE3-4B40-B951-5F3F8DB63FC2}">
      <formula1>I50</formula1>
    </dataValidation>
    <dataValidation type="date" operator="greaterThanOrEqual" allowBlank="1" showInputMessage="1" showErrorMessage="1" sqref="I174" xr:uid="{CD43FFC1-949A-4D2E-B139-10280BB5AB87}">
      <formula1>I61</formula1>
    </dataValidation>
    <dataValidation type="date" allowBlank="1" showInputMessage="1" showErrorMessage="1" sqref="I184" xr:uid="{53857261-ACE2-421F-8C29-8FE88D783234}">
      <formula1>I61</formula1>
      <formula2>I67</formula2>
    </dataValidation>
    <dataValidation type="list" allowBlank="1" showInputMessage="1" showErrorMessage="1" sqref="I13" xr:uid="{64B9826F-15F6-49ED-999E-7957275ACC09}">
      <formula1>"£,€"</formula1>
    </dataValidation>
    <dataValidation type="date" operator="greaterThan" allowBlank="1" showInputMessage="1" showErrorMessage="1" sqref="I213" xr:uid="{3307F8B7-1E83-413A-88ED-7422EA2541C3}">
      <formula1>I61</formula1>
    </dataValidation>
  </dataValidations>
  <pageMargins left="0.23622047244094491" right="0.23622047244094491" top="0.74803149606299213" bottom="0.74803149606299213" header="0.31496062992125984" footer="0.31496062992125984"/>
  <pageSetup paperSize="8" scale="41" fitToHeight="0" orientation="landscape" r:id="rId1"/>
  <headerFooter>
    <oddHeader>&amp;C&amp;"Aptos"&amp;10&amp;K000000 OFFICIAL&amp;1#_x000D_</oddHeader>
    <oddFooter>&amp;C_x000D_&amp;1#&amp;"Aptos"&amp;10&amp;K000000 OFFICIAL</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CC"/>
    <pageSetUpPr fitToPage="1"/>
  </sheetPr>
  <dimension ref="A1:BF158"/>
  <sheetViews>
    <sheetView zoomScaleNormal="100" workbookViewId="0">
      <pane xSplit="10" ySplit="2" topLeftCell="K3" activePane="bottomRight" state="frozen"/>
      <selection pane="bottomRight" activeCell="K3" sqref="K3"/>
      <selection pane="bottomLeft"/>
      <selection pane="topRight"/>
    </sheetView>
  </sheetViews>
  <sheetFormatPr defaultColWidth="0" defaultRowHeight="15" customHeight="1" zeroHeight="1"/>
  <cols>
    <col min="1" max="4" width="2.7109375" style="19" customWidth="1"/>
    <col min="5" max="5" width="55.85546875" style="19" bestFit="1" customWidth="1"/>
    <col min="6" max="6" width="1.7109375" style="19" customWidth="1"/>
    <col min="7" max="7" width="18.5703125" style="19" customWidth="1"/>
    <col min="8" max="8" width="19" style="19" bestFit="1" customWidth="1"/>
    <col min="9" max="9" width="17" style="19" customWidth="1"/>
    <col min="10" max="10" width="1.7109375" style="19" customWidth="1"/>
    <col min="11" max="11" width="46.85546875" style="115" bestFit="1" customWidth="1"/>
    <col min="12" max="12" width="25" style="115" customWidth="1"/>
    <col min="13" max="13" width="3" customWidth="1"/>
    <col min="14" max="14" width="1.7109375" hidden="1" customWidth="1"/>
    <col min="15" max="35" width="10.7109375" hidden="1" customWidth="1"/>
    <col min="36" max="37" width="17.42578125" hidden="1" customWidth="1"/>
    <col min="38" max="54" width="10.7109375" hidden="1" customWidth="1"/>
    <col min="55" max="55" width="2.7109375" hidden="1" customWidth="1"/>
    <col min="56" max="57" width="9" style="19" hidden="1" customWidth="1"/>
    <col min="58" max="58" width="0" style="19" hidden="1" customWidth="1"/>
    <col min="59" max="16384" width="9" style="19" hidden="1"/>
  </cols>
  <sheetData>
    <row r="1" spans="1:55" s="10" customFormat="1" ht="14.25">
      <c r="A1" s="117" t="s">
        <v>23</v>
      </c>
      <c r="H1" s="9" t="s">
        <v>122</v>
      </c>
      <c r="I1" s="110" t="s">
        <v>350</v>
      </c>
      <c r="J1" s="57"/>
      <c r="K1" s="113"/>
      <c r="L1" s="113"/>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row>
    <row r="2" spans="1:55" s="10" customFormat="1" ht="15" customHeight="1">
      <c r="E2" s="9" t="s">
        <v>123</v>
      </c>
      <c r="F2" s="9"/>
      <c r="G2" s="9" t="s">
        <v>124</v>
      </c>
      <c r="H2" s="9" t="s">
        <v>125</v>
      </c>
      <c r="I2" s="111" t="s">
        <v>351</v>
      </c>
      <c r="K2" s="112" t="s">
        <v>352</v>
      </c>
      <c r="L2" s="112" t="s">
        <v>353</v>
      </c>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row>
    <row r="3" spans="1:55" ht="15" customHeight="1">
      <c r="K3" s="114"/>
      <c r="L3" s="114"/>
    </row>
    <row r="4" spans="1:55" ht="15" customHeight="1">
      <c r="B4" s="166" t="s">
        <v>131</v>
      </c>
      <c r="C4" s="74"/>
      <c r="D4" s="74"/>
      <c r="E4" s="74"/>
      <c r="F4" s="74"/>
      <c r="G4" s="74"/>
      <c r="H4" s="74"/>
      <c r="I4" s="74"/>
      <c r="J4" s="74"/>
      <c r="K4" s="74"/>
      <c r="L4" s="74"/>
    </row>
    <row r="5" spans="1:55" ht="15" customHeight="1"/>
    <row r="6" spans="1:55" s="59" customFormat="1" ht="15" customHeight="1">
      <c r="C6" s="38" t="s">
        <v>132</v>
      </c>
      <c r="D6" s="40"/>
      <c r="E6" s="40"/>
      <c r="F6" s="40"/>
      <c r="G6" s="40"/>
      <c r="H6" s="40"/>
      <c r="I6" s="40"/>
      <c r="J6" s="40"/>
      <c r="K6" s="40"/>
      <c r="L6" s="40"/>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row>
    <row r="7" spans="1:55" ht="15" customHeight="1"/>
    <row r="8" spans="1:55" ht="15" customHeight="1">
      <c r="E8" s="19" t="str">
        <f>Inputs!E11</f>
        <v>Base year price term</v>
      </c>
      <c r="I8">
        <f>ROW(Inputs!E11)</f>
        <v>11</v>
      </c>
      <c r="K8" s="116" t="s">
        <v>354</v>
      </c>
      <c r="L8" s="116"/>
    </row>
    <row r="9" spans="1:55" ht="15" customHeight="1">
      <c r="E9" s="19" t="str">
        <f>Inputs!E13</f>
        <v>Currency of revenue and cost inputs</v>
      </c>
      <c r="I9">
        <f>ROW(Inputs!E13)</f>
        <v>13</v>
      </c>
      <c r="K9" s="116" t="s">
        <v>354</v>
      </c>
      <c r="L9" s="116"/>
    </row>
    <row r="10" spans="1:55" ht="15" customHeight="1"/>
    <row r="11" spans="1:55" s="5" customFormat="1" ht="15" customHeight="1">
      <c r="C11" s="38" t="s">
        <v>137</v>
      </c>
      <c r="D11" s="38"/>
      <c r="E11" s="38"/>
      <c r="F11" s="38"/>
      <c r="G11" s="38"/>
      <c r="H11" s="38"/>
      <c r="I11" s="38"/>
      <c r="J11" s="38"/>
      <c r="K11" s="40"/>
      <c r="L11" s="40"/>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row>
    <row r="12" spans="1:55" ht="15" customHeight="1"/>
    <row r="13" spans="1:55" ht="15" customHeight="1">
      <c r="E13" s="19" t="str">
        <f>Inputs!E17</f>
        <v>Regime start date</v>
      </c>
      <c r="G13" s="19" t="str">
        <f>Inputs!G17</f>
        <v>date</v>
      </c>
      <c r="I13">
        <f>ROW(Inputs!I17)</f>
        <v>17</v>
      </c>
      <c r="K13" s="116" t="s">
        <v>354</v>
      </c>
      <c r="L13" s="116"/>
    </row>
    <row r="14" spans="1:55" s="139" customFormat="1" ht="15" customHeight="1">
      <c r="A14" s="19"/>
      <c r="B14" s="19"/>
      <c r="C14" s="19"/>
      <c r="D14" s="19"/>
      <c r="E14" s="19" t="str">
        <f>Inputs!E18</f>
        <v>Start of year of regime start date</v>
      </c>
      <c r="F14" s="19"/>
      <c r="G14" s="19" t="str">
        <f>Inputs!G18</f>
        <v>date</v>
      </c>
      <c r="H14" s="19"/>
      <c r="I14">
        <f>ROW(Inputs!I18)</f>
        <v>18</v>
      </c>
      <c r="J14" s="19"/>
      <c r="K14" s="116" t="s">
        <v>354</v>
      </c>
      <c r="L14" s="116"/>
      <c r="M14"/>
      <c r="N14" s="140"/>
      <c r="O14" s="140"/>
      <c r="P14" s="140"/>
      <c r="Q14" s="140"/>
      <c r="R14" s="140"/>
      <c r="S14" s="140"/>
      <c r="T14" s="140"/>
      <c r="U14" s="140"/>
      <c r="V14" s="140"/>
      <c r="W14" s="140"/>
      <c r="X14" s="140"/>
      <c r="Y14" s="140"/>
      <c r="Z14" s="140"/>
      <c r="AA14" s="140"/>
      <c r="AB14" s="140"/>
      <c r="AC14" s="140"/>
      <c r="AD14" s="140"/>
      <c r="AE14" s="140"/>
      <c r="AF14" s="140"/>
      <c r="AG14" s="140"/>
      <c r="AH14" s="140"/>
      <c r="AI14" s="140"/>
      <c r="AJ14" s="140"/>
      <c r="AK14" s="140"/>
      <c r="AL14" s="140"/>
      <c r="AM14" s="140"/>
      <c r="AN14" s="140"/>
      <c r="AO14" s="140"/>
      <c r="AP14" s="140"/>
      <c r="AQ14" s="140"/>
      <c r="AR14" s="140"/>
      <c r="AS14" s="140"/>
      <c r="AT14" s="140"/>
      <c r="AU14" s="140"/>
      <c r="AV14" s="140"/>
      <c r="AW14" s="140"/>
      <c r="AX14" s="140"/>
      <c r="AY14" s="140"/>
      <c r="AZ14" s="140"/>
      <c r="BA14" s="140"/>
      <c r="BB14" s="140"/>
      <c r="BC14" s="140"/>
    </row>
    <row r="15" spans="1:55" s="139" customFormat="1" ht="15" customHeight="1">
      <c r="A15" s="19"/>
      <c r="B15" s="19"/>
      <c r="C15" s="19"/>
      <c r="D15" s="19"/>
      <c r="E15" s="19" t="str">
        <f>Inputs!E19</f>
        <v>End of year of first regime year</v>
      </c>
      <c r="F15" s="19"/>
      <c r="G15" s="19" t="str">
        <f>Inputs!G19</f>
        <v>date</v>
      </c>
      <c r="H15" s="19"/>
      <c r="I15">
        <f>ROW(Inputs!I19)</f>
        <v>19</v>
      </c>
      <c r="J15" s="19"/>
      <c r="K15" s="116" t="s">
        <v>354</v>
      </c>
      <c r="L15" s="116"/>
      <c r="M15"/>
      <c r="N15" s="140"/>
      <c r="O15" s="140"/>
      <c r="P15" s="140"/>
      <c r="Q15" s="140"/>
      <c r="R15" s="140"/>
      <c r="S15" s="140"/>
      <c r="T15" s="140"/>
      <c r="U15" s="140"/>
      <c r="V15" s="140"/>
      <c r="W15" s="140"/>
      <c r="X15" s="140"/>
      <c r="Y15" s="140"/>
      <c r="Z15" s="140"/>
      <c r="AA15" s="140"/>
      <c r="AB15" s="140"/>
      <c r="AC15" s="140"/>
      <c r="AD15" s="140"/>
      <c r="AE15" s="140"/>
      <c r="AF15" s="140"/>
      <c r="AG15" s="140"/>
      <c r="AH15" s="140"/>
      <c r="AI15" s="140"/>
      <c r="AJ15" s="140"/>
      <c r="AK15" s="140"/>
      <c r="AL15" s="140"/>
      <c r="AM15" s="140"/>
      <c r="AN15" s="140"/>
      <c r="AO15" s="140"/>
      <c r="AP15" s="140"/>
      <c r="AQ15" s="140"/>
      <c r="AR15" s="140"/>
      <c r="AS15" s="140"/>
      <c r="AT15" s="140"/>
      <c r="AU15" s="140"/>
      <c r="AV15" s="140"/>
      <c r="AW15" s="140"/>
      <c r="AX15" s="140"/>
      <c r="AY15" s="140"/>
      <c r="AZ15" s="140"/>
      <c r="BA15" s="140"/>
      <c r="BB15" s="140"/>
      <c r="BC15" s="140"/>
    </row>
    <row r="16" spans="1:55" ht="15" customHeight="1">
      <c r="E16" s="19" t="str">
        <f>Inputs!E21</f>
        <v>Number of relevant years</v>
      </c>
      <c r="G16" s="19" t="str">
        <f>Inputs!G21</f>
        <v>full years</v>
      </c>
      <c r="I16">
        <f>ROW(Inputs!I21)</f>
        <v>21</v>
      </c>
      <c r="K16" s="116" t="s">
        <v>354</v>
      </c>
      <c r="L16" s="116"/>
    </row>
    <row r="17" spans="3:55" ht="15" customHeight="1">
      <c r="E17" s="19" t="str">
        <f>Inputs!E24</f>
        <v>Debt service period for Actual Floor</v>
      </c>
      <c r="G17" s="19" t="s">
        <v>148</v>
      </c>
      <c r="I17">
        <f>ROW(Inputs!I24)</f>
        <v>24</v>
      </c>
      <c r="K17" s="116" t="s">
        <v>354</v>
      </c>
      <c r="L17" s="116"/>
    </row>
    <row r="18" spans="3:55" ht="15" customHeight="1"/>
    <row r="19" spans="3:55" s="59" customFormat="1" ht="15" customHeight="1">
      <c r="C19" s="38" t="s">
        <v>149</v>
      </c>
      <c r="D19" s="40"/>
      <c r="E19" s="40"/>
      <c r="F19" s="40"/>
      <c r="G19" s="40"/>
      <c r="H19" s="40"/>
      <c r="I19" s="40"/>
      <c r="J19" s="40"/>
      <c r="K19" s="40"/>
      <c r="L19" s="40"/>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row>
    <row r="20" spans="3:55" ht="15" customHeight="1"/>
    <row r="21" spans="3:55" ht="15" customHeight="1">
      <c r="E21" s="19" t="str">
        <f>Inputs!E28</f>
        <v>Preliminary Cap including tax</v>
      </c>
      <c r="G21" s="19" t="str">
        <f>Inputs!G28</f>
        <v>£m 2020</v>
      </c>
      <c r="H21" s="19" t="str">
        <f>Inputs!H28</f>
        <v>PCL</v>
      </c>
      <c r="I21">
        <f>ROW(Inputs!E28)</f>
        <v>28</v>
      </c>
      <c r="K21" s="116" t="s">
        <v>354</v>
      </c>
      <c r="L21" s="116"/>
    </row>
    <row r="22" spans="3:55" ht="15" customHeight="1">
      <c r="E22" s="19" t="str">
        <f>Inputs!E29</f>
        <v>Preliminary Notional Floor including tax</v>
      </c>
      <c r="G22" s="19" t="str">
        <f>Inputs!G29</f>
        <v>£m 2020</v>
      </c>
      <c r="H22" s="19" t="str">
        <f>Inputs!H29</f>
        <v>PNFL</v>
      </c>
      <c r="I22">
        <f>ROW(Inputs!E29)</f>
        <v>29</v>
      </c>
      <c r="K22" s="116" t="s">
        <v>354</v>
      </c>
      <c r="L22" s="116"/>
    </row>
    <row r="23" spans="3:55" ht="15" customHeight="1">
      <c r="E23" s="19" t="str">
        <f>Inputs!E30</f>
        <v>Preliminary Actual Floor Level (Other cost component)</v>
      </c>
      <c r="G23" s="19" t="str">
        <f>Inputs!G30</f>
        <v>£m 2020</v>
      </c>
      <c r="H23" s="19" t="s">
        <v>155</v>
      </c>
      <c r="I23">
        <f>ROW(Inputs!E30)</f>
        <v>30</v>
      </c>
      <c r="K23" s="116" t="s">
        <v>354</v>
      </c>
      <c r="L23" s="116"/>
    </row>
    <row r="24" spans="3:55" ht="15" customHeight="1">
      <c r="E24" s="19" t="str">
        <f>Inputs!E31</f>
        <v>Preliminary Actual Floor Level (Debt service component)</v>
      </c>
      <c r="G24" s="19" t="str">
        <f>Inputs!G31</f>
        <v>£m 2020</v>
      </c>
      <c r="I24">
        <f>ROW(Inputs!E31)</f>
        <v>31</v>
      </c>
      <c r="K24" s="116" t="s">
        <v>354</v>
      </c>
      <c r="L24" s="116"/>
    </row>
    <row r="25" spans="3:55" ht="15" customHeight="1">
      <c r="I25"/>
      <c r="K25" s="116"/>
      <c r="L25" s="116"/>
    </row>
    <row r="26" spans="3:55" ht="15" customHeight="1">
      <c r="E26" s="19" t="str">
        <f>Inputs!E33</f>
        <v>Cap PCA adjustment</v>
      </c>
      <c r="G26" s="19" t="str">
        <f>Inputs!G33</f>
        <v>£m 2020</v>
      </c>
      <c r="H26" s="19" t="str">
        <f>Inputs!H33</f>
        <v>PCAC</v>
      </c>
      <c r="I26">
        <f>ROW(Inputs!E33)</f>
        <v>33</v>
      </c>
      <c r="K26" s="116" t="s">
        <v>354</v>
      </c>
      <c r="L26" s="116"/>
    </row>
    <row r="27" spans="3:55" ht="15" customHeight="1">
      <c r="E27" s="19" t="str">
        <f>Inputs!E34</f>
        <v>Notional Floor PCA adjustment</v>
      </c>
      <c r="G27" s="19" t="str">
        <f>Inputs!G34</f>
        <v>£m 2020</v>
      </c>
      <c r="H27" s="19" t="str">
        <f>Inputs!H34</f>
        <v>PCANF</v>
      </c>
      <c r="I27">
        <f>ROW(Inputs!E34)</f>
        <v>34</v>
      </c>
      <c r="K27" s="116" t="s">
        <v>354</v>
      </c>
      <c r="L27" s="116"/>
    </row>
    <row r="28" spans="3:55" ht="15" customHeight="1">
      <c r="E28" s="19" t="str">
        <f>Inputs!E35</f>
        <v>Actual Floor PCA adjustment (Other cost component)</v>
      </c>
      <c r="G28" s="19" t="str">
        <f>Inputs!G35</f>
        <v>£m 2020</v>
      </c>
      <c r="H28" s="19" t="str">
        <f>Inputs!H35</f>
        <v>PCAAF</v>
      </c>
      <c r="I28">
        <f>ROW(Inputs!E35)</f>
        <v>35</v>
      </c>
      <c r="K28" s="116" t="s">
        <v>354</v>
      </c>
      <c r="L28" s="116"/>
    </row>
    <row r="29" spans="3:55" ht="15" customHeight="1">
      <c r="E29" s="19" t="str">
        <f>Inputs!E36</f>
        <v>Actual Floor PCA adjustment (Debt service component)</v>
      </c>
      <c r="G29" s="19" t="str">
        <f>Inputs!G36</f>
        <v>£m 2020</v>
      </c>
      <c r="I29">
        <f>ROW(Inputs!E36)</f>
        <v>36</v>
      </c>
      <c r="K29" s="116" t="s">
        <v>354</v>
      </c>
      <c r="L29" s="116"/>
    </row>
    <row r="30" spans="3:55" ht="15" customHeight="1">
      <c r="G30" s="5"/>
      <c r="I30" s="71"/>
    </row>
    <row r="31" spans="3:55" s="59" customFormat="1" ht="15" customHeight="1">
      <c r="C31" s="38" t="s">
        <v>164</v>
      </c>
      <c r="D31" s="40"/>
      <c r="E31" s="40"/>
      <c r="F31" s="40"/>
      <c r="G31" s="40"/>
      <c r="H31" s="40"/>
      <c r="I31" s="40"/>
      <c r="J31" s="40"/>
      <c r="K31" s="40"/>
      <c r="L31" s="40"/>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row>
    <row r="32" spans="3:55" ht="15" customHeight="1"/>
    <row r="33" spans="3:55" ht="15" customHeight="1">
      <c r="E33" s="19" t="str">
        <f>Inputs!E40</f>
        <v>Decommissioning (baseline)</v>
      </c>
      <c r="G33" s="19" t="str">
        <f>Inputs!G40</f>
        <v>£m 2020</v>
      </c>
      <c r="I33" s="19">
        <f>ROW(Inputs!E40)</f>
        <v>40</v>
      </c>
      <c r="K33" s="116" t="s">
        <v>354</v>
      </c>
      <c r="L33" s="116"/>
    </row>
    <row r="34" spans="3:55" ht="15" customHeight="1">
      <c r="E34" s="19" t="str">
        <f>Inputs!E41</f>
        <v>Controllable Opex (baseline)</v>
      </c>
      <c r="G34" s="19" t="str">
        <f>Inputs!G41</f>
        <v>£m 2020</v>
      </c>
      <c r="I34" s="19">
        <f>ROW(Inputs!E41)</f>
        <v>41</v>
      </c>
      <c r="K34" s="116" t="s">
        <v>354</v>
      </c>
      <c r="L34" s="116"/>
    </row>
    <row r="35" spans="3:55" ht="15" customHeight="1">
      <c r="E35" s="19" t="str">
        <f>Inputs!E42</f>
        <v>Non-controllable Opex (baseline)</v>
      </c>
      <c r="G35" s="19" t="str">
        <f>Inputs!G42</f>
        <v>£m 2020</v>
      </c>
      <c r="H35" s="19" t="str">
        <f>Inputs!H42</f>
        <v>BNCOA</v>
      </c>
      <c r="I35" s="19">
        <f>ROW(Inputs!E42)</f>
        <v>42</v>
      </c>
      <c r="K35" s="116" t="s">
        <v>354</v>
      </c>
      <c r="L35" s="116"/>
    </row>
    <row r="36" spans="3:55" ht="15" customHeight="1"/>
    <row r="37" spans="3:55" s="5" customFormat="1" ht="15" customHeight="1">
      <c r="C37" s="38" t="s">
        <v>169</v>
      </c>
      <c r="D37" s="38"/>
      <c r="E37" s="38"/>
      <c r="F37" s="38"/>
      <c r="G37" s="38"/>
      <c r="H37" s="38"/>
      <c r="I37" s="38"/>
      <c r="J37" s="38"/>
      <c r="K37" s="40"/>
      <c r="L37" s="40"/>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row>
    <row r="38" spans="3:55" s="5" customFormat="1" ht="15" customHeight="1">
      <c r="I38" s="6"/>
      <c r="J38" s="6"/>
      <c r="K38" s="115"/>
      <c r="L38" s="115"/>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row>
    <row r="39" spans="3:55" ht="15" customHeight="1">
      <c r="E39" s="19" t="str">
        <f>Inputs!E46</f>
        <v>Cap return rate</v>
      </c>
      <c r="G39" s="19" t="str">
        <f>Inputs!G46</f>
        <v>real annual %</v>
      </c>
      <c r="I39" s="19">
        <f>ROW(Inputs!E46)</f>
        <v>46</v>
      </c>
      <c r="K39" s="116" t="s">
        <v>354</v>
      </c>
      <c r="L39" s="116"/>
    </row>
    <row r="40" spans="3:55" ht="15" customHeight="1">
      <c r="E40" s="19" t="str">
        <f>Inputs!E47</f>
        <v>Notional Floor return rate</v>
      </c>
      <c r="G40" s="19" t="str">
        <f>Inputs!G47</f>
        <v>real annual %</v>
      </c>
      <c r="I40" s="19">
        <f>ROW(Inputs!E47)</f>
        <v>47</v>
      </c>
      <c r="K40" s="116" t="s">
        <v>354</v>
      </c>
      <c r="L40" s="116"/>
    </row>
    <row r="41" spans="3:55" ht="15" customHeight="1">
      <c r="E41" s="19" t="str">
        <f>Inputs!E48</f>
        <v>Actual Floor return rate</v>
      </c>
      <c r="G41" s="19" t="str">
        <f>Inputs!G48</f>
        <v>real annual %</v>
      </c>
      <c r="I41" s="19">
        <f>ROW(Inputs!E48)</f>
        <v>48</v>
      </c>
      <c r="K41" s="116" t="s">
        <v>354</v>
      </c>
      <c r="L41" s="116"/>
    </row>
    <row r="42" spans="3:55" ht="15" customHeight="1">
      <c r="E42" s="19" t="s">
        <v>355</v>
      </c>
    </row>
    <row r="43" spans="3:55" s="5" customFormat="1" ht="15" customHeight="1">
      <c r="C43" s="38" t="s">
        <v>356</v>
      </c>
      <c r="D43" s="38"/>
      <c r="E43" s="38"/>
      <c r="F43" s="38"/>
      <c r="G43" s="38"/>
      <c r="H43" s="38"/>
      <c r="I43" s="38"/>
      <c r="J43" s="38"/>
      <c r="K43" s="40"/>
      <c r="L43" s="40"/>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row>
    <row r="44" spans="3:55" ht="15" customHeight="1"/>
    <row r="45" spans="3:55" ht="13.15">
      <c r="E45" s="19" t="str">
        <f>Inputs!E52</f>
        <v>Base year RPI inflation index value (CHAW)</v>
      </c>
      <c r="G45" s="19" t="str">
        <f>Inputs!G52</f>
        <v>Jan 1987 = 100</v>
      </c>
      <c r="H45" s="19" t="str">
        <f>Inputs!H52</f>
        <v>UK RPI index 2020</v>
      </c>
      <c r="I45" s="19">
        <f>ROW(Inputs!E52)</f>
        <v>52</v>
      </c>
      <c r="K45" s="116" t="s">
        <v>354</v>
      </c>
      <c r="L45" s="116"/>
    </row>
    <row r="46" spans="3:55" ht="13.15">
      <c r="E46" s="19" t="str">
        <f>Inputs!E53</f>
        <v>Base year non-GB inflation index value</v>
      </c>
      <c r="G46" s="19">
        <f>Inputs!G53</f>
        <v>0</v>
      </c>
      <c r="H46" s="19" t="str">
        <f>Inputs!H53</f>
        <v>non-GB inflation index 2020</v>
      </c>
      <c r="I46" s="19">
        <f>ROW(Inputs!E53)</f>
        <v>53</v>
      </c>
      <c r="K46" s="116" t="s">
        <v>354</v>
      </c>
      <c r="L46" s="116"/>
    </row>
    <row r="47" spans="3:55" ht="13.15">
      <c r="E47" s="19" t="str">
        <f>Inputs!E54</f>
        <v>Base year average exchange rate (XUMAERS)</v>
      </c>
      <c r="G47" s="19" t="str">
        <f>Inputs!G54</f>
        <v>GBP / EUR</v>
      </c>
      <c r="H47" s="19" t="str">
        <f>Inputs!H54</f>
        <v>GBP2020 / EUR2020</v>
      </c>
      <c r="I47" s="19">
        <f>ROW(Inputs!E54)</f>
        <v>54</v>
      </c>
      <c r="K47" s="116" t="s">
        <v>354</v>
      </c>
      <c r="L47" s="116"/>
    </row>
    <row r="48" spans="3:55" ht="15" customHeight="1">
      <c r="E48" s="19" t="str">
        <f>Inputs!E162</f>
        <v>Bank of England Sterling Overnight Index Average</v>
      </c>
      <c r="G48" s="19" t="str">
        <f>Inputs!G162</f>
        <v>value</v>
      </c>
      <c r="H48" s="19" t="s">
        <v>290</v>
      </c>
      <c r="I48" s="19">
        <f>ROW(Inputs!E162)</f>
        <v>162</v>
      </c>
      <c r="K48" s="116" t="s">
        <v>354</v>
      </c>
      <c r="L48" s="116"/>
    </row>
    <row r="49" spans="2:55" ht="15" customHeight="1">
      <c r="E49" s="19" t="str">
        <f>Inputs!E163</f>
        <v>SONIA Margin for ODR</v>
      </c>
      <c r="G49" s="19" t="str">
        <f>Inputs!G163</f>
        <v>value</v>
      </c>
      <c r="I49" s="19">
        <f>ROW(Inputs!E163)</f>
        <v>163</v>
      </c>
      <c r="K49" s="116" t="s">
        <v>357</v>
      </c>
      <c r="L49" s="116"/>
    </row>
    <row r="50" spans="2:55" ht="15" customHeight="1">
      <c r="E50" s="19" t="str">
        <f>Inputs!E166</f>
        <v>Debt service portion of actual floor indexation: inflation assumption for 2021</v>
      </c>
      <c r="G50" s="19" t="str">
        <f>Inputs!G166</f>
        <v>%</v>
      </c>
      <c r="I50" s="19">
        <f>ROW(Inputs!E166)</f>
        <v>166</v>
      </c>
      <c r="K50" s="116" t="s">
        <v>354</v>
      </c>
      <c r="L50" s="116"/>
    </row>
    <row r="51" spans="2:55" ht="15" customHeight="1">
      <c r="E51" s="19" t="str">
        <f>Inputs!E167</f>
        <v>Debt service portion of actual floor indexation: inflation assumption for 2022</v>
      </c>
      <c r="G51" s="19" t="str">
        <f>Inputs!G167</f>
        <v>%</v>
      </c>
      <c r="I51" s="19">
        <f>ROW(Inputs!E167)</f>
        <v>167</v>
      </c>
      <c r="K51" s="116" t="s">
        <v>354</v>
      </c>
      <c r="L51" s="116"/>
    </row>
    <row r="52" spans="2:55" ht="15" customHeight="1">
      <c r="E52" s="19" t="str">
        <f>Inputs!E168</f>
        <v>Debt service portion of actual floor indexation: inflation assumption for 2023</v>
      </c>
      <c r="G52" s="19" t="str">
        <f>Inputs!G168</f>
        <v>%</v>
      </c>
      <c r="I52" s="19">
        <f>ROW(Inputs!E168)</f>
        <v>168</v>
      </c>
      <c r="K52" s="116" t="s">
        <v>354</v>
      </c>
      <c r="L52" s="116"/>
    </row>
    <row r="53" spans="2:55" ht="15" customHeight="1">
      <c r="E53" s="19" t="str">
        <f>Inputs!E169</f>
        <v>Debt service portion of actual floor indexation: inflation assumption at financial close - 2024 onwards</v>
      </c>
      <c r="G53" s="19" t="str">
        <f>Inputs!G169</f>
        <v>%</v>
      </c>
      <c r="I53" s="19">
        <f>ROW(Inputs!E169)</f>
        <v>169</v>
      </c>
      <c r="K53" s="116" t="s">
        <v>354</v>
      </c>
      <c r="L53" s="116"/>
    </row>
    <row r="54" spans="2:55" ht="15" customHeight="1"/>
    <row r="55" spans="2:55" s="5" customFormat="1" ht="15" customHeight="1">
      <c r="B55" s="166" t="s">
        <v>183</v>
      </c>
      <c r="C55" s="34"/>
      <c r="D55" s="34"/>
      <c r="E55" s="34"/>
      <c r="F55" s="34"/>
      <c r="G55" s="34"/>
      <c r="H55" s="34"/>
      <c r="I55" s="34"/>
      <c r="J55" s="34"/>
      <c r="K55" s="74"/>
      <c r="L55" s="74"/>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row>
    <row r="56" spans="2:55" s="5" customFormat="1" ht="15" customHeight="1">
      <c r="B56" s="70"/>
      <c r="K56" s="115"/>
      <c r="L56" s="115"/>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row>
    <row r="57" spans="2:55" s="5" customFormat="1" ht="15" customHeight="1">
      <c r="C57" s="38" t="s">
        <v>137</v>
      </c>
      <c r="D57" s="38"/>
      <c r="E57" s="38"/>
      <c r="F57" s="38"/>
      <c r="G57" s="38"/>
      <c r="H57" s="38"/>
      <c r="I57" s="38"/>
      <c r="J57" s="38"/>
      <c r="K57" s="40"/>
      <c r="L57" s="40"/>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row>
    <row r="58" spans="2:55" ht="15" customHeight="1"/>
    <row r="59" spans="2:55" ht="15" customHeight="1">
      <c r="E59" s="19" t="str">
        <f>Inputs!E73</f>
        <v>Floor start date</v>
      </c>
      <c r="G59" s="19" t="str">
        <f>Inputs!G73</f>
        <v>date</v>
      </c>
      <c r="I59" s="19">
        <f>ROW(Inputs!E73)</f>
        <v>73</v>
      </c>
      <c r="K59" s="116" t="s">
        <v>354</v>
      </c>
      <c r="L59" s="116"/>
    </row>
    <row r="60" spans="2:55" ht="15" customHeight="1">
      <c r="E60" s="19" t="str">
        <f>Inputs!E83</f>
        <v>Assessment period length</v>
      </c>
      <c r="G60" s="19" t="str">
        <f>Inputs!G83</f>
        <v>full years</v>
      </c>
      <c r="I60" s="19">
        <f>ROW(Inputs!E83)</f>
        <v>83</v>
      </c>
      <c r="K60" s="116" t="s">
        <v>354</v>
      </c>
      <c r="L60" s="116"/>
    </row>
    <row r="61" spans="2:55" ht="15" customHeight="1">
      <c r="B61" s="30"/>
      <c r="E61" s="19" t="str">
        <f>Inputs!E85</f>
        <v>GB indexed portion of interconnector</v>
      </c>
      <c r="G61" s="19" t="str">
        <f>Inputs!G85</f>
        <v>%</v>
      </c>
      <c r="I61" s="19">
        <f>ROW(Inputs!E85)</f>
        <v>85</v>
      </c>
      <c r="K61" s="116" t="s">
        <v>354</v>
      </c>
      <c r="L61" s="116"/>
    </row>
    <row r="62" spans="2:55" ht="15" customHeight="1">
      <c r="B62" s="30"/>
      <c r="G62" s="5"/>
    </row>
    <row r="63" spans="2:55" s="59" customFormat="1" ht="15" customHeight="1">
      <c r="C63" s="38" t="s">
        <v>251</v>
      </c>
      <c r="D63" s="40"/>
      <c r="E63" s="40"/>
      <c r="F63" s="40"/>
      <c r="G63" s="40"/>
      <c r="H63" s="40"/>
      <c r="I63" s="40"/>
      <c r="J63" s="40"/>
      <c r="K63" s="40"/>
      <c r="L63" s="40"/>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row>
    <row r="64" spans="2:55" ht="15" customHeight="1">
      <c r="B64" s="30"/>
      <c r="G64" s="5"/>
    </row>
    <row r="65" spans="2:58" ht="15" customHeight="1">
      <c r="E65" s="19" t="s">
        <v>254</v>
      </c>
      <c r="G65" s="19" t="str">
        <f>Inputs!G123</f>
        <v>scalar</v>
      </c>
      <c r="I65" s="19">
        <f>ROW(Inputs!E123)</f>
        <v>123</v>
      </c>
      <c r="K65" s="116" t="s">
        <v>354</v>
      </c>
      <c r="L65" s="116"/>
    </row>
    <row r="66" spans="2:58" ht="15" customHeight="1">
      <c r="B66" s="30"/>
      <c r="G66" s="5"/>
    </row>
    <row r="67" spans="2:58" ht="15" customHeight="1">
      <c r="B67" s="166" t="s">
        <v>210</v>
      </c>
      <c r="C67" s="34"/>
      <c r="D67" s="34"/>
      <c r="E67" s="34"/>
      <c r="F67" s="34"/>
      <c r="G67" s="34"/>
      <c r="H67" s="34"/>
      <c r="I67" s="34"/>
      <c r="J67" s="34"/>
      <c r="K67" s="74"/>
      <c r="L67" s="74"/>
    </row>
    <row r="68" spans="2:58" ht="15" customHeight="1"/>
    <row r="69" spans="2:58" s="59" customFormat="1" ht="15" customHeight="1">
      <c r="C69" s="38" t="s">
        <v>211</v>
      </c>
      <c r="D69" s="40"/>
      <c r="E69" s="40"/>
      <c r="F69" s="40"/>
      <c r="G69" s="40"/>
      <c r="H69" s="40"/>
      <c r="I69" s="40"/>
      <c r="J69" s="40"/>
      <c r="K69" s="40"/>
      <c r="L69" s="40"/>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row>
    <row r="70" spans="2:58" ht="15" customHeight="1"/>
    <row r="71" spans="2:58" ht="15" customHeight="1">
      <c r="E71" s="19" t="str">
        <f>Inputs!E91</f>
        <v>Non-controllable Opex (actual)</v>
      </c>
      <c r="G71" s="19" t="str">
        <f>Inputs!G91</f>
        <v>£m nominal prices</v>
      </c>
      <c r="I71" s="19">
        <f>ROW(Inputs!E91)</f>
        <v>91</v>
      </c>
      <c r="K71" s="116" t="s">
        <v>358</v>
      </c>
      <c r="L71" s="116"/>
      <c r="BD71" s="59"/>
      <c r="BE71" s="59"/>
      <c r="BF71" s="59"/>
    </row>
    <row r="72" spans="2:58" ht="13.15">
      <c r="E72" s="19" t="str">
        <f>Inputs!E92</f>
        <v>Non-controllable Opex adjustment following NRA review (actual)</v>
      </c>
      <c r="G72" s="19" t="str">
        <f>Inputs!G92</f>
        <v>£m nominal prices</v>
      </c>
      <c r="I72" s="19">
        <f>ROW(Inputs!E92)</f>
        <v>92</v>
      </c>
      <c r="K72" s="116" t="s">
        <v>359</v>
      </c>
      <c r="L72" s="116"/>
    </row>
    <row r="73" spans="2:58" ht="15" customHeight="1">
      <c r="BD73" s="59"/>
      <c r="BE73" s="59"/>
      <c r="BF73" s="59"/>
    </row>
    <row r="74" spans="2:58" s="59" customFormat="1" ht="15" customHeight="1">
      <c r="C74" s="38" t="s">
        <v>214</v>
      </c>
      <c r="D74" s="40"/>
      <c r="E74" s="40"/>
      <c r="F74" s="40"/>
      <c r="G74" s="40"/>
      <c r="H74" s="40"/>
      <c r="I74" s="40"/>
      <c r="J74" s="40"/>
      <c r="K74" s="40"/>
      <c r="L74" s="40"/>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row>
    <row r="75" spans="2:58" ht="15" customHeight="1"/>
    <row r="76" spans="2:58" ht="15" customHeight="1">
      <c r="E76" s="19" t="str">
        <f>Inputs!E96</f>
        <v>Capacity allocation revenue</v>
      </c>
      <c r="G76" s="19" t="str">
        <f>Inputs!G96</f>
        <v>£m nominal prices</v>
      </c>
      <c r="H76" s="19" t="str">
        <f>Inputs!H96</f>
        <v>CARt</v>
      </c>
      <c r="I76" s="19">
        <f>ROW(Inputs!E96)</f>
        <v>96</v>
      </c>
      <c r="K76" s="116" t="s">
        <v>358</v>
      </c>
      <c r="L76" s="116"/>
    </row>
    <row r="77" spans="2:58" ht="15" customHeight="1">
      <c r="E77" s="19" t="str">
        <f>Inputs!E97</f>
        <v>Ancillary services revenue (GB)</v>
      </c>
      <c r="G77" s="19" t="str">
        <f>Inputs!G97</f>
        <v>£m nominal prices</v>
      </c>
      <c r="H77" s="19" t="str">
        <f>Inputs!H97</f>
        <v>ASRGBt</v>
      </c>
      <c r="I77" s="19">
        <f>ROW(Inputs!E97)</f>
        <v>97</v>
      </c>
      <c r="K77" s="116" t="s">
        <v>358</v>
      </c>
      <c r="L77" s="116"/>
    </row>
    <row r="78" spans="2:58" ht="15" customHeight="1">
      <c r="E78" s="19" t="str">
        <f>Inputs!E98</f>
        <v>Ancillary services revenue (non-GB, if applicable)</v>
      </c>
      <c r="G78" s="19" t="str">
        <f>Inputs!G98</f>
        <v>£m nominal prices</v>
      </c>
      <c r="H78" s="19" t="str">
        <f>Inputs!H98</f>
        <v>ASRnGBt</v>
      </c>
      <c r="I78" s="19">
        <f>ROW(Inputs!E98)</f>
        <v>98</v>
      </c>
      <c r="K78" s="116" t="s">
        <v>358</v>
      </c>
      <c r="L78" s="116"/>
    </row>
    <row r="79" spans="2:58" ht="15" customHeight="1">
      <c r="E79" s="19" t="str">
        <f>Inputs!E99</f>
        <v>Capacity market revenue</v>
      </c>
      <c r="G79" s="19" t="str">
        <f>Inputs!G99</f>
        <v>£m nominal prices</v>
      </c>
      <c r="H79" s="19" t="str">
        <f>Inputs!H99</f>
        <v>CMRt</v>
      </c>
      <c r="I79" s="19">
        <f>ROW(Inputs!E99)</f>
        <v>99</v>
      </c>
      <c r="K79" s="116" t="s">
        <v>358</v>
      </c>
      <c r="L79" s="116"/>
    </row>
    <row r="80" spans="2:58" ht="15" customHeight="1">
      <c r="E80" s="19" t="str">
        <f>Inputs!E100</f>
        <v>Receipts from insurance</v>
      </c>
      <c r="G80" s="19" t="str">
        <f>Inputs!G100</f>
        <v>£m nominal prices</v>
      </c>
      <c r="H80" s="19" t="str">
        <f>Inputs!H100</f>
        <v>RIt</v>
      </c>
      <c r="I80" s="19">
        <f>ROW(Inputs!E100)</f>
        <v>100</v>
      </c>
      <c r="K80" s="116" t="s">
        <v>358</v>
      </c>
      <c r="L80" s="116"/>
    </row>
    <row r="81" spans="2:55" ht="15" customHeight="1">
      <c r="E81" s="19" t="str">
        <f>Inputs!E101</f>
        <v>Constraint payments (GB)</v>
      </c>
      <c r="G81" s="19" t="str">
        <f>Inputs!G101</f>
        <v>£m nominal prices</v>
      </c>
      <c r="H81" s="19" t="str">
        <f>Inputs!H101</f>
        <v>CPGBt</v>
      </c>
      <c r="I81" s="19">
        <f>ROW(Inputs!E101)</f>
        <v>101</v>
      </c>
      <c r="K81" s="116" t="s">
        <v>358</v>
      </c>
      <c r="L81" s="116"/>
    </row>
    <row r="82" spans="2:55" ht="15" customHeight="1">
      <c r="E82" s="19" t="str">
        <f>Inputs!E102</f>
        <v>Constraint payments (non-GB, if applicable)</v>
      </c>
      <c r="G82" s="19" t="str">
        <f>Inputs!G102</f>
        <v>£m nominal prices</v>
      </c>
      <c r="H82" s="19" t="str">
        <f>Inputs!H102</f>
        <v>CPnGBt</v>
      </c>
      <c r="I82" s="19">
        <f>ROW(Inputs!E102)</f>
        <v>102</v>
      </c>
      <c r="K82" s="116" t="s">
        <v>358</v>
      </c>
      <c r="L82" s="116"/>
    </row>
    <row r="83" spans="2:55" ht="15" customHeight="1">
      <c r="E83" s="19" t="str">
        <f>Inputs!E103</f>
        <v>Additional revenue (net of relevant costs)</v>
      </c>
      <c r="G83" s="19" t="str">
        <f>Inputs!G103</f>
        <v>£m nominal prices</v>
      </c>
      <c r="H83" s="19" t="str">
        <f>Inputs!H103</f>
        <v>ADRt</v>
      </c>
      <c r="I83" s="19">
        <f>ROW(Inputs!E103)</f>
        <v>103</v>
      </c>
      <c r="K83" s="116" t="s">
        <v>358</v>
      </c>
      <c r="L83" s="116"/>
    </row>
    <row r="84" spans="2:55" ht="15" customHeight="1">
      <c r="E84" s="19" t="str">
        <f>Inputs!E106</f>
        <v>Error accounting costs</v>
      </c>
      <c r="G84" s="19" t="str">
        <f>Inputs!G106</f>
        <v>£m nominal prices</v>
      </c>
      <c r="H84" s="19" t="str">
        <f>Inputs!H106</f>
        <v>EACt</v>
      </c>
      <c r="I84" s="19">
        <f>ROW(Inputs!E106)</f>
        <v>106</v>
      </c>
      <c r="K84" s="116" t="s">
        <v>358</v>
      </c>
      <c r="L84" s="116"/>
    </row>
    <row r="85" spans="2:55" ht="15" customHeight="1">
      <c r="E85" s="19" t="str">
        <f>Inputs!E107</f>
        <v>Firmness costs</v>
      </c>
      <c r="G85" s="19" t="str">
        <f>Inputs!G107</f>
        <v>£m nominal prices</v>
      </c>
      <c r="H85" s="19" t="str">
        <f>Inputs!H107</f>
        <v>FCt</v>
      </c>
      <c r="I85" s="19">
        <f>ROW(Inputs!E107)</f>
        <v>107</v>
      </c>
      <c r="K85" s="116" t="s">
        <v>358</v>
      </c>
      <c r="L85" s="116"/>
    </row>
    <row r="86" spans="2:55" ht="15" customHeight="1">
      <c r="E86" s="19" t="str">
        <f>Inputs!E108</f>
        <v>Trip contract costs</v>
      </c>
      <c r="G86" s="19" t="str">
        <f>Inputs!G108</f>
        <v>£m nominal prices</v>
      </c>
      <c r="H86" s="19" t="str">
        <f>Inputs!H108</f>
        <v>TCCt</v>
      </c>
      <c r="I86" s="19">
        <f>ROW(Inputs!E108)</f>
        <v>108</v>
      </c>
      <c r="K86" s="116" t="s">
        <v>358</v>
      </c>
      <c r="L86" s="116"/>
    </row>
    <row r="87" spans="2:55" ht="15" customHeight="1">
      <c r="E87" s="19" t="str">
        <f>Inputs!E111</f>
        <v>Income adjusting event</v>
      </c>
      <c r="G87" s="19" t="str">
        <f>Inputs!G111</f>
        <v>£m nominal prices</v>
      </c>
      <c r="H87" s="19" t="str">
        <f>Inputs!H111</f>
        <v>IATt</v>
      </c>
      <c r="I87" s="19">
        <f>ROW(Inputs!E111)</f>
        <v>111</v>
      </c>
      <c r="K87" s="116" t="s">
        <v>358</v>
      </c>
      <c r="L87" s="116"/>
    </row>
    <row r="88" spans="2:55" ht="15" customHeight="1">
      <c r="E88" s="19" t="str">
        <f>Inputs!E117</f>
        <v>True-up Term  (negative value: payment to consumers; positive value: payment from consumers)</v>
      </c>
      <c r="G88" s="19" t="str">
        <f>Inputs!G117</f>
        <v>£m nominal prices</v>
      </c>
      <c r="H88" s="19" t="str">
        <f>Inputs!H117</f>
        <v>TRUt</v>
      </c>
      <c r="I88" s="19">
        <f>ROW(Inputs!E117)</f>
        <v>117</v>
      </c>
      <c r="K88" s="116" t="s">
        <v>358</v>
      </c>
      <c r="L88" s="116"/>
    </row>
    <row r="89" spans="2:55" ht="15" customHeight="1">
      <c r="G89" s="5"/>
    </row>
    <row r="90" spans="2:55" s="59" customFormat="1" ht="15" customHeight="1">
      <c r="C90" s="38" t="s">
        <v>251</v>
      </c>
      <c r="D90" s="40"/>
      <c r="E90" s="40"/>
      <c r="F90" s="40"/>
      <c r="G90" s="40"/>
      <c r="H90" s="40"/>
      <c r="I90" s="40"/>
      <c r="J90" s="40"/>
      <c r="K90" s="40"/>
      <c r="L90" s="4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row>
    <row r="91" spans="2:55" ht="15" customHeight="1">
      <c r="G91" s="5"/>
    </row>
    <row r="92" spans="2:55" ht="15" customHeight="1">
      <c r="E92" s="19" t="s">
        <v>252</v>
      </c>
      <c r="G92" s="19" t="str">
        <f>Inputs!G121</f>
        <v>flag</v>
      </c>
      <c r="I92" s="19">
        <f>ROW(Inputs!E121)</f>
        <v>121</v>
      </c>
      <c r="K92" s="116" t="s">
        <v>358</v>
      </c>
      <c r="L92" s="116"/>
    </row>
    <row r="93" spans="2:55" ht="15" customHeight="1">
      <c r="E93" s="19" t="s">
        <v>253</v>
      </c>
      <c r="G93" s="19" t="str">
        <f>Inputs!G122</f>
        <v>scalar</v>
      </c>
      <c r="I93" s="19">
        <f>ROW(Inputs!E122)</f>
        <v>122</v>
      </c>
      <c r="K93" s="116" t="s">
        <v>358</v>
      </c>
      <c r="L93" s="116"/>
    </row>
    <row r="94" spans="2:55" ht="15" customHeight="1">
      <c r="E94" s="19" t="s">
        <v>360</v>
      </c>
      <c r="G94" s="19" t="str">
        <f>Inputs!G125</f>
        <v>£m nominal prices</v>
      </c>
      <c r="H94" s="19" t="str">
        <f>Inputs!H125</f>
        <v>ETRSNt/ETRSAt</v>
      </c>
      <c r="I94" s="19">
        <f>ROW(Inputs!E125)</f>
        <v>125</v>
      </c>
      <c r="K94" s="116" t="s">
        <v>358</v>
      </c>
      <c r="L94" s="116"/>
    </row>
    <row r="95" spans="2:55" ht="15" customHeight="1">
      <c r="G95" s="5"/>
    </row>
    <row r="96" spans="2:55" s="5" customFormat="1" ht="15" customHeight="1">
      <c r="B96" s="166" t="s">
        <v>257</v>
      </c>
      <c r="C96" s="34"/>
      <c r="D96" s="34"/>
      <c r="E96" s="34"/>
      <c r="F96" s="34"/>
      <c r="G96" s="34"/>
      <c r="H96" s="34"/>
      <c r="I96" s="34"/>
      <c r="J96" s="34"/>
      <c r="K96" s="74"/>
      <c r="L96" s="74"/>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row>
    <row r="97" spans="1:55" s="5" customFormat="1" ht="15" customHeight="1">
      <c r="B97" s="70"/>
      <c r="K97" s="115"/>
      <c r="L97" s="115"/>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row>
    <row r="98" spans="1:55" ht="15" customHeight="1">
      <c r="C98" s="38" t="s">
        <v>258</v>
      </c>
      <c r="D98" s="38"/>
      <c r="E98" s="38"/>
      <c r="F98" s="38"/>
      <c r="G98" s="38"/>
      <c r="H98" s="38"/>
      <c r="I98" s="38"/>
      <c r="J98" s="38"/>
      <c r="K98" s="40"/>
      <c r="L98" s="40"/>
    </row>
    <row r="99" spans="1:55" ht="15" customHeight="1">
      <c r="G99" s="5"/>
    </row>
    <row r="100" spans="1:55" ht="15" customHeight="1">
      <c r="E100" s="19" t="str">
        <f>Inputs!E131</f>
        <v>Cap availability incentive ratio</v>
      </c>
      <c r="G100" s="19" t="str">
        <f>Inputs!G131</f>
        <v>ratio</v>
      </c>
      <c r="I100" s="19">
        <f>ROW(Inputs!E131)</f>
        <v>131</v>
      </c>
      <c r="K100" s="116" t="s">
        <v>359</v>
      </c>
      <c r="L100" s="116"/>
    </row>
    <row r="101" spans="1:55" ht="15" customHeight="1">
      <c r="E101" s="19" t="str">
        <f>Inputs!E132</f>
        <v>Cap availability incentive target</v>
      </c>
      <c r="G101" s="19" t="str">
        <f>Inputs!G132</f>
        <v>%</v>
      </c>
      <c r="I101" s="19">
        <f>ROW(Inputs!E132)</f>
        <v>132</v>
      </c>
      <c r="K101" s="116" t="s">
        <v>359</v>
      </c>
      <c r="L101" s="116"/>
    </row>
    <row r="102" spans="1:55" ht="15" customHeight="1">
      <c r="E102" s="19" t="str">
        <f>Inputs!E133</f>
        <v>Cap availability incentive upper limit</v>
      </c>
      <c r="G102" s="19" t="str">
        <f>Inputs!G133</f>
        <v>scalar</v>
      </c>
      <c r="I102" s="19">
        <f>ROW(Inputs!E133)</f>
        <v>133</v>
      </c>
      <c r="K102" s="116" t="s">
        <v>359</v>
      </c>
      <c r="L102" s="116"/>
    </row>
    <row r="103" spans="1:55" ht="15" customHeight="1">
      <c r="E103" s="19" t="str">
        <f>Inputs!E134</f>
        <v>Cap availability incentive lower limit</v>
      </c>
      <c r="G103" s="19" t="str">
        <f>Inputs!G134</f>
        <v>scalar</v>
      </c>
      <c r="I103" s="19">
        <f>ROW(Inputs!E134)</f>
        <v>134</v>
      </c>
      <c r="K103" s="116" t="s">
        <v>359</v>
      </c>
      <c r="L103" s="116"/>
    </row>
    <row r="104" spans="1:55" ht="15" customHeight="1">
      <c r="E104" s="19" t="str">
        <f>Inputs!E136</f>
        <v>Interconnector rated capacity</v>
      </c>
      <c r="G104" s="19" t="str">
        <f>Inputs!G136</f>
        <v>MW</v>
      </c>
      <c r="H104" s="19" t="str">
        <f>Inputs!H136</f>
        <v>RC</v>
      </c>
      <c r="I104" s="19">
        <f>ROW(Inputs!E136)</f>
        <v>136</v>
      </c>
      <c r="K104" s="116" t="s">
        <v>359</v>
      </c>
      <c r="L104" s="116"/>
    </row>
    <row r="105" spans="1:55" ht="15" customHeight="1">
      <c r="A105" s="5"/>
      <c r="B105" s="5"/>
      <c r="D105" s="5"/>
      <c r="E105" s="19" t="str">
        <f>Inputs!E147</f>
        <v>Floor availability incentive target</v>
      </c>
      <c r="G105" s="19" t="str">
        <f>Inputs!G147</f>
        <v>%</v>
      </c>
      <c r="I105" s="19">
        <f>ROW(Inputs!E147)</f>
        <v>147</v>
      </c>
      <c r="K105" s="116" t="s">
        <v>359</v>
      </c>
      <c r="L105" s="116"/>
    </row>
    <row r="106" spans="1:55" ht="15" customHeight="1">
      <c r="G106" s="5"/>
    </row>
    <row r="107" spans="1:55" ht="15" customHeight="1">
      <c r="C107" s="38" t="s">
        <v>361</v>
      </c>
      <c r="D107" s="38"/>
      <c r="E107" s="38"/>
      <c r="F107" s="38"/>
      <c r="G107" s="38"/>
      <c r="H107" s="38"/>
      <c r="I107" s="38"/>
      <c r="J107" s="38"/>
      <c r="K107" s="40"/>
      <c r="L107" s="40"/>
    </row>
    <row r="108" spans="1:55" ht="15" customHeight="1">
      <c r="A108" s="5"/>
      <c r="B108" s="5"/>
      <c r="D108" s="5"/>
    </row>
    <row r="109" spans="1:55" ht="15" customHeight="1">
      <c r="B109" s="30"/>
      <c r="E109" s="19" t="str">
        <f>Inputs!E155</f>
        <v>Average UK RPI inflation index value (CHAW)</v>
      </c>
      <c r="G109" s="19" t="str">
        <f>Inputs!G155</f>
        <v>Jan 1987 = 100</v>
      </c>
      <c r="H109" s="19" t="str">
        <f>Inputs!H155</f>
        <v>UK RPI index t</v>
      </c>
      <c r="I109" s="19">
        <f>ROW(Inputs!E155)</f>
        <v>155</v>
      </c>
      <c r="K109" s="116" t="s">
        <v>359</v>
      </c>
      <c r="L109" s="116"/>
    </row>
    <row r="110" spans="1:55" ht="15" customHeight="1">
      <c r="B110" s="30"/>
      <c r="E110" s="19" t="str">
        <f>Inputs!E156</f>
        <v>Average non-GB inflation index value</v>
      </c>
      <c r="G110" s="19" t="str">
        <f>Inputs!G156</f>
        <v>-</v>
      </c>
      <c r="H110" s="19" t="str">
        <f>Inputs!H156</f>
        <v>non-GB inflation index t</v>
      </c>
      <c r="I110" s="19">
        <f>ROW(Inputs!E156)</f>
        <v>156</v>
      </c>
      <c r="K110" s="116" t="s">
        <v>362</v>
      </c>
      <c r="L110" s="116"/>
    </row>
    <row r="111" spans="1:55" ht="15" customHeight="1">
      <c r="B111" s="30"/>
      <c r="E111" s="19" t="str">
        <f>Inputs!E158</f>
        <v>Average exchange rate (XUMAERS)</v>
      </c>
      <c r="G111" s="19" t="str">
        <f>Inputs!G158</f>
        <v>GBP / EUR</v>
      </c>
      <c r="H111" s="19" t="str">
        <f>Inputs!H158</f>
        <v>GBPt/EURt</v>
      </c>
      <c r="I111" s="19">
        <f>ROW(Inputs!E158)</f>
        <v>158</v>
      </c>
      <c r="K111" s="116" t="s">
        <v>362</v>
      </c>
      <c r="L111" s="116"/>
    </row>
    <row r="112" spans="1:55" ht="15" customHeight="1">
      <c r="A112" s="5"/>
      <c r="B112" s="5"/>
      <c r="D112" s="5"/>
    </row>
    <row r="113" spans="3:55" s="5" customFormat="1" ht="15" customHeight="1">
      <c r="C113" s="38" t="s">
        <v>298</v>
      </c>
      <c r="D113" s="38"/>
      <c r="E113" s="38"/>
      <c r="F113" s="38"/>
      <c r="G113" s="38"/>
      <c r="H113" s="38"/>
      <c r="I113" s="38"/>
      <c r="J113" s="38"/>
      <c r="K113" s="40"/>
      <c r="L113" s="40"/>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row>
    <row r="114" spans="3:55" ht="15" customHeight="1"/>
    <row r="115" spans="3:55" ht="15" customHeight="1">
      <c r="E115" s="19" t="str">
        <f>Inputs!E174</f>
        <v>PCA/PFA adjustment - Ofgem start date</v>
      </c>
      <c r="G115" s="19" t="str">
        <f>Inputs!G174</f>
        <v>date</v>
      </c>
      <c r="I115">
        <f>ROW(Inputs!E174)</f>
        <v>174</v>
      </c>
      <c r="K115" s="116" t="s">
        <v>359</v>
      </c>
      <c r="L115" s="116"/>
    </row>
    <row r="116" spans="3:55" ht="15" customHeight="1">
      <c r="E116" s="19" t="str">
        <f>Inputs!E177</f>
        <v>Apply PCA adjustment factor?</v>
      </c>
      <c r="G116" s="19" t="str">
        <f>Inputs!G177</f>
        <v>switch</v>
      </c>
      <c r="I116">
        <f>ROW(Inputs!E177)</f>
        <v>177</v>
      </c>
      <c r="K116" s="116" t="s">
        <v>359</v>
      </c>
      <c r="L116" s="116"/>
    </row>
    <row r="117" spans="3:55" ht="15" customHeight="1">
      <c r="E117" s="30"/>
      <c r="F117" s="30"/>
      <c r="G117" s="30"/>
      <c r="H117" s="30"/>
      <c r="I117" s="50"/>
      <c r="J117" s="30"/>
    </row>
    <row r="118" spans="3:55" s="5" customFormat="1" ht="15" customHeight="1">
      <c r="C118" s="38" t="s">
        <v>307</v>
      </c>
      <c r="D118" s="38"/>
      <c r="E118" s="38"/>
      <c r="F118" s="38"/>
      <c r="G118" s="38"/>
      <c r="H118" s="38"/>
      <c r="I118" s="38"/>
      <c r="J118" s="38"/>
      <c r="K118" s="40"/>
      <c r="L118" s="40"/>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row>
    <row r="119" spans="3:55" ht="15" customHeight="1"/>
    <row r="120" spans="3:55" ht="15" customHeight="1">
      <c r="E120" s="19" t="str">
        <f>Inputs!E183</f>
        <v>Apply ORA adjustment factor?</v>
      </c>
      <c r="G120" s="19" t="str">
        <f>Inputs!G183</f>
        <v>switch</v>
      </c>
      <c r="I120" s="19">
        <f>ROW(Inputs!E183)</f>
        <v>183</v>
      </c>
      <c r="K120" s="116" t="s">
        <v>359</v>
      </c>
      <c r="L120" s="116"/>
    </row>
    <row r="121" spans="3:55" ht="15" customHeight="1">
      <c r="E121" s="19" t="str">
        <f>Inputs!E184</f>
        <v>ORA start date</v>
      </c>
      <c r="G121" s="19" t="str">
        <f>Inputs!G184</f>
        <v>date</v>
      </c>
      <c r="I121" s="19">
        <f>ROW(Inputs!I184)</f>
        <v>184</v>
      </c>
      <c r="K121" s="116" t="s">
        <v>359</v>
      </c>
      <c r="L121" s="116"/>
    </row>
    <row r="122" spans="3:55" ht="15" customHeight="1">
      <c r="E122" s="19" t="str">
        <f>Inputs!E189</f>
        <v>Revised controllable Opex at date of ORA submission</v>
      </c>
      <c r="G122" s="19" t="str">
        <f>Inputs!G189</f>
        <v>£m 2020</v>
      </c>
      <c r="I122" s="19">
        <f>ROW(Inputs!E189)</f>
        <v>189</v>
      </c>
      <c r="K122" s="116" t="s">
        <v>359</v>
      </c>
      <c r="L122" s="116"/>
    </row>
    <row r="123" spans="3:55" ht="15" customHeight="1"/>
    <row r="124" spans="3:55" s="5" customFormat="1" ht="15" customHeight="1">
      <c r="C124" s="38" t="s">
        <v>319</v>
      </c>
      <c r="D124" s="38"/>
      <c r="E124" s="38"/>
      <c r="F124" s="38"/>
      <c r="G124" s="38"/>
      <c r="H124" s="38"/>
      <c r="I124" s="38"/>
      <c r="J124" s="38"/>
      <c r="K124" s="40"/>
      <c r="L124" s="40"/>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row>
    <row r="125" spans="3:55" ht="15" customHeight="1"/>
    <row r="126" spans="3:55" ht="15" customHeight="1">
      <c r="E126" s="19" t="str">
        <f>Inputs!E197</f>
        <v>Apply DC adjustment factor?</v>
      </c>
      <c r="G126" s="19" t="str">
        <f>Inputs!G197</f>
        <v>switch</v>
      </c>
      <c r="I126" s="19">
        <f>ROW(Inputs!E197)</f>
        <v>197</v>
      </c>
      <c r="K126" s="116" t="s">
        <v>359</v>
      </c>
      <c r="L126" s="116"/>
    </row>
    <row r="127" spans="3:55" ht="15" customHeight="1">
      <c r="I127" s="52"/>
    </row>
    <row r="128" spans="3:55" s="5" customFormat="1" ht="15" customHeight="1">
      <c r="D128" s="38" t="s">
        <v>321</v>
      </c>
      <c r="E128" s="38"/>
      <c r="F128" s="38"/>
      <c r="G128" s="38"/>
      <c r="H128" s="38"/>
      <c r="I128" s="38"/>
      <c r="J128" s="38"/>
      <c r="K128" s="40"/>
      <c r="L128" s="40"/>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row>
    <row r="129" spans="4:55" s="5" customFormat="1" ht="15" customHeight="1">
      <c r="K129" s="115"/>
      <c r="L129" s="115"/>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row>
    <row r="130" spans="4:55" ht="15" customHeight="1">
      <c r="E130" s="19" t="str">
        <f>Inputs!E201</f>
        <v>Current DC start date</v>
      </c>
      <c r="G130" s="19" t="str">
        <f>Inputs!G201</f>
        <v>date</v>
      </c>
      <c r="I130" s="19">
        <f>ROW(Inputs!E201)</f>
        <v>201</v>
      </c>
      <c r="K130" s="116" t="s">
        <v>359</v>
      </c>
      <c r="L130" s="116"/>
    </row>
    <row r="131" spans="4:55" ht="13.15">
      <c r="E131" s="19" t="str">
        <f>Inputs!E204</f>
        <v>Decommissioning Costs (latest view at submission of DCt adjustment)</v>
      </c>
      <c r="G131" s="19" t="str">
        <f>Inputs!G204</f>
        <v>£m 2020</v>
      </c>
      <c r="I131" s="19">
        <f>ROW(Inputs!E204)</f>
        <v>204</v>
      </c>
      <c r="K131" s="116" t="s">
        <v>359</v>
      </c>
      <c r="L131" s="116"/>
    </row>
    <row r="132" spans="4:55" ht="15" customHeight="1"/>
    <row r="133" spans="4:55" s="5" customFormat="1" ht="15" customHeight="1">
      <c r="D133" s="38" t="s">
        <v>331</v>
      </c>
      <c r="E133" s="38"/>
      <c r="F133" s="38"/>
      <c r="G133" s="38"/>
      <c r="H133" s="38"/>
      <c r="I133" s="38"/>
      <c r="J133" s="38"/>
      <c r="K133" s="40"/>
      <c r="L133" s="40"/>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row>
    <row r="134" spans="4:55" s="5" customFormat="1" ht="15" customHeight="1">
      <c r="K134" s="115"/>
      <c r="L134" s="115"/>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row>
    <row r="135" spans="4:55" ht="15" customHeight="1">
      <c r="E135" s="83" t="str">
        <f>Inputs!E212</f>
        <v>First DCt adjustment</v>
      </c>
    </row>
    <row r="136" spans="4:55" ht="15" customHeight="1">
      <c r="E136" s="19" t="str">
        <f>Inputs!E213</f>
        <v>Start date</v>
      </c>
      <c r="G136" s="19" t="str">
        <f>Inputs!G213</f>
        <v>date</v>
      </c>
      <c r="I136" s="19">
        <f>ROW(Inputs!E213)</f>
        <v>213</v>
      </c>
      <c r="K136" s="116" t="s">
        <v>359</v>
      </c>
      <c r="L136" s="116"/>
    </row>
    <row r="137" spans="4:55" ht="15" customHeight="1">
      <c r="E137" s="19" t="str">
        <f>Inputs!E214</f>
        <v>Cap value</v>
      </c>
      <c r="G137" s="19" t="str">
        <f>Inputs!G214</f>
        <v>£m 2020</v>
      </c>
      <c r="I137" s="19">
        <f>ROW(Inputs!E214)</f>
        <v>214</v>
      </c>
      <c r="K137" s="116" t="s">
        <v>359</v>
      </c>
      <c r="L137" s="116"/>
    </row>
    <row r="138" spans="4:55" ht="15" customHeight="1">
      <c r="E138" s="19" t="str">
        <f>Inputs!E215</f>
        <v>Notional floor value</v>
      </c>
      <c r="G138" s="19" t="str">
        <f>Inputs!G215</f>
        <v>£m 2020</v>
      </c>
      <c r="I138" s="19">
        <f>ROW(Inputs!E215)</f>
        <v>215</v>
      </c>
      <c r="K138" s="116" t="s">
        <v>359</v>
      </c>
      <c r="L138" s="116"/>
    </row>
    <row r="139" spans="4:55" ht="15" customHeight="1">
      <c r="E139" s="19" t="str">
        <f>Inputs!E216</f>
        <v>Actual floor value</v>
      </c>
      <c r="G139" s="19" t="str">
        <f>Inputs!G216</f>
        <v>£m 2020</v>
      </c>
      <c r="I139" s="19">
        <f>ROW(Inputs!E216)</f>
        <v>216</v>
      </c>
      <c r="K139" s="116" t="s">
        <v>359</v>
      </c>
      <c r="L139" s="116"/>
    </row>
    <row r="140" spans="4:55" ht="15" customHeight="1">
      <c r="E140" s="83" t="str">
        <f>Inputs!E218</f>
        <v>Second DCt adjustment</v>
      </c>
    </row>
    <row r="141" spans="4:55" ht="15" customHeight="1">
      <c r="E141" s="19" t="str">
        <f>Inputs!E219</f>
        <v>Start date</v>
      </c>
      <c r="G141" s="19" t="str">
        <f>Inputs!G219</f>
        <v>date</v>
      </c>
      <c r="I141" s="19">
        <f>ROW(Inputs!E219)</f>
        <v>219</v>
      </c>
      <c r="K141" s="116" t="s">
        <v>359</v>
      </c>
      <c r="L141" s="116"/>
    </row>
    <row r="142" spans="4:55" ht="15" customHeight="1">
      <c r="E142" s="19" t="str">
        <f>Inputs!E220</f>
        <v>Cap value</v>
      </c>
      <c r="G142" s="19" t="str">
        <f>Inputs!G220</f>
        <v>£m 2020</v>
      </c>
      <c r="I142" s="19">
        <f>ROW(Inputs!E220)</f>
        <v>220</v>
      </c>
      <c r="K142" s="116" t="s">
        <v>359</v>
      </c>
      <c r="L142" s="116"/>
    </row>
    <row r="143" spans="4:55" ht="15" customHeight="1">
      <c r="E143" s="19" t="str">
        <f>Inputs!E221</f>
        <v>Notional floor value</v>
      </c>
      <c r="G143" s="19" t="str">
        <f>Inputs!G221</f>
        <v>£m 2020</v>
      </c>
      <c r="I143" s="19">
        <f>ROW(Inputs!E221)</f>
        <v>221</v>
      </c>
      <c r="K143" s="116" t="s">
        <v>359</v>
      </c>
      <c r="L143" s="116"/>
    </row>
    <row r="144" spans="4:55" ht="15" customHeight="1">
      <c r="E144" s="19" t="str">
        <f>Inputs!E222</f>
        <v>Actual floor value</v>
      </c>
      <c r="G144" s="19" t="str">
        <f>Inputs!G222</f>
        <v>£m 2020</v>
      </c>
      <c r="I144" s="19">
        <f>ROW(Inputs!E222)</f>
        <v>222</v>
      </c>
      <c r="K144" s="116" t="s">
        <v>359</v>
      </c>
      <c r="L144" s="116"/>
    </row>
    <row r="145" spans="2:12" ht="15" customHeight="1">
      <c r="E145" s="83" t="str">
        <f>Inputs!E224</f>
        <v>Third DCt adjustment</v>
      </c>
    </row>
    <row r="146" spans="2:12" ht="15" customHeight="1">
      <c r="E146" s="19" t="str">
        <f>Inputs!E225</f>
        <v>Start date</v>
      </c>
      <c r="G146" s="19" t="str">
        <f>Inputs!G225</f>
        <v>date</v>
      </c>
      <c r="I146" s="19">
        <f>ROW(Inputs!E225)</f>
        <v>225</v>
      </c>
      <c r="K146" s="116" t="s">
        <v>359</v>
      </c>
      <c r="L146" s="116"/>
    </row>
    <row r="147" spans="2:12" ht="15" customHeight="1">
      <c r="E147" s="19" t="str">
        <f>Inputs!E226</f>
        <v>Cap value</v>
      </c>
      <c r="G147" s="19" t="str">
        <f>Inputs!G226</f>
        <v>£m 2020</v>
      </c>
      <c r="I147" s="19">
        <f>ROW(Inputs!E226)</f>
        <v>226</v>
      </c>
      <c r="K147" s="116" t="s">
        <v>359</v>
      </c>
      <c r="L147" s="116"/>
    </row>
    <row r="148" spans="2:12" ht="15" customHeight="1">
      <c r="E148" s="19" t="str">
        <f>Inputs!E227</f>
        <v>Notional floor value</v>
      </c>
      <c r="G148" s="19" t="str">
        <f>Inputs!G227</f>
        <v>£m 2020</v>
      </c>
      <c r="I148" s="19">
        <f>ROW(Inputs!E227)</f>
        <v>227</v>
      </c>
      <c r="K148" s="116" t="s">
        <v>359</v>
      </c>
      <c r="L148" s="116"/>
    </row>
    <row r="149" spans="2:12" ht="15" customHeight="1">
      <c r="E149" s="19" t="str">
        <f>Inputs!E228</f>
        <v>Actual floor value</v>
      </c>
      <c r="G149" s="19" t="str">
        <f>Inputs!G228</f>
        <v>£m 2020</v>
      </c>
      <c r="I149" s="19">
        <f>ROW(Inputs!E228)</f>
        <v>228</v>
      </c>
      <c r="K149" s="116" t="s">
        <v>359</v>
      </c>
      <c r="L149" s="116"/>
    </row>
    <row r="150" spans="2:12" ht="15" customHeight="1">
      <c r="E150" s="83" t="str">
        <f>Inputs!E230</f>
        <v>Fourth DCt adjustment</v>
      </c>
    </row>
    <row r="151" spans="2:12" ht="15" customHeight="1">
      <c r="E151" s="19" t="str">
        <f>Inputs!E231</f>
        <v>Start date</v>
      </c>
      <c r="G151" s="19" t="str">
        <f>Inputs!G231</f>
        <v>date</v>
      </c>
      <c r="I151" s="19">
        <f>ROW(Inputs!E231)</f>
        <v>231</v>
      </c>
      <c r="K151" s="116" t="s">
        <v>359</v>
      </c>
      <c r="L151" s="116"/>
    </row>
    <row r="152" spans="2:12" ht="15" customHeight="1">
      <c r="E152" s="19" t="str">
        <f>Inputs!E232</f>
        <v>Cap value</v>
      </c>
      <c r="G152" s="19" t="str">
        <f>Inputs!G232</f>
        <v>£m 2020</v>
      </c>
      <c r="I152" s="19">
        <f>ROW(Inputs!E232)</f>
        <v>232</v>
      </c>
      <c r="K152" s="116" t="s">
        <v>359</v>
      </c>
      <c r="L152" s="116"/>
    </row>
    <row r="153" spans="2:12" ht="15" customHeight="1">
      <c r="E153" s="19" t="str">
        <f>Inputs!E233</f>
        <v>Notional floor value</v>
      </c>
      <c r="G153" s="19" t="str">
        <f>Inputs!G233</f>
        <v>£m 2020</v>
      </c>
      <c r="I153" s="19">
        <f>ROW(Inputs!E233)</f>
        <v>233</v>
      </c>
      <c r="K153" s="116" t="s">
        <v>359</v>
      </c>
      <c r="L153" s="116"/>
    </row>
    <row r="154" spans="2:12" ht="15" customHeight="1">
      <c r="E154" s="19" t="str">
        <f>Inputs!E234</f>
        <v>Actual floor value</v>
      </c>
      <c r="G154" s="19" t="str">
        <f>Inputs!G234</f>
        <v>£m 2020</v>
      </c>
      <c r="I154" s="19">
        <f>ROW(Inputs!E234)</f>
        <v>234</v>
      </c>
      <c r="K154" s="116" t="s">
        <v>359</v>
      </c>
      <c r="L154" s="116"/>
    </row>
    <row r="155" spans="2:12" customFormat="1" ht="15" customHeight="1"/>
    <row r="156" spans="2:12" ht="15" customHeight="1">
      <c r="B156" s="166" t="s">
        <v>46</v>
      </c>
      <c r="C156" s="34"/>
      <c r="D156" s="34"/>
      <c r="E156" s="34"/>
      <c r="F156" s="34"/>
      <c r="G156" s="34"/>
      <c r="H156" s="34"/>
      <c r="I156" s="34"/>
      <c r="J156" s="34"/>
      <c r="K156" s="166" t="s">
        <v>363</v>
      </c>
      <c r="L156" s="74"/>
    </row>
    <row r="157" spans="2:12" ht="15" customHeight="1"/>
    <row r="158" spans="2:12" ht="15" customHeight="1"/>
  </sheetData>
  <phoneticPr fontId="82" type="noConversion"/>
  <pageMargins left="0.23622047244094491" right="0.23622047244094491" top="0.74803149606299213" bottom="0.74803149606299213" header="0.31496062992125984" footer="0.31496062992125984"/>
  <pageSetup paperSize="8" scale="41" fitToHeight="0" orientation="landscape" r:id="rId1"/>
  <headerFooter>
    <oddHeader>&amp;C&amp;"Aptos"&amp;10&amp;K000000 OFFICIAL&amp;1#_x000D_</oddHeader>
    <oddFooter>&amp;C_x000D_&amp;1#&amp;"Aptos"&amp;10&amp;K000000 OFFICIAL</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0BCD3D-36DE-40FB-8DE2-A3841829104A}">
  <sheetPr>
    <tabColor theme="7" tint="0.59999389629810485"/>
  </sheetPr>
  <dimension ref="A1:BC34"/>
  <sheetViews>
    <sheetView workbookViewId="0"/>
  </sheetViews>
  <sheetFormatPr defaultColWidth="0" defaultRowHeight="15" customHeight="1" zeroHeight="1"/>
  <cols>
    <col min="1" max="4" width="2.7109375" style="19" customWidth="1"/>
    <col min="5" max="5" width="50.7109375" style="19" customWidth="1"/>
    <col min="6" max="6" width="1.7109375" style="19" customWidth="1"/>
    <col min="7" max="7" width="15.7109375" style="19" customWidth="1"/>
    <col min="8" max="8" width="10.7109375" style="19" bestFit="1" customWidth="1"/>
    <col min="9" max="9" width="10.7109375" style="19" customWidth="1"/>
    <col min="10" max="14" width="1.7109375" style="19" customWidth="1"/>
    <col min="15" max="54" width="10.7109375" style="19" customWidth="1"/>
    <col min="55" max="55" width="2.7109375" style="19" customWidth="1"/>
    <col min="56" max="16384" width="9" style="19" hidden="1"/>
  </cols>
  <sheetData>
    <row r="1" spans="1:55" s="10" customFormat="1" ht="15" customHeight="1">
      <c r="A1" s="117" t="s">
        <v>25</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row r="7" spans="1:55" ht="15" customHeight="1">
      <c r="B7" s="166" t="s">
        <v>364</v>
      </c>
      <c r="C7" s="74"/>
      <c r="D7" s="74"/>
      <c r="E7" s="74"/>
      <c r="F7" s="74"/>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74"/>
      <c r="AI7" s="74"/>
      <c r="AJ7" s="74"/>
      <c r="AK7" s="74"/>
      <c r="AL7" s="74"/>
      <c r="AM7" s="74"/>
      <c r="AN7" s="74"/>
      <c r="AO7" s="74"/>
      <c r="AP7" s="74"/>
      <c r="AQ7" s="74"/>
      <c r="AR7" s="74"/>
      <c r="AS7" s="74"/>
      <c r="AT7" s="74"/>
      <c r="AU7" s="74"/>
      <c r="AV7" s="74"/>
      <c r="AW7" s="74"/>
      <c r="AX7" s="74"/>
      <c r="AY7" s="74"/>
      <c r="AZ7" s="74"/>
      <c r="BA7" s="74"/>
      <c r="BB7" s="74"/>
    </row>
    <row r="8" spans="1:55" ht="15" customHeight="1"/>
    <row r="9" spans="1:55" s="59" customFormat="1" ht="15" customHeight="1">
      <c r="C9" s="38" t="s">
        <v>365</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row r="11" spans="1:55" ht="15" customHeight="1">
      <c r="E11" s="19" t="s">
        <v>165</v>
      </c>
      <c r="G11" s="5" t="str">
        <f>base_year</f>
        <v>£m 2020</v>
      </c>
      <c r="O11" s="31"/>
      <c r="P11" s="184">
        <f>Inputs!P40</f>
        <v>0</v>
      </c>
      <c r="Q11" s="184">
        <f>Inputs!Q40</f>
        <v>0</v>
      </c>
      <c r="R11" s="184">
        <f>Inputs!R40</f>
        <v>0</v>
      </c>
      <c r="S11" s="184">
        <f>Inputs!S40</f>
        <v>0</v>
      </c>
      <c r="T11" s="184">
        <f>Inputs!T40</f>
        <v>0</v>
      </c>
      <c r="U11" s="184">
        <f>Inputs!U40</f>
        <v>0</v>
      </c>
      <c r="V11" s="184">
        <f>Inputs!V40</f>
        <v>0</v>
      </c>
      <c r="W11" s="184">
        <f>Inputs!W40</f>
        <v>0</v>
      </c>
      <c r="X11" s="184">
        <f>Inputs!X40</f>
        <v>0</v>
      </c>
      <c r="Y11" s="184">
        <f>Inputs!Y40</f>
        <v>0</v>
      </c>
      <c r="Z11" s="184">
        <f>Inputs!Z40</f>
        <v>0</v>
      </c>
      <c r="AA11" s="184">
        <f>Inputs!AA40</f>
        <v>0</v>
      </c>
      <c r="AB11" s="184">
        <f>Inputs!AB40</f>
        <v>0</v>
      </c>
      <c r="AC11" s="184">
        <f>Inputs!AC40</f>
        <v>0</v>
      </c>
      <c r="AD11" s="184">
        <f>Inputs!AD40</f>
        <v>0</v>
      </c>
      <c r="AE11" s="184">
        <f>Inputs!AE40</f>
        <v>0</v>
      </c>
      <c r="AF11" s="184">
        <f>Inputs!AF40</f>
        <v>0</v>
      </c>
      <c r="AG11" s="184">
        <f>Inputs!AG40</f>
        <v>0</v>
      </c>
      <c r="AH11" s="184">
        <f>Inputs!AH40</f>
        <v>0</v>
      </c>
      <c r="AI11" s="184">
        <f>Inputs!AI40</f>
        <v>0</v>
      </c>
      <c r="AJ11" s="184">
        <f>Inputs!AJ40</f>
        <v>0</v>
      </c>
      <c r="AK11" s="184">
        <f>Inputs!AK40</f>
        <v>0</v>
      </c>
      <c r="AL11" s="184">
        <f>Inputs!AL40</f>
        <v>0</v>
      </c>
      <c r="AM11" s="184">
        <f>Inputs!AM40</f>
        <v>0</v>
      </c>
      <c r="AN11" s="184">
        <f>Inputs!AN40</f>
        <v>3.520054633531112</v>
      </c>
      <c r="AO11" s="184">
        <f>Inputs!AO40</f>
        <v>0</v>
      </c>
      <c r="AP11" s="184">
        <f>Inputs!AP40</f>
        <v>0</v>
      </c>
      <c r="AQ11" s="184">
        <f>Inputs!AQ40</f>
        <v>0</v>
      </c>
      <c r="AR11" s="184">
        <f>Inputs!AR40</f>
        <v>0</v>
      </c>
      <c r="AS11" s="184">
        <f>Inputs!AS40</f>
        <v>0</v>
      </c>
      <c r="AT11" s="184">
        <f>Inputs!AT40</f>
        <v>0</v>
      </c>
      <c r="AU11" s="184">
        <f>Inputs!AU40</f>
        <v>0</v>
      </c>
      <c r="AV11" s="184">
        <f>Inputs!AV40</f>
        <v>0</v>
      </c>
      <c r="AW11" s="184">
        <f>Inputs!AW40</f>
        <v>0</v>
      </c>
      <c r="AX11" s="184">
        <f>Inputs!AX40</f>
        <v>0</v>
      </c>
      <c r="AY11" s="184">
        <f>Inputs!AY40</f>
        <v>0</v>
      </c>
      <c r="AZ11" s="184">
        <f>Inputs!AZ40</f>
        <v>0</v>
      </c>
      <c r="BA11" s="184">
        <f>Inputs!BA40</f>
        <v>0</v>
      </c>
      <c r="BB11" s="184">
        <f>Inputs!BB40</f>
        <v>0</v>
      </c>
      <c r="BC11" s="5"/>
    </row>
    <row r="12" spans="1:55" ht="15" customHeight="1">
      <c r="E12" s="19" t="s">
        <v>166</v>
      </c>
      <c r="G12" s="5" t="str">
        <f>base_year</f>
        <v>£m 2020</v>
      </c>
      <c r="O12" s="31"/>
      <c r="P12" s="184">
        <f>Inputs!P41</f>
        <v>6.2065041758547563</v>
      </c>
      <c r="Q12" s="184">
        <f>Inputs!Q41</f>
        <v>4.4747305543047622</v>
      </c>
      <c r="R12" s="184">
        <f>Inputs!R41</f>
        <v>6.356454429002981</v>
      </c>
      <c r="S12" s="184">
        <f>Inputs!S41</f>
        <v>4.4146416825120136</v>
      </c>
      <c r="T12" s="184">
        <f>Inputs!T41</f>
        <v>5.5399394443840935</v>
      </c>
      <c r="U12" s="184">
        <f>Inputs!U41</f>
        <v>6.3569319581792119</v>
      </c>
      <c r="V12" s="184">
        <f>Inputs!V41</f>
        <v>5.97448256962155</v>
      </c>
      <c r="W12" s="184">
        <f>Inputs!W41</f>
        <v>4.8788477205779133</v>
      </c>
      <c r="X12" s="184">
        <f>Inputs!X41</f>
        <v>4.3798892082642933</v>
      </c>
      <c r="Y12" s="184">
        <f>Inputs!Y41</f>
        <v>7.2122347330315026</v>
      </c>
      <c r="Z12" s="184">
        <f>Inputs!Z41</f>
        <v>3.9746975957128128</v>
      </c>
      <c r="AA12" s="184">
        <f>Inputs!AA41</f>
        <v>4.496752461184685</v>
      </c>
      <c r="AB12" s="184">
        <f>Inputs!AB41</f>
        <v>3.9752009437313118</v>
      </c>
      <c r="AC12" s="184">
        <f>Inputs!AC41</f>
        <v>4.1850896339457213</v>
      </c>
      <c r="AD12" s="184">
        <f>Inputs!AD41</f>
        <v>5.626895371229959</v>
      </c>
      <c r="AE12" s="184">
        <f>Inputs!AE41</f>
        <v>4.4505258139217299</v>
      </c>
      <c r="AF12" s="184">
        <f>Inputs!AF41</f>
        <v>3.9762381950114611</v>
      </c>
      <c r="AG12" s="184">
        <f>Inputs!AG41</f>
        <v>4.233390886467121</v>
      </c>
      <c r="AH12" s="184">
        <f>Inputs!AH41</f>
        <v>3.9767725090758641</v>
      </c>
      <c r="AI12" s="184">
        <f>Inputs!AI41</f>
        <v>4.415993104434083</v>
      </c>
      <c r="AJ12" s="184">
        <f>Inputs!AJ41</f>
        <v>3.9933568361875267</v>
      </c>
      <c r="AK12" s="184">
        <f>Inputs!AK41</f>
        <v>4.1516260287397504</v>
      </c>
      <c r="AL12" s="184">
        <f>Inputs!AL41</f>
        <v>3.9778735722109784</v>
      </c>
      <c r="AM12" s="184">
        <f>Inputs!AM41</f>
        <v>4.4331444515351128</v>
      </c>
      <c r="AN12" s="184">
        <f>Inputs!AN41</f>
        <v>3.9784407573570921</v>
      </c>
      <c r="AO12" s="184">
        <f>Inputs!AO41</f>
        <v>1.0771354570066347</v>
      </c>
      <c r="AP12" s="184">
        <f>Inputs!AP41</f>
        <v>0</v>
      </c>
      <c r="AQ12" s="184">
        <f>Inputs!AQ41</f>
        <v>0</v>
      </c>
      <c r="AR12" s="184">
        <f>Inputs!AR41</f>
        <v>0</v>
      </c>
      <c r="AS12" s="184">
        <f>Inputs!AS41</f>
        <v>0</v>
      </c>
      <c r="AT12" s="184">
        <f>Inputs!AT41</f>
        <v>0</v>
      </c>
      <c r="AU12" s="184">
        <f>Inputs!AU41</f>
        <v>0</v>
      </c>
      <c r="AV12" s="184">
        <f>Inputs!AV41</f>
        <v>0</v>
      </c>
      <c r="AW12" s="184">
        <f>Inputs!AW41</f>
        <v>0</v>
      </c>
      <c r="AX12" s="184">
        <f>Inputs!AX41</f>
        <v>0</v>
      </c>
      <c r="AY12" s="184">
        <f>Inputs!AY41</f>
        <v>0</v>
      </c>
      <c r="AZ12" s="184">
        <f>Inputs!AZ41</f>
        <v>0</v>
      </c>
      <c r="BA12" s="184">
        <f>Inputs!BA41</f>
        <v>0</v>
      </c>
      <c r="BB12" s="184">
        <f>Inputs!BB41</f>
        <v>0</v>
      </c>
      <c r="BC12" s="5"/>
    </row>
    <row r="13" spans="1:55" ht="15" customHeight="1">
      <c r="E13" s="19" t="s">
        <v>167</v>
      </c>
      <c r="G13" s="5" t="str">
        <f>base_year</f>
        <v>£m 2020</v>
      </c>
      <c r="H13" s="19" t="s">
        <v>168</v>
      </c>
      <c r="O13" s="31"/>
      <c r="P13" s="184">
        <f>Inputs!P42</f>
        <v>1.4324846504503725</v>
      </c>
      <c r="Q13" s="184">
        <f>Inputs!Q42</f>
        <v>1.4324846504503725</v>
      </c>
      <c r="R13" s="184">
        <f>Inputs!R42</f>
        <v>1.4324846504503725</v>
      </c>
      <c r="S13" s="184">
        <f>Inputs!S42</f>
        <v>1.4324846504503725</v>
      </c>
      <c r="T13" s="184">
        <f>Inputs!T42</f>
        <v>1.4324846504503725</v>
      </c>
      <c r="U13" s="184">
        <f>Inputs!U42</f>
        <v>1.4324846504503725</v>
      </c>
      <c r="V13" s="184">
        <f>Inputs!V42</f>
        <v>1.4324846504503725</v>
      </c>
      <c r="W13" s="184">
        <f>Inputs!W42</f>
        <v>1.4324846504503725</v>
      </c>
      <c r="X13" s="184">
        <f>Inputs!X42</f>
        <v>1.4324846504503725</v>
      </c>
      <c r="Y13" s="184">
        <f>Inputs!Y42</f>
        <v>1.4324846504503725</v>
      </c>
      <c r="Z13" s="184">
        <f>Inputs!Z42</f>
        <v>1.4324846504503725</v>
      </c>
      <c r="AA13" s="184">
        <f>Inputs!AA42</f>
        <v>1.4324846504503725</v>
      </c>
      <c r="AB13" s="184">
        <f>Inputs!AB42</f>
        <v>1.4324846504503725</v>
      </c>
      <c r="AC13" s="184">
        <f>Inputs!AC42</f>
        <v>1.4324846504503725</v>
      </c>
      <c r="AD13" s="184">
        <f>Inputs!AD42</f>
        <v>1.4324846504503725</v>
      </c>
      <c r="AE13" s="184">
        <f>Inputs!AE42</f>
        <v>1.4324846504503725</v>
      </c>
      <c r="AF13" s="184">
        <f>Inputs!AF42</f>
        <v>1.4324846504503725</v>
      </c>
      <c r="AG13" s="184">
        <f>Inputs!AG42</f>
        <v>1.4324846504503725</v>
      </c>
      <c r="AH13" s="184">
        <f>Inputs!AH42</f>
        <v>1.4324846504503725</v>
      </c>
      <c r="AI13" s="184">
        <f>Inputs!AI42</f>
        <v>1.4324846504503725</v>
      </c>
      <c r="AJ13" s="184">
        <f>Inputs!AJ42</f>
        <v>1.4324846504503725</v>
      </c>
      <c r="AK13" s="184">
        <f>Inputs!AK42</f>
        <v>1.4324846504503725</v>
      </c>
      <c r="AL13" s="184">
        <f>Inputs!AL42</f>
        <v>1.4324846504503725</v>
      </c>
      <c r="AM13" s="184">
        <f>Inputs!AM42</f>
        <v>1.4324846504503725</v>
      </c>
      <c r="AN13" s="184">
        <f>Inputs!AN42</f>
        <v>1.4324846504503725</v>
      </c>
      <c r="AO13" s="184">
        <f>Inputs!AO42</f>
        <v>0.14714778329345773</v>
      </c>
      <c r="AP13" s="184">
        <f>Inputs!AP42</f>
        <v>0</v>
      </c>
      <c r="AQ13" s="184">
        <f>Inputs!AQ42</f>
        <v>0</v>
      </c>
      <c r="AR13" s="184">
        <f>Inputs!AR42</f>
        <v>0</v>
      </c>
      <c r="AS13" s="184">
        <f>Inputs!AS42</f>
        <v>0</v>
      </c>
      <c r="AT13" s="184">
        <f>Inputs!AT42</f>
        <v>0</v>
      </c>
      <c r="AU13" s="184">
        <f>Inputs!AU42</f>
        <v>0</v>
      </c>
      <c r="AV13" s="184">
        <f>Inputs!AV42</f>
        <v>0</v>
      </c>
      <c r="AW13" s="184">
        <f>Inputs!AW42</f>
        <v>0</v>
      </c>
      <c r="AX13" s="184">
        <f>Inputs!AX42</f>
        <v>0</v>
      </c>
      <c r="AY13" s="184">
        <f>Inputs!AY42</f>
        <v>0</v>
      </c>
      <c r="AZ13" s="184">
        <f>Inputs!AZ42</f>
        <v>0</v>
      </c>
      <c r="BA13" s="184">
        <f>Inputs!BA42</f>
        <v>0</v>
      </c>
      <c r="BB13" s="184">
        <f>Inputs!BB42</f>
        <v>0</v>
      </c>
      <c r="BC13" s="5"/>
    </row>
    <row r="14" spans="1:55" ht="15" customHeight="1">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5"/>
      <c r="BA14" s="35"/>
      <c r="BB14" s="35"/>
    </row>
    <row r="15" spans="1:55" s="59" customFormat="1" ht="15" customHeight="1">
      <c r="C15" s="38" t="s">
        <v>211</v>
      </c>
      <c r="D15" s="38"/>
      <c r="E15" s="38"/>
      <c r="F15" s="38"/>
      <c r="G15" s="38"/>
      <c r="H15" s="38"/>
      <c r="I15" s="38"/>
      <c r="J15" s="38"/>
      <c r="K15" s="38"/>
      <c r="L15" s="38"/>
      <c r="M15" s="38"/>
      <c r="N15" s="38"/>
      <c r="O15" s="38"/>
      <c r="P15" s="90"/>
      <c r="Q15" s="90"/>
      <c r="R15" s="90"/>
      <c r="S15" s="90"/>
      <c r="T15" s="90"/>
      <c r="U15" s="90"/>
      <c r="V15" s="90"/>
      <c r="W15" s="90"/>
      <c r="X15" s="90"/>
      <c r="Y15" s="90"/>
      <c r="Z15" s="90"/>
      <c r="AA15" s="90"/>
      <c r="AB15" s="90"/>
      <c r="AC15" s="90"/>
      <c r="AD15" s="90"/>
      <c r="AE15" s="90"/>
      <c r="AF15" s="90"/>
      <c r="AG15" s="90"/>
      <c r="AH15" s="90"/>
      <c r="AI15" s="90"/>
      <c r="AJ15" s="90"/>
      <c r="AK15" s="90"/>
      <c r="AL15" s="90"/>
      <c r="AM15" s="90"/>
      <c r="AN15" s="90"/>
      <c r="AO15" s="90"/>
      <c r="AP15" s="90"/>
      <c r="AQ15" s="90"/>
      <c r="AR15" s="90"/>
      <c r="AS15" s="90"/>
      <c r="AT15" s="90"/>
      <c r="AU15" s="90"/>
      <c r="AV15" s="90"/>
      <c r="AW15" s="90"/>
      <c r="AX15" s="90"/>
      <c r="AY15" s="90"/>
      <c r="AZ15" s="90"/>
      <c r="BA15" s="90"/>
      <c r="BB15" s="90"/>
    </row>
    <row r="16" spans="1:55" ht="15" customHeight="1">
      <c r="G16" s="5"/>
      <c r="O16" s="1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row>
    <row r="17" spans="1:54" ht="15" customHeight="1">
      <c r="E17" s="19" t="s">
        <v>212</v>
      </c>
      <c r="G17" s="5" t="s">
        <v>248</v>
      </c>
      <c r="O17" s="31"/>
      <c r="P17" s="184">
        <f>Inputs!P91</f>
        <v>0</v>
      </c>
      <c r="Q17" s="184">
        <f>Inputs!Q91</f>
        <v>0</v>
      </c>
      <c r="R17" s="184">
        <f>Inputs!R91</f>
        <v>0</v>
      </c>
      <c r="S17" s="184">
        <f>Inputs!S91</f>
        <v>0</v>
      </c>
      <c r="T17" s="184">
        <f>Inputs!T91</f>
        <v>0</v>
      </c>
      <c r="U17" s="184">
        <f>Inputs!U91</f>
        <v>0</v>
      </c>
      <c r="V17" s="184">
        <f>Inputs!V91</f>
        <v>0</v>
      </c>
      <c r="W17" s="184">
        <f>Inputs!W91</f>
        <v>0</v>
      </c>
      <c r="X17" s="184">
        <f>Inputs!X91</f>
        <v>0</v>
      </c>
      <c r="Y17" s="184">
        <f>Inputs!Y91</f>
        <v>0</v>
      </c>
      <c r="Z17" s="184">
        <f>Inputs!Z91</f>
        <v>0</v>
      </c>
      <c r="AA17" s="184">
        <f>Inputs!AA91</f>
        <v>0</v>
      </c>
      <c r="AB17" s="184">
        <f>Inputs!AB91</f>
        <v>0</v>
      </c>
      <c r="AC17" s="184">
        <f>Inputs!AC91</f>
        <v>0</v>
      </c>
      <c r="AD17" s="184">
        <f>Inputs!AD91</f>
        <v>0</v>
      </c>
      <c r="AE17" s="184">
        <f>Inputs!AE91</f>
        <v>0</v>
      </c>
      <c r="AF17" s="184">
        <f>Inputs!AF91</f>
        <v>0</v>
      </c>
      <c r="AG17" s="184">
        <f>Inputs!AG91</f>
        <v>0</v>
      </c>
      <c r="AH17" s="184">
        <f>Inputs!AH91</f>
        <v>0</v>
      </c>
      <c r="AI17" s="184">
        <f>Inputs!AI91</f>
        <v>0</v>
      </c>
      <c r="AJ17" s="184">
        <f>Inputs!AJ91</f>
        <v>0</v>
      </c>
      <c r="AK17" s="184">
        <f>Inputs!AK91</f>
        <v>0</v>
      </c>
      <c r="AL17" s="184">
        <f>Inputs!AL91</f>
        <v>0</v>
      </c>
      <c r="AM17" s="184">
        <f>Inputs!AM91</f>
        <v>0</v>
      </c>
      <c r="AN17" s="184">
        <f>Inputs!AN91</f>
        <v>0</v>
      </c>
      <c r="AO17" s="184">
        <f>Inputs!AO91</f>
        <v>0</v>
      </c>
      <c r="AP17" s="184">
        <f>Inputs!AP91</f>
        <v>0</v>
      </c>
      <c r="AQ17" s="184">
        <f>Inputs!AQ91</f>
        <v>0</v>
      </c>
      <c r="AR17" s="184">
        <f>Inputs!AR91</f>
        <v>0</v>
      </c>
      <c r="AS17" s="184">
        <f>Inputs!AS91</f>
        <v>0</v>
      </c>
      <c r="AT17" s="184">
        <f>Inputs!AT91</f>
        <v>0</v>
      </c>
      <c r="AU17" s="184">
        <f>Inputs!AU91</f>
        <v>0</v>
      </c>
      <c r="AV17" s="184">
        <f>Inputs!AV91</f>
        <v>0</v>
      </c>
      <c r="AW17" s="184">
        <f>Inputs!AW91</f>
        <v>0</v>
      </c>
      <c r="AX17" s="184">
        <f>Inputs!AX91</f>
        <v>0</v>
      </c>
      <c r="AY17" s="184">
        <f>Inputs!AY91</f>
        <v>0</v>
      </c>
      <c r="AZ17" s="184">
        <f>Inputs!AZ91</f>
        <v>0</v>
      </c>
      <c r="BA17" s="184">
        <f>Inputs!BA91</f>
        <v>0</v>
      </c>
      <c r="BB17" s="184">
        <f>Inputs!BB91</f>
        <v>0</v>
      </c>
    </row>
    <row r="18" spans="1:54" ht="15" customHeight="1">
      <c r="G18" s="5"/>
      <c r="O18" s="1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row>
    <row r="19" spans="1:54" s="146" customFormat="1" ht="15" customHeight="1">
      <c r="A19"/>
      <c r="B19"/>
      <c r="C19"/>
      <c r="D19"/>
      <c r="E19" s="75" t="s">
        <v>285</v>
      </c>
      <c r="G19" s="146" t="s">
        <v>181</v>
      </c>
      <c r="H19" s="146" t="s">
        <v>286</v>
      </c>
      <c r="O19" s="150"/>
      <c r="P19" s="185">
        <f>Inputs!P158</f>
        <v>0</v>
      </c>
      <c r="Q19" s="185">
        <f>Inputs!Q158</f>
        <v>0</v>
      </c>
      <c r="R19" s="185">
        <f>Inputs!R158</f>
        <v>0</v>
      </c>
      <c r="S19" s="185">
        <f>Inputs!S158</f>
        <v>0</v>
      </c>
      <c r="T19" s="185">
        <f>Inputs!T158</f>
        <v>0</v>
      </c>
      <c r="U19" s="185">
        <f>Inputs!U158</f>
        <v>0</v>
      </c>
      <c r="V19" s="185">
        <f>Inputs!V158</f>
        <v>0</v>
      </c>
      <c r="W19" s="185">
        <f>Inputs!W158</f>
        <v>0</v>
      </c>
      <c r="X19" s="185">
        <f>Inputs!X158</f>
        <v>0</v>
      </c>
      <c r="Y19" s="185">
        <f>Inputs!Y158</f>
        <v>0</v>
      </c>
      <c r="Z19" s="185">
        <f>Inputs!Z158</f>
        <v>0</v>
      </c>
      <c r="AA19" s="185">
        <f>Inputs!AA158</f>
        <v>0</v>
      </c>
      <c r="AB19" s="185">
        <f>Inputs!AB158</f>
        <v>0</v>
      </c>
      <c r="AC19" s="185">
        <f>Inputs!AC158</f>
        <v>0</v>
      </c>
      <c r="AD19" s="185">
        <f>Inputs!AD158</f>
        <v>0</v>
      </c>
      <c r="AE19" s="185">
        <f>Inputs!AE158</f>
        <v>0</v>
      </c>
      <c r="AF19" s="185">
        <f>Inputs!AF158</f>
        <v>0</v>
      </c>
      <c r="AG19" s="185">
        <f>Inputs!AG158</f>
        <v>0</v>
      </c>
      <c r="AH19" s="185">
        <f>Inputs!AH158</f>
        <v>0</v>
      </c>
      <c r="AI19" s="185">
        <f>Inputs!AI158</f>
        <v>0</v>
      </c>
      <c r="AJ19" s="185">
        <f>Inputs!AJ158</f>
        <v>0</v>
      </c>
      <c r="AK19" s="185">
        <f>Inputs!AK158</f>
        <v>0</v>
      </c>
      <c r="AL19" s="185">
        <f>Inputs!AL158</f>
        <v>0</v>
      </c>
      <c r="AM19" s="185">
        <f>Inputs!AM158</f>
        <v>0</v>
      </c>
      <c r="AN19" s="185">
        <f>Inputs!AN158</f>
        <v>0</v>
      </c>
      <c r="AO19" s="185">
        <f>Inputs!AO158</f>
        <v>0</v>
      </c>
      <c r="AP19" s="185">
        <f>Inputs!AP158</f>
        <v>0</v>
      </c>
      <c r="AQ19" s="185">
        <f>Inputs!AQ158</f>
        <v>0</v>
      </c>
      <c r="AR19" s="185">
        <f>Inputs!AR158</f>
        <v>0</v>
      </c>
      <c r="AS19" s="185">
        <f>Inputs!AS158</f>
        <v>0</v>
      </c>
      <c r="AT19" s="185">
        <f>Inputs!AT158</f>
        <v>0</v>
      </c>
      <c r="AU19" s="185">
        <f>Inputs!AU158</f>
        <v>0</v>
      </c>
      <c r="AV19" s="185">
        <f>Inputs!AV158</f>
        <v>0</v>
      </c>
      <c r="AW19" s="185">
        <f>Inputs!AW158</f>
        <v>0</v>
      </c>
      <c r="AX19" s="185">
        <f>Inputs!AX158</f>
        <v>0</v>
      </c>
      <c r="AY19" s="185">
        <f>Inputs!AY158</f>
        <v>0</v>
      </c>
      <c r="AZ19" s="185">
        <f>Inputs!AZ158</f>
        <v>0</v>
      </c>
      <c r="BA19" s="185">
        <f>Inputs!BA158</f>
        <v>0</v>
      </c>
      <c r="BB19" s="185">
        <f>Inputs!BB158</f>
        <v>0</v>
      </c>
    </row>
    <row r="20" spans="1:54" ht="15" customHeight="1">
      <c r="G20" s="5"/>
      <c r="O20" s="1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row>
    <row r="21" spans="1:54" ht="15" customHeight="1">
      <c r="E21" s="19" t="s">
        <v>212</v>
      </c>
      <c r="G21" s="5" t="s">
        <v>248</v>
      </c>
      <c r="H21" s="19" t="s">
        <v>366</v>
      </c>
      <c r="O21" s="31"/>
      <c r="P21" s="186">
        <f t="shared" ref="P21:BB21" si="0">IF(CF_currency="€",P17/P$19,P17)</f>
        <v>0</v>
      </c>
      <c r="Q21" s="186">
        <f t="shared" si="0"/>
        <v>0</v>
      </c>
      <c r="R21" s="186">
        <f t="shared" si="0"/>
        <v>0</v>
      </c>
      <c r="S21" s="186">
        <f t="shared" si="0"/>
        <v>0</v>
      </c>
      <c r="T21" s="186">
        <f t="shared" si="0"/>
        <v>0</v>
      </c>
      <c r="U21" s="186">
        <f t="shared" si="0"/>
        <v>0</v>
      </c>
      <c r="V21" s="186">
        <f t="shared" si="0"/>
        <v>0</v>
      </c>
      <c r="W21" s="186">
        <f t="shared" si="0"/>
        <v>0</v>
      </c>
      <c r="X21" s="186">
        <f t="shared" si="0"/>
        <v>0</v>
      </c>
      <c r="Y21" s="186">
        <f t="shared" si="0"/>
        <v>0</v>
      </c>
      <c r="Z21" s="186">
        <f t="shared" si="0"/>
        <v>0</v>
      </c>
      <c r="AA21" s="186">
        <f t="shared" si="0"/>
        <v>0</v>
      </c>
      <c r="AB21" s="186">
        <f t="shared" si="0"/>
        <v>0</v>
      </c>
      <c r="AC21" s="186">
        <f t="shared" si="0"/>
        <v>0</v>
      </c>
      <c r="AD21" s="186">
        <f t="shared" si="0"/>
        <v>0</v>
      </c>
      <c r="AE21" s="186">
        <f t="shared" si="0"/>
        <v>0</v>
      </c>
      <c r="AF21" s="186">
        <f t="shared" si="0"/>
        <v>0</v>
      </c>
      <c r="AG21" s="186">
        <f t="shared" si="0"/>
        <v>0</v>
      </c>
      <c r="AH21" s="186">
        <f t="shared" si="0"/>
        <v>0</v>
      </c>
      <c r="AI21" s="186">
        <f t="shared" si="0"/>
        <v>0</v>
      </c>
      <c r="AJ21" s="186">
        <f t="shared" si="0"/>
        <v>0</v>
      </c>
      <c r="AK21" s="186">
        <f t="shared" si="0"/>
        <v>0</v>
      </c>
      <c r="AL21" s="186">
        <f t="shared" si="0"/>
        <v>0</v>
      </c>
      <c r="AM21" s="186">
        <f t="shared" si="0"/>
        <v>0</v>
      </c>
      <c r="AN21" s="186">
        <f t="shared" si="0"/>
        <v>0</v>
      </c>
      <c r="AO21" s="186">
        <f t="shared" si="0"/>
        <v>0</v>
      </c>
      <c r="AP21" s="186">
        <f t="shared" si="0"/>
        <v>0</v>
      </c>
      <c r="AQ21" s="186">
        <f t="shared" si="0"/>
        <v>0</v>
      </c>
      <c r="AR21" s="186">
        <f t="shared" si="0"/>
        <v>0</v>
      </c>
      <c r="AS21" s="186">
        <f t="shared" si="0"/>
        <v>0</v>
      </c>
      <c r="AT21" s="186">
        <f t="shared" si="0"/>
        <v>0</v>
      </c>
      <c r="AU21" s="186">
        <f t="shared" si="0"/>
        <v>0</v>
      </c>
      <c r="AV21" s="186">
        <f t="shared" si="0"/>
        <v>0</v>
      </c>
      <c r="AW21" s="186">
        <f t="shared" si="0"/>
        <v>0</v>
      </c>
      <c r="AX21" s="186">
        <f t="shared" si="0"/>
        <v>0</v>
      </c>
      <c r="AY21" s="186">
        <f t="shared" si="0"/>
        <v>0</v>
      </c>
      <c r="AZ21" s="186">
        <f t="shared" si="0"/>
        <v>0</v>
      </c>
      <c r="BA21" s="186">
        <f t="shared" si="0"/>
        <v>0</v>
      </c>
      <c r="BB21" s="186">
        <f t="shared" si="0"/>
        <v>0</v>
      </c>
    </row>
    <row r="22" spans="1:54" ht="15" customHeight="1">
      <c r="G22" s="5"/>
      <c r="O22" s="1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row>
    <row r="23" spans="1:54" ht="15" customHeight="1">
      <c r="E23" s="19" t="s">
        <v>213</v>
      </c>
      <c r="G23" s="5" t="s">
        <v>248</v>
      </c>
      <c r="O23" s="31"/>
      <c r="P23" s="184">
        <f>Inputs!P92</f>
        <v>0</v>
      </c>
      <c r="Q23" s="184">
        <f>Inputs!Q92</f>
        <v>0</v>
      </c>
      <c r="R23" s="184">
        <f>Inputs!R92</f>
        <v>0</v>
      </c>
      <c r="S23" s="184">
        <f>Inputs!S92</f>
        <v>0</v>
      </c>
      <c r="T23" s="184">
        <f>Inputs!T92</f>
        <v>0</v>
      </c>
      <c r="U23" s="184">
        <f>Inputs!U92</f>
        <v>0</v>
      </c>
      <c r="V23" s="184">
        <f>Inputs!V92</f>
        <v>0</v>
      </c>
      <c r="W23" s="184">
        <f>Inputs!W92</f>
        <v>0</v>
      </c>
      <c r="X23" s="184">
        <f>Inputs!X92</f>
        <v>0</v>
      </c>
      <c r="Y23" s="184">
        <f>Inputs!Y92</f>
        <v>0</v>
      </c>
      <c r="Z23" s="184">
        <f>Inputs!Z92</f>
        <v>0</v>
      </c>
      <c r="AA23" s="184">
        <f>Inputs!AA92</f>
        <v>0</v>
      </c>
      <c r="AB23" s="184">
        <f>Inputs!AB92</f>
        <v>0</v>
      </c>
      <c r="AC23" s="184">
        <f>Inputs!AC92</f>
        <v>0</v>
      </c>
      <c r="AD23" s="184">
        <f>Inputs!AD92</f>
        <v>0</v>
      </c>
      <c r="AE23" s="184">
        <f>Inputs!AE92</f>
        <v>0</v>
      </c>
      <c r="AF23" s="184">
        <f>Inputs!AF92</f>
        <v>0</v>
      </c>
      <c r="AG23" s="184">
        <f>Inputs!AG92</f>
        <v>0</v>
      </c>
      <c r="AH23" s="184">
        <f>Inputs!AH92</f>
        <v>0</v>
      </c>
      <c r="AI23" s="184">
        <f>Inputs!AI92</f>
        <v>0</v>
      </c>
      <c r="AJ23" s="184">
        <f>Inputs!AJ92</f>
        <v>0</v>
      </c>
      <c r="AK23" s="184">
        <f>Inputs!AK92</f>
        <v>0</v>
      </c>
      <c r="AL23" s="184">
        <f>Inputs!AL92</f>
        <v>0</v>
      </c>
      <c r="AM23" s="184">
        <f>Inputs!AM92</f>
        <v>0</v>
      </c>
      <c r="AN23" s="184">
        <f>Inputs!AN92</f>
        <v>0</v>
      </c>
      <c r="AO23" s="184">
        <f>Inputs!AO92</f>
        <v>0</v>
      </c>
      <c r="AP23" s="184">
        <f>Inputs!AP92</f>
        <v>0</v>
      </c>
      <c r="AQ23" s="184">
        <f>Inputs!AQ92</f>
        <v>0</v>
      </c>
      <c r="AR23" s="184">
        <f>Inputs!AR92</f>
        <v>0</v>
      </c>
      <c r="AS23" s="184">
        <f>Inputs!AS92</f>
        <v>0</v>
      </c>
      <c r="AT23" s="184">
        <f>Inputs!AT92</f>
        <v>0</v>
      </c>
      <c r="AU23" s="184">
        <f>Inputs!AU92</f>
        <v>0</v>
      </c>
      <c r="AV23" s="184">
        <f>Inputs!AV92</f>
        <v>0</v>
      </c>
      <c r="AW23" s="184">
        <f>Inputs!AW92</f>
        <v>0</v>
      </c>
      <c r="AX23" s="184">
        <f>Inputs!AX92</f>
        <v>0</v>
      </c>
      <c r="AY23" s="184">
        <f>Inputs!AY92</f>
        <v>0</v>
      </c>
      <c r="AZ23" s="184">
        <f>Inputs!AZ92</f>
        <v>0</v>
      </c>
      <c r="BA23" s="184">
        <f>Inputs!BA92</f>
        <v>0</v>
      </c>
      <c r="BB23" s="184">
        <f>Inputs!BB92</f>
        <v>0</v>
      </c>
    </row>
    <row r="24" spans="1:54" ht="15" customHeight="1">
      <c r="G24" s="5"/>
      <c r="O24" s="1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row>
    <row r="25" spans="1:54" ht="15" customHeight="1">
      <c r="E25" s="19" t="s">
        <v>213</v>
      </c>
      <c r="G25" s="5" t="s">
        <v>248</v>
      </c>
      <c r="O25" s="31"/>
      <c r="P25" s="186">
        <f t="shared" ref="P25:BB25" si="1">IF(CF_currency="€",P23/P$19,P23)</f>
        <v>0</v>
      </c>
      <c r="Q25" s="186">
        <f t="shared" si="1"/>
        <v>0</v>
      </c>
      <c r="R25" s="186">
        <f t="shared" si="1"/>
        <v>0</v>
      </c>
      <c r="S25" s="186">
        <f t="shared" si="1"/>
        <v>0</v>
      </c>
      <c r="T25" s="186">
        <f t="shared" si="1"/>
        <v>0</v>
      </c>
      <c r="U25" s="186">
        <f t="shared" si="1"/>
        <v>0</v>
      </c>
      <c r="V25" s="186">
        <f t="shared" si="1"/>
        <v>0</v>
      </c>
      <c r="W25" s="186">
        <f t="shared" si="1"/>
        <v>0</v>
      </c>
      <c r="X25" s="186">
        <f t="shared" si="1"/>
        <v>0</v>
      </c>
      <c r="Y25" s="186">
        <f t="shared" si="1"/>
        <v>0</v>
      </c>
      <c r="Z25" s="186">
        <f t="shared" si="1"/>
        <v>0</v>
      </c>
      <c r="AA25" s="186">
        <f t="shared" si="1"/>
        <v>0</v>
      </c>
      <c r="AB25" s="186">
        <f t="shared" si="1"/>
        <v>0</v>
      </c>
      <c r="AC25" s="186">
        <f t="shared" si="1"/>
        <v>0</v>
      </c>
      <c r="AD25" s="186">
        <f t="shared" si="1"/>
        <v>0</v>
      </c>
      <c r="AE25" s="186">
        <f t="shared" si="1"/>
        <v>0</v>
      </c>
      <c r="AF25" s="186">
        <f t="shared" si="1"/>
        <v>0</v>
      </c>
      <c r="AG25" s="186">
        <f t="shared" si="1"/>
        <v>0</v>
      </c>
      <c r="AH25" s="186">
        <f t="shared" si="1"/>
        <v>0</v>
      </c>
      <c r="AI25" s="186">
        <f t="shared" si="1"/>
        <v>0</v>
      </c>
      <c r="AJ25" s="186">
        <f t="shared" si="1"/>
        <v>0</v>
      </c>
      <c r="AK25" s="186">
        <f t="shared" si="1"/>
        <v>0</v>
      </c>
      <c r="AL25" s="186">
        <f t="shared" si="1"/>
        <v>0</v>
      </c>
      <c r="AM25" s="186">
        <f t="shared" si="1"/>
        <v>0</v>
      </c>
      <c r="AN25" s="186">
        <f t="shared" si="1"/>
        <v>0</v>
      </c>
      <c r="AO25" s="186">
        <f t="shared" si="1"/>
        <v>0</v>
      </c>
      <c r="AP25" s="186">
        <f t="shared" si="1"/>
        <v>0</v>
      </c>
      <c r="AQ25" s="186">
        <f t="shared" si="1"/>
        <v>0</v>
      </c>
      <c r="AR25" s="186">
        <f t="shared" si="1"/>
        <v>0</v>
      </c>
      <c r="AS25" s="186">
        <f t="shared" si="1"/>
        <v>0</v>
      </c>
      <c r="AT25" s="186">
        <f t="shared" si="1"/>
        <v>0</v>
      </c>
      <c r="AU25" s="186">
        <f t="shared" si="1"/>
        <v>0</v>
      </c>
      <c r="AV25" s="186">
        <f t="shared" si="1"/>
        <v>0</v>
      </c>
      <c r="AW25" s="186">
        <f t="shared" si="1"/>
        <v>0</v>
      </c>
      <c r="AX25" s="186">
        <f t="shared" si="1"/>
        <v>0</v>
      </c>
      <c r="AY25" s="186">
        <f t="shared" si="1"/>
        <v>0</v>
      </c>
      <c r="AZ25" s="186">
        <f t="shared" si="1"/>
        <v>0</v>
      </c>
      <c r="BA25" s="186">
        <f t="shared" si="1"/>
        <v>0</v>
      </c>
      <c r="BB25" s="186">
        <f t="shared" si="1"/>
        <v>0</v>
      </c>
    </row>
    <row r="26" spans="1:54" ht="15" customHeight="1">
      <c r="G26" s="5"/>
      <c r="O26" s="5"/>
      <c r="P26" s="125"/>
      <c r="Q26" s="125"/>
      <c r="R26" s="125"/>
      <c r="S26" s="125"/>
      <c r="T26" s="125"/>
      <c r="U26" s="125"/>
      <c r="V26" s="125"/>
      <c r="W26" s="125"/>
      <c r="X26" s="125"/>
      <c r="Y26" s="125"/>
      <c r="Z26" s="125"/>
      <c r="AA26" s="125"/>
      <c r="AB26" s="125"/>
      <c r="AC26" s="125"/>
      <c r="AD26" s="125"/>
      <c r="AE26" s="125"/>
      <c r="AF26" s="125"/>
      <c r="AG26" s="125"/>
      <c r="AH26" s="125"/>
      <c r="AI26" s="125"/>
      <c r="AJ26" s="125"/>
      <c r="AK26" s="125"/>
      <c r="AL26" s="125"/>
      <c r="AM26" s="125"/>
      <c r="AN26" s="125"/>
      <c r="AO26" s="125"/>
      <c r="AP26" s="125"/>
      <c r="AQ26" s="125"/>
      <c r="AR26" s="125"/>
      <c r="AS26" s="125"/>
      <c r="AT26" s="125"/>
      <c r="AU26" s="125"/>
      <c r="AV26" s="125"/>
      <c r="AW26" s="125"/>
      <c r="AX26" s="125"/>
      <c r="AY26" s="125"/>
      <c r="AZ26" s="125"/>
      <c r="BA26" s="125"/>
      <c r="BB26" s="125"/>
    </row>
    <row r="27" spans="1:54" ht="15" customHeight="1">
      <c r="B27" s="166" t="s">
        <v>367</v>
      </c>
      <c r="C27" s="8"/>
      <c r="D27" s="8"/>
      <c r="E27" s="8"/>
      <c r="F27" s="8"/>
      <c r="G27" s="8"/>
      <c r="H27" s="8"/>
      <c r="I27" s="8"/>
      <c r="J27" s="8"/>
      <c r="K27" s="8"/>
      <c r="L27" s="8"/>
      <c r="M27" s="8"/>
      <c r="N27" s="8"/>
      <c r="O27" s="8"/>
      <c r="P27" s="8"/>
      <c r="Q27" s="8"/>
      <c r="R27" s="8"/>
      <c r="S27" s="8"/>
      <c r="T27" s="8"/>
      <c r="U27" s="8"/>
      <c r="V27" s="8"/>
      <c r="W27" s="8"/>
      <c r="X27" s="8"/>
      <c r="Y27" s="8"/>
      <c r="Z27" s="8"/>
      <c r="AA27" s="8"/>
      <c r="AB27" s="8"/>
      <c r="AC27" s="8"/>
      <c r="AD27" s="8"/>
      <c r="AE27" s="8"/>
      <c r="AF27" s="8"/>
      <c r="AG27" s="8"/>
      <c r="AH27" s="8"/>
      <c r="AI27" s="8"/>
      <c r="AJ27" s="8"/>
      <c r="AK27" s="8"/>
      <c r="AL27" s="8"/>
      <c r="AM27" s="8"/>
      <c r="AN27" s="8"/>
      <c r="AO27" s="8"/>
      <c r="AP27" s="8"/>
      <c r="AQ27" s="8"/>
      <c r="AR27" s="8"/>
      <c r="AS27" s="8"/>
      <c r="AT27" s="8"/>
      <c r="AU27" s="8"/>
      <c r="AV27" s="8"/>
      <c r="AW27" s="8"/>
      <c r="AX27" s="8"/>
      <c r="AY27" s="8"/>
      <c r="AZ27" s="8"/>
      <c r="BA27" s="8"/>
      <c r="BB27" s="8"/>
    </row>
    <row r="28" spans="1:54" ht="15" customHeight="1">
      <c r="B28" s="4"/>
      <c r="C28" s="4"/>
      <c r="D28" s="4"/>
      <c r="E28" s="4"/>
      <c r="F28" s="4"/>
      <c r="G28" s="4"/>
      <c r="H28" s="4"/>
      <c r="I28" s="4"/>
      <c r="J28" s="4"/>
      <c r="K28" s="4"/>
      <c r="L28" s="4"/>
      <c r="M28" s="4"/>
      <c r="N28" s="4"/>
      <c r="O28" s="15"/>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row>
    <row r="29" spans="1:54" ht="15" customHeight="1">
      <c r="B29" s="4"/>
      <c r="C29" s="4"/>
      <c r="D29" s="4"/>
      <c r="E29" s="41" t="s">
        <v>245</v>
      </c>
      <c r="F29" s="4"/>
      <c r="G29" s="41" t="s">
        <v>248</v>
      </c>
      <c r="H29" s="41" t="s">
        <v>246</v>
      </c>
      <c r="I29" s="4"/>
      <c r="J29" s="4"/>
      <c r="K29" s="4"/>
      <c r="L29" s="4"/>
      <c r="M29" s="4"/>
      <c r="N29" s="4"/>
      <c r="O29" s="31"/>
      <c r="P29" s="184">
        <f>Inputs!P115</f>
        <v>0</v>
      </c>
      <c r="Q29" s="184">
        <f>Inputs!Q115</f>
        <v>0</v>
      </c>
      <c r="R29" s="184">
        <f>Inputs!R115</f>
        <v>0</v>
      </c>
      <c r="S29" s="184">
        <f>Inputs!S115</f>
        <v>0</v>
      </c>
      <c r="T29" s="184">
        <f>Inputs!T115</f>
        <v>0</v>
      </c>
      <c r="U29" s="184">
        <f>Inputs!U115</f>
        <v>0</v>
      </c>
      <c r="V29" s="184">
        <f>Inputs!V115</f>
        <v>0</v>
      </c>
      <c r="W29" s="184">
        <f>Inputs!W115</f>
        <v>0</v>
      </c>
      <c r="X29" s="184">
        <f>Inputs!X115</f>
        <v>0</v>
      </c>
      <c r="Y29" s="184">
        <f>Inputs!Y115</f>
        <v>0</v>
      </c>
      <c r="Z29" s="184">
        <f>Inputs!Z115</f>
        <v>0</v>
      </c>
      <c r="AA29" s="184">
        <f>Inputs!AA115</f>
        <v>0</v>
      </c>
      <c r="AB29" s="184">
        <f>Inputs!AB115</f>
        <v>0</v>
      </c>
      <c r="AC29" s="184">
        <f>Inputs!AC115</f>
        <v>0</v>
      </c>
      <c r="AD29" s="184">
        <f>Inputs!AD115</f>
        <v>0</v>
      </c>
      <c r="AE29" s="184">
        <f>Inputs!AE115</f>
        <v>0</v>
      </c>
      <c r="AF29" s="184">
        <f>Inputs!AF115</f>
        <v>0</v>
      </c>
      <c r="AG29" s="184">
        <f>Inputs!AG115</f>
        <v>0</v>
      </c>
      <c r="AH29" s="184">
        <f>Inputs!AH115</f>
        <v>0</v>
      </c>
      <c r="AI29" s="184">
        <f>Inputs!AI115</f>
        <v>0</v>
      </c>
      <c r="AJ29" s="184">
        <f>Inputs!AJ115</f>
        <v>0</v>
      </c>
      <c r="AK29" s="184">
        <f>Inputs!AK115</f>
        <v>0</v>
      </c>
      <c r="AL29" s="184">
        <f>Inputs!AL115</f>
        <v>0</v>
      </c>
      <c r="AM29" s="184">
        <f>Inputs!AM115</f>
        <v>0</v>
      </c>
      <c r="AN29" s="184">
        <f>Inputs!AN115</f>
        <v>0</v>
      </c>
      <c r="AO29" s="184">
        <f>Inputs!AO115</f>
        <v>0</v>
      </c>
      <c r="AP29" s="184">
        <f>Inputs!AP115</f>
        <v>0</v>
      </c>
      <c r="AQ29" s="184">
        <f>Inputs!AQ115</f>
        <v>0</v>
      </c>
      <c r="AR29" s="184">
        <f>Inputs!AR115</f>
        <v>0</v>
      </c>
      <c r="AS29" s="184">
        <f>Inputs!AS115</f>
        <v>0</v>
      </c>
      <c r="AT29" s="184">
        <f>Inputs!AT115</f>
        <v>0</v>
      </c>
      <c r="AU29" s="184">
        <f>Inputs!AU115</f>
        <v>0</v>
      </c>
      <c r="AV29" s="184">
        <f>Inputs!AV115</f>
        <v>0</v>
      </c>
      <c r="AW29" s="184">
        <f>Inputs!AW115</f>
        <v>0</v>
      </c>
      <c r="AX29" s="184">
        <f>Inputs!AX115</f>
        <v>0</v>
      </c>
      <c r="AY29" s="184">
        <f>Inputs!AY115</f>
        <v>0</v>
      </c>
      <c r="AZ29" s="184">
        <f>Inputs!AZ115</f>
        <v>0</v>
      </c>
      <c r="BA29" s="184">
        <f>Inputs!BA115</f>
        <v>0</v>
      </c>
      <c r="BB29" s="184">
        <f>Inputs!BB115</f>
        <v>0</v>
      </c>
    </row>
    <row r="30" spans="1:54" ht="15" customHeight="1">
      <c r="B30" s="4"/>
      <c r="C30" s="4"/>
      <c r="D30" s="4"/>
      <c r="E30" s="4"/>
      <c r="F30" s="4"/>
      <c r="G30" s="4"/>
      <c r="H30" s="4"/>
      <c r="I30" s="4"/>
      <c r="J30" s="4"/>
      <c r="K30" s="4"/>
      <c r="L30" s="4"/>
      <c r="M30" s="4"/>
      <c r="N30" s="4"/>
      <c r="O30" s="1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row>
    <row r="31" spans="1:54" ht="15" customHeight="1">
      <c r="B31" s="4"/>
      <c r="C31" s="4"/>
      <c r="D31" s="4"/>
      <c r="E31" s="41" t="s">
        <v>245</v>
      </c>
      <c r="F31" s="4"/>
      <c r="G31" s="5" t="s">
        <v>248</v>
      </c>
      <c r="H31" s="4" t="s">
        <v>246</v>
      </c>
      <c r="I31" s="4"/>
      <c r="J31" s="4"/>
      <c r="K31" s="4"/>
      <c r="L31" s="4"/>
      <c r="M31" s="4"/>
      <c r="N31" s="4"/>
      <c r="O31" s="31"/>
      <c r="P31" s="186">
        <f t="shared" ref="P31:BB31" si="2">IF(CF_currency="€",P29/P$19,P29)</f>
        <v>0</v>
      </c>
      <c r="Q31" s="186">
        <f t="shared" si="2"/>
        <v>0</v>
      </c>
      <c r="R31" s="186">
        <f t="shared" si="2"/>
        <v>0</v>
      </c>
      <c r="S31" s="186">
        <f t="shared" si="2"/>
        <v>0</v>
      </c>
      <c r="T31" s="186">
        <f t="shared" si="2"/>
        <v>0</v>
      </c>
      <c r="U31" s="186">
        <f t="shared" si="2"/>
        <v>0</v>
      </c>
      <c r="V31" s="186">
        <f t="shared" si="2"/>
        <v>0</v>
      </c>
      <c r="W31" s="186">
        <f t="shared" si="2"/>
        <v>0</v>
      </c>
      <c r="X31" s="186">
        <f t="shared" si="2"/>
        <v>0</v>
      </c>
      <c r="Y31" s="186">
        <f t="shared" si="2"/>
        <v>0</v>
      </c>
      <c r="Z31" s="186">
        <f t="shared" si="2"/>
        <v>0</v>
      </c>
      <c r="AA31" s="186">
        <f t="shared" si="2"/>
        <v>0</v>
      </c>
      <c r="AB31" s="186">
        <f t="shared" si="2"/>
        <v>0</v>
      </c>
      <c r="AC31" s="186">
        <f t="shared" si="2"/>
        <v>0</v>
      </c>
      <c r="AD31" s="186">
        <f t="shared" si="2"/>
        <v>0</v>
      </c>
      <c r="AE31" s="186">
        <f t="shared" si="2"/>
        <v>0</v>
      </c>
      <c r="AF31" s="186">
        <f t="shared" si="2"/>
        <v>0</v>
      </c>
      <c r="AG31" s="186">
        <f t="shared" si="2"/>
        <v>0</v>
      </c>
      <c r="AH31" s="186">
        <f t="shared" si="2"/>
        <v>0</v>
      </c>
      <c r="AI31" s="186">
        <f t="shared" si="2"/>
        <v>0</v>
      </c>
      <c r="AJ31" s="186">
        <f t="shared" si="2"/>
        <v>0</v>
      </c>
      <c r="AK31" s="186">
        <f t="shared" si="2"/>
        <v>0</v>
      </c>
      <c r="AL31" s="186">
        <f t="shared" si="2"/>
        <v>0</v>
      </c>
      <c r="AM31" s="186">
        <f t="shared" si="2"/>
        <v>0</v>
      </c>
      <c r="AN31" s="186">
        <f t="shared" si="2"/>
        <v>0</v>
      </c>
      <c r="AO31" s="186">
        <f t="shared" si="2"/>
        <v>0</v>
      </c>
      <c r="AP31" s="186">
        <f t="shared" si="2"/>
        <v>0</v>
      </c>
      <c r="AQ31" s="186">
        <f t="shared" si="2"/>
        <v>0</v>
      </c>
      <c r="AR31" s="186">
        <f t="shared" si="2"/>
        <v>0</v>
      </c>
      <c r="AS31" s="186">
        <f t="shared" si="2"/>
        <v>0</v>
      </c>
      <c r="AT31" s="186">
        <f t="shared" si="2"/>
        <v>0</v>
      </c>
      <c r="AU31" s="186">
        <f t="shared" si="2"/>
        <v>0</v>
      </c>
      <c r="AV31" s="186">
        <f t="shared" si="2"/>
        <v>0</v>
      </c>
      <c r="AW31" s="186">
        <f t="shared" si="2"/>
        <v>0</v>
      </c>
      <c r="AX31" s="186">
        <f t="shared" si="2"/>
        <v>0</v>
      </c>
      <c r="AY31" s="186">
        <f t="shared" si="2"/>
        <v>0</v>
      </c>
      <c r="AZ31" s="186">
        <f t="shared" si="2"/>
        <v>0</v>
      </c>
      <c r="BA31" s="186">
        <f t="shared" si="2"/>
        <v>0</v>
      </c>
      <c r="BB31" s="186">
        <f t="shared" si="2"/>
        <v>0</v>
      </c>
    </row>
    <row r="32" spans="1:54" ht="15" customHeight="1">
      <c r="G32" s="5"/>
      <c r="O32" s="15"/>
      <c r="P32" s="15"/>
      <c r="Q32" s="15"/>
      <c r="R32" s="15"/>
      <c r="S32" s="15"/>
      <c r="T32" s="15"/>
      <c r="U32" s="15"/>
      <c r="V32" s="15"/>
      <c r="W32" s="15"/>
      <c r="X32" s="15"/>
      <c r="Y32" s="15"/>
      <c r="Z32" s="15"/>
      <c r="AA32" s="15"/>
      <c r="AB32" s="15"/>
      <c r="AC32" s="15"/>
      <c r="AD32" s="15"/>
      <c r="AE32" s="15"/>
      <c r="AF32" s="15"/>
      <c r="AG32" s="15"/>
      <c r="AH32" s="15"/>
      <c r="AI32" s="15"/>
      <c r="AJ32" s="15"/>
      <c r="AK32" s="15"/>
      <c r="AL32" s="15"/>
      <c r="AM32" s="15"/>
      <c r="AN32" s="15"/>
      <c r="AO32" s="15"/>
      <c r="AP32" s="15"/>
      <c r="AQ32" s="15"/>
      <c r="AR32" s="15"/>
      <c r="AS32" s="15"/>
      <c r="AT32" s="15"/>
      <c r="AU32" s="15"/>
      <c r="AV32" s="15"/>
      <c r="AW32" s="15"/>
      <c r="AX32" s="15"/>
      <c r="AY32" s="15"/>
      <c r="AZ32" s="15"/>
      <c r="BA32" s="15"/>
      <c r="BB32" s="15"/>
    </row>
    <row r="33" spans="2:54" ht="15" customHeight="1">
      <c r="B33" s="166" t="s">
        <v>46</v>
      </c>
      <c r="C33" s="74"/>
      <c r="D33" s="74"/>
      <c r="E33" s="74"/>
      <c r="F33" s="74"/>
      <c r="G33" s="74"/>
      <c r="H33" s="74"/>
      <c r="I33" s="74"/>
      <c r="J33" s="74"/>
      <c r="K33" s="74"/>
      <c r="L33" s="74"/>
      <c r="M33" s="74"/>
      <c r="N33" s="74"/>
      <c r="O33" s="74"/>
      <c r="P33" s="74"/>
      <c r="Q33" s="74"/>
      <c r="R33" s="74"/>
      <c r="S33" s="74"/>
      <c r="T33" s="74"/>
      <c r="U33" s="74"/>
      <c r="V33" s="74"/>
      <c r="W33" s="74"/>
      <c r="X33" s="74"/>
      <c r="Y33" s="74"/>
      <c r="Z33" s="74"/>
      <c r="AA33" s="74"/>
      <c r="AB33" s="74"/>
      <c r="AC33" s="74"/>
      <c r="AD33" s="74"/>
      <c r="AE33" s="74"/>
      <c r="AF33" s="74"/>
      <c r="AG33" s="74"/>
      <c r="AH33" s="74"/>
      <c r="AI33" s="74"/>
      <c r="AJ33" s="74"/>
      <c r="AK33" s="74"/>
      <c r="AL33" s="74"/>
      <c r="AM33" s="74"/>
      <c r="AN33" s="74"/>
      <c r="AO33" s="74"/>
      <c r="AP33" s="74"/>
      <c r="AQ33" s="74"/>
      <c r="AR33" s="74"/>
      <c r="AS33" s="74"/>
      <c r="AT33" s="74"/>
      <c r="AU33" s="74"/>
      <c r="AV33" s="74"/>
      <c r="AW33" s="74"/>
      <c r="AX33" s="74"/>
      <c r="AY33" s="74"/>
      <c r="AZ33" s="74"/>
      <c r="BA33" s="74"/>
      <c r="BB33" s="74"/>
    </row>
    <row r="34" spans="2:54" ht="15" customHeight="1"/>
  </sheetData>
  <pageMargins left="0.7" right="0.7" top="0.75" bottom="0.75" header="0.3" footer="0.3"/>
  <headerFooter>
    <oddHeader>&amp;C&amp;"Aptos"&amp;10&amp;K000000 OFFICIAL&amp;1#_x000D_</oddHeader>
    <oddFooter>&amp;C_x000D_&amp;1#&amp;"Aptos"&amp;10&amp;K000000 OFFICIAL</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A39A8F-672A-4E04-B72B-7F490EEEDC31}">
  <sheetPr>
    <tabColor theme="7" tint="0.59999389629810485"/>
  </sheetPr>
  <dimension ref="A1:BE50"/>
  <sheetViews>
    <sheetView workbookViewId="0"/>
  </sheetViews>
  <sheetFormatPr defaultColWidth="0" defaultRowHeight="15" customHeight="1" zeroHeight="1"/>
  <cols>
    <col min="1" max="4" width="2.7109375" style="19" customWidth="1"/>
    <col min="5" max="5" width="50.7109375" style="19" customWidth="1"/>
    <col min="6" max="6" width="1.7109375" style="19" customWidth="1"/>
    <col min="7" max="7" width="15.7109375" style="19" customWidth="1"/>
    <col min="8" max="8" width="12" style="19" customWidth="1"/>
    <col min="9" max="9" width="13.5703125" style="19" customWidth="1"/>
    <col min="10" max="14" width="1.7109375" style="19" customWidth="1"/>
    <col min="15" max="54" width="10.7109375" style="19" customWidth="1"/>
    <col min="55" max="55" width="2.7109375" style="19" customWidth="1"/>
    <col min="56" max="57" width="0" style="19" hidden="1" customWidth="1"/>
    <col min="58" max="16384" width="9" style="19" hidden="1"/>
  </cols>
  <sheetData>
    <row r="1" spans="1:55" s="10" customFormat="1" ht="14.25">
      <c r="A1" s="117" t="s">
        <v>27</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row r="7" spans="1:55" s="4" customFormat="1" ht="15" customHeight="1">
      <c r="B7" s="166" t="s">
        <v>368</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row r="9" spans="1:55" s="59" customFormat="1" ht="15" customHeight="1">
      <c r="C9" s="38" t="s">
        <v>369</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row>
    <row r="11" spans="1:55" ht="15" customHeight="1">
      <c r="E11" s="19" t="s">
        <v>166</v>
      </c>
      <c r="G11" s="5" t="str">
        <f>base_year</f>
        <v>£m 2020</v>
      </c>
      <c r="O11" s="89"/>
      <c r="P11" s="184">
        <f>Inputs!P41</f>
        <v>6.2065041758547563</v>
      </c>
      <c r="Q11" s="184">
        <f>Inputs!Q41</f>
        <v>4.4747305543047622</v>
      </c>
      <c r="R11" s="184">
        <f>Inputs!R41</f>
        <v>6.356454429002981</v>
      </c>
      <c r="S11" s="184">
        <f>Inputs!S41</f>
        <v>4.4146416825120136</v>
      </c>
      <c r="T11" s="184">
        <f>Inputs!T41</f>
        <v>5.5399394443840935</v>
      </c>
      <c r="U11" s="184">
        <f>Inputs!U41</f>
        <v>6.3569319581792119</v>
      </c>
      <c r="V11" s="184">
        <f>Inputs!V41</f>
        <v>5.97448256962155</v>
      </c>
      <c r="W11" s="184">
        <f>Inputs!W41</f>
        <v>4.8788477205779133</v>
      </c>
      <c r="X11" s="184">
        <f>Inputs!X41</f>
        <v>4.3798892082642933</v>
      </c>
      <c r="Y11" s="184">
        <f>Inputs!Y41</f>
        <v>7.2122347330315026</v>
      </c>
      <c r="Z11" s="184">
        <f>Inputs!Z41</f>
        <v>3.9746975957128128</v>
      </c>
      <c r="AA11" s="184">
        <f>Inputs!AA41</f>
        <v>4.496752461184685</v>
      </c>
      <c r="AB11" s="184">
        <f>Inputs!AB41</f>
        <v>3.9752009437313118</v>
      </c>
      <c r="AC11" s="184">
        <f>Inputs!AC41</f>
        <v>4.1850896339457213</v>
      </c>
      <c r="AD11" s="184">
        <f>Inputs!AD41</f>
        <v>5.626895371229959</v>
      </c>
      <c r="AE11" s="184">
        <f>Inputs!AE41</f>
        <v>4.4505258139217299</v>
      </c>
      <c r="AF11" s="184">
        <f>Inputs!AF41</f>
        <v>3.9762381950114611</v>
      </c>
      <c r="AG11" s="184">
        <f>Inputs!AG41</f>
        <v>4.233390886467121</v>
      </c>
      <c r="AH11" s="184">
        <f>Inputs!AH41</f>
        <v>3.9767725090758641</v>
      </c>
      <c r="AI11" s="184">
        <f>Inputs!AI41</f>
        <v>4.415993104434083</v>
      </c>
      <c r="AJ11" s="184">
        <f>Inputs!AJ41</f>
        <v>3.9933568361875267</v>
      </c>
      <c r="AK11" s="184">
        <f>Inputs!AK41</f>
        <v>4.1516260287397504</v>
      </c>
      <c r="AL11" s="184">
        <f>Inputs!AL41</f>
        <v>3.9778735722109784</v>
      </c>
      <c r="AM11" s="184">
        <f>Inputs!AM41</f>
        <v>4.4331444515351128</v>
      </c>
      <c r="AN11" s="184">
        <f>Inputs!AN41</f>
        <v>3.9784407573570921</v>
      </c>
      <c r="AO11" s="184">
        <f>Inputs!AO41</f>
        <v>1.0771354570066347</v>
      </c>
      <c r="AP11" s="184">
        <f>Inputs!AP41</f>
        <v>0</v>
      </c>
      <c r="AQ11" s="184">
        <f>Inputs!AQ41</f>
        <v>0</v>
      </c>
      <c r="AR11" s="184">
        <f>Inputs!AR41</f>
        <v>0</v>
      </c>
      <c r="AS11" s="184">
        <f>Inputs!AS41</f>
        <v>0</v>
      </c>
      <c r="AT11" s="184">
        <f>Inputs!AT41</f>
        <v>0</v>
      </c>
      <c r="AU11" s="184">
        <f>Inputs!AU41</f>
        <v>0</v>
      </c>
      <c r="AV11" s="184">
        <f>Inputs!AV41</f>
        <v>0</v>
      </c>
      <c r="AW11" s="184">
        <f>Inputs!AW41</f>
        <v>0</v>
      </c>
      <c r="AX11" s="184">
        <f>Inputs!AX41</f>
        <v>0</v>
      </c>
      <c r="AY11" s="184">
        <f>Inputs!AY41</f>
        <v>0</v>
      </c>
      <c r="AZ11" s="184">
        <f>Inputs!AZ41</f>
        <v>0</v>
      </c>
      <c r="BA11" s="184">
        <f>Inputs!BA41</f>
        <v>0</v>
      </c>
      <c r="BB11" s="184">
        <f>Inputs!BB41</f>
        <v>0</v>
      </c>
    </row>
    <row r="12" spans="1:55" ht="15" customHeight="1">
      <c r="O12" s="35"/>
      <c r="P12" s="35"/>
      <c r="Q12" s="35"/>
      <c r="R12" s="35"/>
      <c r="S12" s="35"/>
      <c r="T12" s="35"/>
      <c r="U12" s="35"/>
      <c r="V12" s="35"/>
      <c r="W12" s="35"/>
      <c r="X12" s="35"/>
      <c r="Y12" s="35"/>
      <c r="Z12" s="35"/>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c r="AY12" s="35"/>
      <c r="AZ12" s="35"/>
      <c r="BA12" s="35"/>
      <c r="BB12" s="35"/>
    </row>
    <row r="13" spans="1:55" s="59" customFormat="1" ht="15" customHeight="1">
      <c r="C13" s="38" t="s">
        <v>370</v>
      </c>
      <c r="D13" s="38"/>
      <c r="E13" s="38"/>
      <c r="F13" s="38"/>
      <c r="G13" s="38"/>
      <c r="H13" s="38"/>
      <c r="I13" s="38"/>
      <c r="J13" s="38"/>
      <c r="K13" s="38"/>
      <c r="L13" s="38"/>
      <c r="M13" s="38"/>
      <c r="N13" s="38"/>
      <c r="O13" s="90"/>
      <c r="P13" s="90"/>
      <c r="Q13" s="90"/>
      <c r="R13" s="90"/>
      <c r="S13" s="90"/>
      <c r="T13" s="90"/>
      <c r="U13" s="90"/>
      <c r="V13" s="90"/>
      <c r="W13" s="90"/>
      <c r="X13" s="90"/>
      <c r="Y13" s="90"/>
      <c r="Z13" s="90"/>
      <c r="AA13" s="90"/>
      <c r="AB13" s="90"/>
      <c r="AC13" s="90"/>
      <c r="AD13" s="90"/>
      <c r="AE13" s="90"/>
      <c r="AF13" s="90"/>
      <c r="AG13" s="90"/>
      <c r="AH13" s="90"/>
      <c r="AI13" s="90"/>
      <c r="AJ13" s="90"/>
      <c r="AK13" s="90"/>
      <c r="AL13" s="90"/>
      <c r="AM13" s="90"/>
      <c r="AN13" s="90"/>
      <c r="AO13" s="90"/>
      <c r="AP13" s="90"/>
      <c r="AQ13" s="90"/>
      <c r="AR13" s="90"/>
      <c r="AS13" s="90"/>
      <c r="AT13" s="90"/>
      <c r="AU13" s="90"/>
      <c r="AV13" s="90"/>
      <c r="AW13" s="90"/>
      <c r="AX13" s="90"/>
      <c r="AY13" s="90"/>
      <c r="AZ13" s="90"/>
      <c r="BA13" s="90"/>
      <c r="BB13" s="90"/>
    </row>
    <row r="14" spans="1:55" ht="15" customHeight="1">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5"/>
      <c r="BA14" s="35"/>
      <c r="BB14" s="35"/>
    </row>
    <row r="15" spans="1:55" ht="15" customHeight="1">
      <c r="E15" s="19" t="s">
        <v>371</v>
      </c>
      <c r="G15" s="5" t="str">
        <f>base_year</f>
        <v>£m 2020</v>
      </c>
      <c r="O15" s="89"/>
      <c r="P15" s="184">
        <f>Inputs!P189</f>
        <v>0</v>
      </c>
      <c r="Q15" s="184">
        <f>Inputs!Q189</f>
        <v>0</v>
      </c>
      <c r="R15" s="184">
        <f>Inputs!R189</f>
        <v>0</v>
      </c>
      <c r="S15" s="184">
        <f>Inputs!S189</f>
        <v>0</v>
      </c>
      <c r="T15" s="184">
        <f>Inputs!T189</f>
        <v>0</v>
      </c>
      <c r="U15" s="184">
        <f>Inputs!U189</f>
        <v>0</v>
      </c>
      <c r="V15" s="184">
        <f>Inputs!V189</f>
        <v>0</v>
      </c>
      <c r="W15" s="184">
        <f>Inputs!W189</f>
        <v>0</v>
      </c>
      <c r="X15" s="184">
        <f>Inputs!X189</f>
        <v>0</v>
      </c>
      <c r="Y15" s="184">
        <f>Inputs!Y189</f>
        <v>0</v>
      </c>
      <c r="Z15" s="184">
        <f>Inputs!Z189</f>
        <v>0</v>
      </c>
      <c r="AA15" s="184">
        <f>Inputs!AA189</f>
        <v>0</v>
      </c>
      <c r="AB15" s="184">
        <f>Inputs!AB189</f>
        <v>0</v>
      </c>
      <c r="AC15" s="184">
        <f>Inputs!AC189</f>
        <v>0</v>
      </c>
      <c r="AD15" s="184">
        <f>Inputs!AD189</f>
        <v>0</v>
      </c>
      <c r="AE15" s="184">
        <f>Inputs!AE189</f>
        <v>0</v>
      </c>
      <c r="AF15" s="184">
        <f>Inputs!AF189</f>
        <v>0</v>
      </c>
      <c r="AG15" s="184">
        <f>Inputs!AG189</f>
        <v>0</v>
      </c>
      <c r="AH15" s="184">
        <f>Inputs!AH189</f>
        <v>0</v>
      </c>
      <c r="AI15" s="184">
        <f>Inputs!AI189</f>
        <v>0</v>
      </c>
      <c r="AJ15" s="184">
        <f>Inputs!AJ189</f>
        <v>0</v>
      </c>
      <c r="AK15" s="184">
        <f>Inputs!AK189</f>
        <v>0</v>
      </c>
      <c r="AL15" s="184">
        <f>Inputs!AL189</f>
        <v>0</v>
      </c>
      <c r="AM15" s="184">
        <f>Inputs!AM189</f>
        <v>0</v>
      </c>
      <c r="AN15" s="184">
        <f>Inputs!AN189</f>
        <v>0</v>
      </c>
      <c r="AO15" s="184">
        <f>Inputs!AO189</f>
        <v>0</v>
      </c>
      <c r="AP15" s="184">
        <f>Inputs!AP189</f>
        <v>0</v>
      </c>
      <c r="AQ15" s="184">
        <f>Inputs!AQ189</f>
        <v>0</v>
      </c>
      <c r="AR15" s="184">
        <f>Inputs!AR189</f>
        <v>0</v>
      </c>
      <c r="AS15" s="184">
        <f>Inputs!AS189</f>
        <v>0</v>
      </c>
      <c r="AT15" s="184">
        <f>Inputs!AT189</f>
        <v>0</v>
      </c>
      <c r="AU15" s="184">
        <f>Inputs!AU189</f>
        <v>0</v>
      </c>
      <c r="AV15" s="184">
        <f>Inputs!AV189</f>
        <v>0</v>
      </c>
      <c r="AW15" s="184">
        <f>Inputs!AW189</f>
        <v>0</v>
      </c>
      <c r="AX15" s="184">
        <f>Inputs!AX189</f>
        <v>0</v>
      </c>
      <c r="AY15" s="184">
        <f>Inputs!AY189</f>
        <v>0</v>
      </c>
      <c r="AZ15" s="184">
        <f>Inputs!AZ189</f>
        <v>0</v>
      </c>
      <c r="BA15" s="184">
        <f>Inputs!BA189</f>
        <v>0</v>
      </c>
      <c r="BB15" s="184">
        <f>Inputs!BB189</f>
        <v>0</v>
      </c>
    </row>
    <row r="16" spans="1:55" ht="15" customHeight="1">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row>
    <row r="17" spans="3:54" s="59" customFormat="1" ht="15" customHeight="1">
      <c r="C17" s="38" t="s">
        <v>372</v>
      </c>
      <c r="D17" s="38"/>
      <c r="E17" s="38"/>
      <c r="F17" s="38"/>
      <c r="G17" s="38"/>
      <c r="H17" s="38"/>
      <c r="I17" s="38"/>
      <c r="J17" s="38"/>
      <c r="K17" s="38"/>
      <c r="L17" s="38"/>
      <c r="M17" s="38"/>
      <c r="N17" s="38"/>
      <c r="O17" s="90"/>
      <c r="P17" s="90"/>
      <c r="Q17" s="90"/>
      <c r="R17" s="90"/>
      <c r="S17" s="90"/>
      <c r="T17" s="90"/>
      <c r="U17" s="90"/>
      <c r="V17" s="90"/>
      <c r="W17" s="90"/>
      <c r="X17" s="90"/>
      <c r="Y17" s="90"/>
      <c r="Z17" s="90"/>
      <c r="AA17" s="90"/>
      <c r="AB17" s="90"/>
      <c r="AC17" s="90"/>
      <c r="AD17" s="90"/>
      <c r="AE17" s="90"/>
      <c r="AF17" s="90"/>
      <c r="AG17" s="90"/>
      <c r="AH17" s="90"/>
      <c r="AI17" s="90"/>
      <c r="AJ17" s="90"/>
      <c r="AK17" s="90"/>
      <c r="AL17" s="90"/>
      <c r="AM17" s="90"/>
      <c r="AN17" s="90"/>
      <c r="AO17" s="90"/>
      <c r="AP17" s="90"/>
      <c r="AQ17" s="90"/>
      <c r="AR17" s="90"/>
      <c r="AS17" s="90"/>
      <c r="AT17" s="90"/>
      <c r="AU17" s="90"/>
      <c r="AV17" s="90"/>
      <c r="AW17" s="90"/>
      <c r="AX17" s="90"/>
      <c r="AY17" s="90"/>
      <c r="AZ17" s="90"/>
      <c r="BA17" s="90"/>
      <c r="BB17" s="90"/>
    </row>
    <row r="18" spans="3:54" ht="15" customHeight="1">
      <c r="O18" s="35"/>
      <c r="P18" s="35"/>
      <c r="Q18" s="35"/>
      <c r="R18" s="35"/>
      <c r="S18" s="35"/>
      <c r="T18" s="35"/>
      <c r="U18" s="35"/>
      <c r="V18" s="35"/>
      <c r="W18" s="35"/>
      <c r="X18" s="35"/>
      <c r="Y18" s="35"/>
      <c r="Z18" s="35"/>
      <c r="AA18" s="35"/>
      <c r="AB18" s="35"/>
      <c r="AC18" s="35"/>
      <c r="AD18" s="35"/>
      <c r="AE18" s="35"/>
      <c r="AF18" s="35"/>
      <c r="AG18" s="35"/>
      <c r="AH18" s="35"/>
      <c r="AI18" s="35"/>
      <c r="AJ18" s="35"/>
      <c r="AK18" s="35"/>
      <c r="AL18" s="35"/>
      <c r="AM18" s="35"/>
      <c r="AN18" s="35"/>
      <c r="AO18" s="35"/>
      <c r="AP18" s="35"/>
      <c r="AQ18" s="35"/>
      <c r="AR18" s="35"/>
      <c r="AS18" s="35"/>
      <c r="AT18" s="35"/>
      <c r="AU18" s="35"/>
      <c r="AV18" s="35"/>
      <c r="AW18" s="35"/>
      <c r="AX18" s="35"/>
      <c r="AY18" s="35"/>
      <c r="AZ18" s="35"/>
      <c r="BA18" s="35"/>
      <c r="BB18" s="35"/>
    </row>
    <row r="19" spans="3:54" ht="15" customHeight="1">
      <c r="E19" s="19" t="s">
        <v>310</v>
      </c>
      <c r="G19" s="19" t="s">
        <v>188</v>
      </c>
      <c r="O19" s="89"/>
      <c r="P19" s="184">
        <f>Inputs!P186</f>
        <v>0</v>
      </c>
      <c r="Q19" s="184">
        <f>Inputs!Q186</f>
        <v>0</v>
      </c>
      <c r="R19" s="184">
        <f>Inputs!R186</f>
        <v>0</v>
      </c>
      <c r="S19" s="184">
        <f>Inputs!S186</f>
        <v>0</v>
      </c>
      <c r="T19" s="184">
        <f>Inputs!T186</f>
        <v>0</v>
      </c>
      <c r="U19" s="184">
        <f>Inputs!U186</f>
        <v>0</v>
      </c>
      <c r="V19" s="184">
        <f>Inputs!V186</f>
        <v>0</v>
      </c>
      <c r="W19" s="184">
        <f>Inputs!W186</f>
        <v>0</v>
      </c>
      <c r="X19" s="184">
        <f>Inputs!X186</f>
        <v>0</v>
      </c>
      <c r="Y19" s="184">
        <f>Inputs!Y186</f>
        <v>0</v>
      </c>
      <c r="Z19" s="184">
        <f>Inputs!Z186</f>
        <v>0</v>
      </c>
      <c r="AA19" s="184">
        <f>Inputs!AA186</f>
        <v>0</v>
      </c>
      <c r="AB19" s="184">
        <f>Inputs!AB186</f>
        <v>0</v>
      </c>
      <c r="AC19" s="184">
        <f>Inputs!AC186</f>
        <v>0.99931553730321698</v>
      </c>
      <c r="AD19" s="184">
        <f>Inputs!AD186</f>
        <v>1</v>
      </c>
      <c r="AE19" s="184">
        <f>Inputs!AE186</f>
        <v>1</v>
      </c>
      <c r="AF19" s="184">
        <f>Inputs!AF186</f>
        <v>1</v>
      </c>
      <c r="AG19" s="184">
        <f>Inputs!AG186</f>
        <v>1</v>
      </c>
      <c r="AH19" s="184">
        <f>Inputs!AH186</f>
        <v>1</v>
      </c>
      <c r="AI19" s="184">
        <f>Inputs!AI186</f>
        <v>1</v>
      </c>
      <c r="AJ19" s="184">
        <f>Inputs!AJ186</f>
        <v>1</v>
      </c>
      <c r="AK19" s="184">
        <f>Inputs!AK186</f>
        <v>1</v>
      </c>
      <c r="AL19" s="184">
        <f>Inputs!AL186</f>
        <v>1</v>
      </c>
      <c r="AM19" s="184">
        <f>Inputs!AM186</f>
        <v>1</v>
      </c>
      <c r="AN19" s="184">
        <f>Inputs!AN186</f>
        <v>1</v>
      </c>
      <c r="AO19" s="184">
        <f>Inputs!AO186</f>
        <v>0.32922655715263516</v>
      </c>
      <c r="AP19" s="184">
        <f>Inputs!AP186</f>
        <v>0</v>
      </c>
      <c r="AQ19" s="184">
        <f>Inputs!AQ186</f>
        <v>0</v>
      </c>
      <c r="AR19" s="184">
        <f>Inputs!AR186</f>
        <v>0</v>
      </c>
      <c r="AS19" s="184">
        <f>Inputs!AS186</f>
        <v>0</v>
      </c>
      <c r="AT19" s="184">
        <f>Inputs!AT186</f>
        <v>0</v>
      </c>
      <c r="AU19" s="184">
        <f>Inputs!AU186</f>
        <v>0</v>
      </c>
      <c r="AV19" s="184">
        <f>Inputs!AV186</f>
        <v>0</v>
      </c>
      <c r="AW19" s="184">
        <f>Inputs!AW186</f>
        <v>0</v>
      </c>
      <c r="AX19" s="184">
        <f>Inputs!AX186</f>
        <v>0</v>
      </c>
      <c r="AY19" s="184">
        <f>Inputs!AY186</f>
        <v>0</v>
      </c>
      <c r="AZ19" s="184">
        <f>Inputs!AZ186</f>
        <v>0</v>
      </c>
      <c r="BA19" s="184">
        <f>Inputs!BA186</f>
        <v>0</v>
      </c>
      <c r="BB19" s="184">
        <f>Inputs!BB186</f>
        <v>0</v>
      </c>
    </row>
    <row r="20" spans="3:54" ht="15" customHeight="1">
      <c r="E20" s="19" t="s">
        <v>170</v>
      </c>
      <c r="I20" s="187">
        <f>Inputs!I46</f>
        <v>8.1000000000000003E-2</v>
      </c>
      <c r="O20" s="35"/>
      <c r="P20" s="35"/>
      <c r="Q20" s="35"/>
      <c r="R20" s="35"/>
      <c r="S20" s="35"/>
      <c r="T20" s="35"/>
      <c r="U20" s="35"/>
      <c r="V20" s="35"/>
      <c r="W20" s="35"/>
      <c r="X20" s="35"/>
      <c r="Y20" s="35"/>
      <c r="Z20" s="35"/>
      <c r="AA20" s="35"/>
      <c r="AB20" s="35"/>
      <c r="AC20" s="35"/>
      <c r="AD20" s="35"/>
      <c r="AE20" s="35"/>
      <c r="AF20" s="35"/>
      <c r="AG20" s="35"/>
      <c r="AH20" s="35"/>
      <c r="AI20" s="35"/>
      <c r="AJ20" s="35"/>
      <c r="AK20" s="35"/>
      <c r="AL20" s="35"/>
      <c r="AM20" s="35"/>
      <c r="AN20" s="35"/>
      <c r="AO20" s="35"/>
      <c r="AP20" s="35"/>
      <c r="AQ20" s="35"/>
      <c r="AR20" s="35"/>
      <c r="AS20" s="35"/>
      <c r="AT20" s="35"/>
      <c r="AU20" s="35"/>
      <c r="AV20" s="35"/>
      <c r="AW20" s="35"/>
      <c r="AX20" s="35"/>
      <c r="AY20" s="35"/>
      <c r="AZ20" s="35"/>
      <c r="BA20" s="35"/>
      <c r="BB20" s="35"/>
    </row>
    <row r="21" spans="3:54" ht="15" customHeight="1">
      <c r="E21" s="19" t="s">
        <v>373</v>
      </c>
      <c r="G21" s="19" t="s">
        <v>193</v>
      </c>
      <c r="O21" s="35">
        <f t="shared" ref="O21:BB21" si="0">IF(O5&lt;=op_years,(1+$I20)^-O$5,0)</f>
        <v>1</v>
      </c>
      <c r="P21" s="35">
        <f t="shared" si="0"/>
        <v>0.92506938020351526</v>
      </c>
      <c r="Q21" s="35">
        <f t="shared" si="0"/>
        <v>0.85575335819011589</v>
      </c>
      <c r="R21" s="35">
        <f t="shared" si="0"/>
        <v>0.79163122866800739</v>
      </c>
      <c r="S21" s="35">
        <f t="shared" si="0"/>
        <v>0.73231381005366081</v>
      </c>
      <c r="T21" s="35">
        <f t="shared" si="0"/>
        <v>0.67744108238081491</v>
      </c>
      <c r="U21" s="35">
        <f t="shared" si="0"/>
        <v>0.62668000220241893</v>
      </c>
      <c r="V21" s="35">
        <f t="shared" si="0"/>
        <v>0.57972248122332926</v>
      </c>
      <c r="W21" s="35">
        <f t="shared" si="0"/>
        <v>0.53628351639530925</v>
      </c>
      <c r="X21" s="35">
        <f t="shared" si="0"/>
        <v>0.49609946012517048</v>
      </c>
      <c r="Y21" s="35">
        <f t="shared" si="0"/>
        <v>0.45892642009728996</v>
      </c>
      <c r="Z21" s="35">
        <f t="shared" si="0"/>
        <v>0.42453877899841808</v>
      </c>
      <c r="AA21" s="35">
        <f t="shared" si="0"/>
        <v>0.39272782516042376</v>
      </c>
      <c r="AB21" s="35">
        <f t="shared" si="0"/>
        <v>0.36330048580982777</v>
      </c>
      <c r="AC21" s="35">
        <f t="shared" si="0"/>
        <v>0.33607815523573337</v>
      </c>
      <c r="AD21" s="35">
        <f t="shared" si="0"/>
        <v>0.31089561076386063</v>
      </c>
      <c r="AE21" s="35">
        <f t="shared" si="0"/>
        <v>0.28760000995731788</v>
      </c>
      <c r="AF21" s="35">
        <f t="shared" si="0"/>
        <v>0.26604996295774092</v>
      </c>
      <c r="AG21" s="35">
        <f t="shared" si="0"/>
        <v>0.24611467433648557</v>
      </c>
      <c r="AH21" s="35">
        <f t="shared" si="0"/>
        <v>0.22767314924744272</v>
      </c>
      <c r="AI21" s="35">
        <f t="shared" si="0"/>
        <v>0.21061345906331425</v>
      </c>
      <c r="AJ21" s="35">
        <f t="shared" si="0"/>
        <v>0.19483206203821857</v>
      </c>
      <c r="AK21" s="35">
        <f t="shared" si="0"/>
        <v>0.18023317487346768</v>
      </c>
      <c r="AL21" s="35">
        <f t="shared" si="0"/>
        <v>0.16672819137231054</v>
      </c>
      <c r="AM21" s="35">
        <f t="shared" si="0"/>
        <v>0.15423514465523638</v>
      </c>
      <c r="AN21" s="35">
        <f t="shared" si="0"/>
        <v>0.14267820967181905</v>
      </c>
      <c r="AO21" s="35">
        <f t="shared" si="0"/>
        <v>0.13198724298965686</v>
      </c>
      <c r="AP21" s="35">
        <f t="shared" si="0"/>
        <v>0</v>
      </c>
      <c r="AQ21" s="35">
        <f t="shared" si="0"/>
        <v>0</v>
      </c>
      <c r="AR21" s="35">
        <f t="shared" si="0"/>
        <v>0</v>
      </c>
      <c r="AS21" s="35">
        <f t="shared" si="0"/>
        <v>0</v>
      </c>
      <c r="AT21" s="35">
        <f t="shared" si="0"/>
        <v>0</v>
      </c>
      <c r="AU21" s="35">
        <f t="shared" si="0"/>
        <v>0</v>
      </c>
      <c r="AV21" s="35">
        <f t="shared" si="0"/>
        <v>0</v>
      </c>
      <c r="AW21" s="35">
        <f t="shared" si="0"/>
        <v>0</v>
      </c>
      <c r="AX21" s="35">
        <f t="shared" si="0"/>
        <v>0</v>
      </c>
      <c r="AY21" s="35">
        <f t="shared" si="0"/>
        <v>0</v>
      </c>
      <c r="AZ21" s="35">
        <f t="shared" si="0"/>
        <v>0</v>
      </c>
      <c r="BA21" s="35">
        <f t="shared" si="0"/>
        <v>0</v>
      </c>
      <c r="BB21" s="35">
        <f t="shared" si="0"/>
        <v>0</v>
      </c>
    </row>
    <row r="22" spans="3:54" ht="15" customHeight="1">
      <c r="O22" s="35"/>
      <c r="P22" s="35"/>
      <c r="Q22" s="35"/>
      <c r="R22" s="35"/>
      <c r="S22" s="35"/>
      <c r="T22" s="35"/>
      <c r="U22" s="35"/>
      <c r="V22" s="35"/>
      <c r="W22" s="35"/>
      <c r="X22" s="35"/>
      <c r="Y22" s="35"/>
      <c r="Z22" s="35"/>
      <c r="AA22" s="35"/>
      <c r="AB22" s="35"/>
      <c r="AC22" s="35"/>
      <c r="AD22" s="35"/>
      <c r="AE22" s="35"/>
      <c r="AF22" s="35"/>
      <c r="AG22" s="35"/>
      <c r="AH22" s="35"/>
      <c r="AI22" s="35"/>
      <c r="AJ22" s="35"/>
      <c r="AK22" s="35"/>
      <c r="AL22" s="35"/>
      <c r="AM22" s="35"/>
      <c r="AN22" s="35"/>
      <c r="AO22" s="35"/>
      <c r="AP22" s="35"/>
      <c r="AQ22" s="35"/>
      <c r="AR22" s="35"/>
      <c r="AS22" s="35"/>
      <c r="AT22" s="35"/>
      <c r="AU22" s="35"/>
      <c r="AV22" s="35"/>
      <c r="AW22" s="35"/>
      <c r="AX22" s="35"/>
      <c r="AY22" s="35"/>
      <c r="AZ22" s="35"/>
      <c r="BA22" s="35"/>
      <c r="BB22" s="35"/>
    </row>
    <row r="23" spans="3:54" ht="15" customHeight="1">
      <c r="E23" s="19" t="s">
        <v>374</v>
      </c>
      <c r="G23" s="5" t="str">
        <f>base_year</f>
        <v>£m 2020</v>
      </c>
      <c r="I23" s="51">
        <f>SUMPRODUCT($O$21:$BB$21,O11:BB11,$O$19:$BB$19)</f>
        <v>11.857859744859866</v>
      </c>
      <c r="O23" s="35"/>
      <c r="P23" s="35"/>
      <c r="Q23" s="35"/>
      <c r="R23" s="35"/>
      <c r="S23" s="35"/>
      <c r="T23" s="35"/>
      <c r="U23" s="35"/>
      <c r="V23" s="35"/>
      <c r="W23" s="35"/>
      <c r="X23" s="35"/>
      <c r="Y23" s="35"/>
      <c r="Z23" s="35"/>
      <c r="AA23" s="35"/>
      <c r="AB23" s="35"/>
      <c r="AC23" s="35"/>
      <c r="AD23" s="35"/>
      <c r="AE23" s="35"/>
      <c r="AF23" s="35"/>
      <c r="AG23" s="35"/>
      <c r="AH23" s="35"/>
      <c r="AI23" s="35"/>
      <c r="AJ23" s="35"/>
      <c r="AK23" s="35"/>
      <c r="AL23" s="35"/>
      <c r="AM23" s="35"/>
      <c r="AN23" s="35"/>
      <c r="AO23" s="35"/>
      <c r="AP23" s="35"/>
      <c r="AQ23" s="35"/>
      <c r="AR23" s="35"/>
      <c r="AS23" s="35"/>
      <c r="AT23" s="35"/>
      <c r="AU23" s="35"/>
      <c r="AV23" s="35"/>
      <c r="AW23" s="35"/>
      <c r="AX23" s="35"/>
      <c r="AY23" s="35"/>
      <c r="AZ23" s="35"/>
      <c r="BA23" s="35"/>
      <c r="BB23" s="35"/>
    </row>
    <row r="24" spans="3:54" ht="15" customHeight="1">
      <c r="E24" s="19" t="s">
        <v>375</v>
      </c>
      <c r="G24" s="5" t="str">
        <f>base_year</f>
        <v>£m 2020</v>
      </c>
      <c r="I24" s="51">
        <f>SUMPRODUCT($O$21:$BB$21,O15:BB15,$O$19:$BB$19)</f>
        <v>0</v>
      </c>
      <c r="O24" s="35"/>
      <c r="P24" s="35"/>
      <c r="Q24" s="35"/>
      <c r="R24" s="35"/>
      <c r="S24" s="35"/>
      <c r="T24" s="35"/>
      <c r="U24" s="35"/>
      <c r="V24" s="35"/>
      <c r="W24" s="35"/>
      <c r="X24" s="35"/>
      <c r="Y24" s="35"/>
      <c r="Z24" s="35"/>
      <c r="AA24" s="35"/>
      <c r="AB24" s="35"/>
      <c r="AC24" s="35"/>
      <c r="AD24" s="35"/>
      <c r="AE24" s="35"/>
      <c r="AF24" s="35"/>
      <c r="AG24" s="35"/>
      <c r="AH24" s="35"/>
      <c r="AI24" s="35"/>
      <c r="AJ24" s="35"/>
      <c r="AK24" s="35"/>
      <c r="AL24" s="35"/>
      <c r="AM24" s="35"/>
      <c r="AN24" s="35"/>
      <c r="AO24" s="35"/>
      <c r="AP24" s="35"/>
      <c r="AQ24" s="35"/>
      <c r="AR24" s="35"/>
      <c r="AS24" s="35"/>
      <c r="AT24" s="35"/>
      <c r="AU24" s="35"/>
      <c r="AV24" s="35"/>
      <c r="AW24" s="35"/>
      <c r="AX24" s="35"/>
      <c r="AY24" s="35"/>
      <c r="AZ24" s="35"/>
      <c r="BA24" s="35"/>
      <c r="BB24" s="35"/>
    </row>
    <row r="25" spans="3:54" ht="15" customHeight="1">
      <c r="E25" s="19" t="s">
        <v>376</v>
      </c>
      <c r="G25" s="5" t="str">
        <f>base_year</f>
        <v>£m 2020</v>
      </c>
      <c r="I25" s="51">
        <f>I24-I23</f>
        <v>-11.857859744859866</v>
      </c>
      <c r="O25" s="35"/>
      <c r="P25" s="35"/>
      <c r="Q25" s="35"/>
      <c r="R25" s="35"/>
      <c r="S25" s="35"/>
      <c r="T25" s="35"/>
      <c r="U25" s="35"/>
      <c r="V25" s="35"/>
      <c r="W25" s="35"/>
      <c r="X25" s="35"/>
      <c r="Y25" s="35"/>
      <c r="Z25" s="35"/>
      <c r="AA25" s="35"/>
      <c r="AB25" s="35"/>
      <c r="AC25" s="35"/>
      <c r="AD25" s="35"/>
      <c r="AE25" s="35"/>
      <c r="AF25" s="35"/>
      <c r="AG25" s="35"/>
      <c r="AH25" s="35"/>
      <c r="AI25" s="35"/>
      <c r="AJ25" s="35"/>
      <c r="AK25" s="35"/>
      <c r="AL25" s="35"/>
      <c r="AM25" s="35"/>
      <c r="AN25" s="35"/>
      <c r="AO25" s="35"/>
      <c r="AP25" s="35"/>
      <c r="AQ25" s="35"/>
      <c r="AR25" s="35"/>
      <c r="AS25" s="35"/>
      <c r="AT25" s="35"/>
      <c r="AU25" s="35"/>
      <c r="AV25" s="35"/>
      <c r="AW25" s="35"/>
      <c r="AX25" s="35"/>
      <c r="AY25" s="35"/>
      <c r="AZ25" s="35"/>
      <c r="BA25" s="35"/>
      <c r="BB25" s="35"/>
    </row>
    <row r="26" spans="3:54" ht="15" customHeight="1">
      <c r="I26" s="60"/>
      <c r="O26" s="35"/>
      <c r="P26" s="35"/>
      <c r="Q26" s="35"/>
      <c r="R26" s="35"/>
      <c r="S26" s="35"/>
      <c r="T26" s="35"/>
      <c r="U26" s="35"/>
      <c r="V26" s="35"/>
      <c r="W26" s="35"/>
      <c r="X26" s="35"/>
      <c r="Y26" s="35"/>
      <c r="Z26" s="35"/>
      <c r="AA26" s="35"/>
      <c r="AB26" s="35"/>
      <c r="AC26" s="35"/>
      <c r="AD26" s="35"/>
      <c r="AE26" s="35"/>
      <c r="AF26" s="35"/>
      <c r="AG26" s="35"/>
      <c r="AH26" s="35"/>
      <c r="AI26" s="35"/>
      <c r="AJ26" s="35"/>
      <c r="AK26" s="35"/>
      <c r="AL26" s="35"/>
      <c r="AM26" s="35"/>
      <c r="AN26" s="35"/>
      <c r="AO26" s="35"/>
      <c r="AP26" s="35"/>
      <c r="AQ26" s="35"/>
      <c r="AR26" s="35"/>
      <c r="AS26" s="35"/>
      <c r="AT26" s="35"/>
      <c r="AU26" s="35"/>
      <c r="AV26" s="35"/>
      <c r="AW26" s="35"/>
      <c r="AX26" s="35"/>
      <c r="AY26" s="35"/>
      <c r="AZ26" s="35"/>
      <c r="BA26" s="35"/>
      <c r="BB26" s="35"/>
    </row>
    <row r="27" spans="3:54" ht="15" customHeight="1">
      <c r="E27" s="19" t="s">
        <v>377</v>
      </c>
      <c r="G27" s="5" t="str">
        <f>base_year</f>
        <v>£m 2020</v>
      </c>
      <c r="H27" s="19" t="s">
        <v>314</v>
      </c>
      <c r="I27" s="188">
        <f>I25/SUMPRODUCT($O$19:$BB$19,$O$21:$BB$21)</f>
        <v>-4.2855260390855774</v>
      </c>
      <c r="O27" s="35"/>
      <c r="P27" s="35"/>
      <c r="Q27" s="35"/>
      <c r="R27" s="35"/>
      <c r="S27" s="35"/>
      <c r="T27" s="35"/>
      <c r="U27" s="35"/>
      <c r="V27" s="35"/>
      <c r="W27" s="35"/>
      <c r="X27" s="35"/>
      <c r="Y27" s="35"/>
      <c r="Z27" s="35"/>
      <c r="AA27" s="35"/>
      <c r="AB27" s="35"/>
      <c r="AC27" s="35"/>
      <c r="AD27" s="35"/>
      <c r="AE27" s="35"/>
      <c r="AF27" s="35"/>
      <c r="AG27" s="35"/>
      <c r="AH27" s="35"/>
      <c r="AI27" s="35"/>
      <c r="AJ27" s="35"/>
      <c r="AK27" s="35"/>
      <c r="AL27" s="35"/>
      <c r="AM27" s="35"/>
      <c r="AN27" s="35"/>
      <c r="AO27" s="35"/>
      <c r="AP27" s="35"/>
      <c r="AQ27" s="35"/>
      <c r="AR27" s="35"/>
      <c r="AS27" s="35"/>
      <c r="AT27" s="35"/>
      <c r="AU27" s="35"/>
      <c r="AV27" s="35"/>
      <c r="AW27" s="35"/>
      <c r="AX27" s="35"/>
      <c r="AY27" s="35"/>
      <c r="AZ27" s="35"/>
      <c r="BA27" s="35"/>
      <c r="BB27" s="35"/>
    </row>
    <row r="28" spans="3:54" ht="15" customHeight="1">
      <c r="O28" s="35"/>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row>
    <row r="29" spans="3:54" ht="15" customHeight="1">
      <c r="E29" s="19" t="s">
        <v>378</v>
      </c>
      <c r="G29" s="19" t="s">
        <v>188</v>
      </c>
      <c r="O29" s="89"/>
      <c r="P29" s="184">
        <f>Inputs!P187</f>
        <v>0</v>
      </c>
      <c r="Q29" s="184">
        <f>Inputs!Q187</f>
        <v>0</v>
      </c>
      <c r="R29" s="184">
        <f>Inputs!R187</f>
        <v>0</v>
      </c>
      <c r="S29" s="184">
        <f>Inputs!S187</f>
        <v>0</v>
      </c>
      <c r="T29" s="184">
        <f>Inputs!T187</f>
        <v>0</v>
      </c>
      <c r="U29" s="184">
        <f>Inputs!U187</f>
        <v>0</v>
      </c>
      <c r="V29" s="184">
        <f>Inputs!V187</f>
        <v>0</v>
      </c>
      <c r="W29" s="184">
        <f>Inputs!W187</f>
        <v>0</v>
      </c>
      <c r="X29" s="184">
        <f>Inputs!X187</f>
        <v>0</v>
      </c>
      <c r="Y29" s="184">
        <f>Inputs!Y187</f>
        <v>0</v>
      </c>
      <c r="Z29" s="184">
        <f>Inputs!Z187</f>
        <v>0</v>
      </c>
      <c r="AA29" s="184">
        <f>Inputs!AA187</f>
        <v>0</v>
      </c>
      <c r="AB29" s="184">
        <f>Inputs!AB187</f>
        <v>0</v>
      </c>
      <c r="AC29" s="184">
        <f>Inputs!AC187</f>
        <v>0.99931553730321698</v>
      </c>
      <c r="AD29" s="184">
        <f>Inputs!AD187</f>
        <v>1</v>
      </c>
      <c r="AE29" s="184">
        <f>Inputs!AE187</f>
        <v>1</v>
      </c>
      <c r="AF29" s="184">
        <f>Inputs!AF187</f>
        <v>1</v>
      </c>
      <c r="AG29" s="184">
        <f>Inputs!AG187</f>
        <v>1</v>
      </c>
      <c r="AH29" s="184">
        <f>Inputs!AH187</f>
        <v>1</v>
      </c>
      <c r="AI29" s="184">
        <f>Inputs!AI187</f>
        <v>1</v>
      </c>
      <c r="AJ29" s="184">
        <f>Inputs!AJ187</f>
        <v>1</v>
      </c>
      <c r="AK29" s="184">
        <f>Inputs!AK187</f>
        <v>1</v>
      </c>
      <c r="AL29" s="184">
        <f>Inputs!AL187</f>
        <v>1</v>
      </c>
      <c r="AM29" s="184">
        <f>Inputs!AM187</f>
        <v>1</v>
      </c>
      <c r="AN29" s="184">
        <f>Inputs!AN187</f>
        <v>1</v>
      </c>
      <c r="AO29" s="184">
        <f>Inputs!AO187</f>
        <v>0.32922655715263516</v>
      </c>
      <c r="AP29" s="184">
        <f>Inputs!AP187</f>
        <v>0</v>
      </c>
      <c r="AQ29" s="184">
        <f>Inputs!AQ187</f>
        <v>0</v>
      </c>
      <c r="AR29" s="184">
        <f>Inputs!AR187</f>
        <v>0</v>
      </c>
      <c r="AS29" s="184">
        <f>Inputs!AS187</f>
        <v>0</v>
      </c>
      <c r="AT29" s="184">
        <f>Inputs!AT187</f>
        <v>0</v>
      </c>
      <c r="AU29" s="184">
        <f>Inputs!AU187</f>
        <v>0</v>
      </c>
      <c r="AV29" s="184">
        <f>Inputs!AV187</f>
        <v>0</v>
      </c>
      <c r="AW29" s="184">
        <f>Inputs!AW187</f>
        <v>0</v>
      </c>
      <c r="AX29" s="184">
        <f>Inputs!AX187</f>
        <v>0</v>
      </c>
      <c r="AY29" s="184">
        <f>Inputs!AY187</f>
        <v>0</v>
      </c>
      <c r="AZ29" s="184">
        <f>Inputs!AZ187</f>
        <v>0</v>
      </c>
      <c r="BA29" s="184">
        <f>Inputs!BA187</f>
        <v>0</v>
      </c>
      <c r="BB29" s="184">
        <f>Inputs!BB187</f>
        <v>0</v>
      </c>
    </row>
    <row r="30" spans="3:54" ht="15" customHeight="1">
      <c r="E30" s="19" t="s">
        <v>379</v>
      </c>
      <c r="I30" s="187">
        <f>Inputs!I47</f>
        <v>-8.3999999999999995E-3</v>
      </c>
      <c r="O30" s="35"/>
      <c r="P30" s="35"/>
      <c r="Q30" s="35"/>
      <c r="R30" s="35"/>
      <c r="S30" s="35"/>
      <c r="T30" s="35"/>
      <c r="U30" s="35"/>
      <c r="V30" s="35"/>
      <c r="W30" s="35"/>
      <c r="X30" s="35"/>
      <c r="Y30" s="35"/>
      <c r="Z30" s="35"/>
      <c r="AA30" s="35"/>
      <c r="AB30" s="35"/>
      <c r="AC30" s="35"/>
      <c r="AD30" s="35"/>
      <c r="AE30" s="35"/>
      <c r="AF30" s="35"/>
      <c r="AG30" s="35"/>
      <c r="AH30" s="35"/>
      <c r="AI30" s="35"/>
      <c r="AJ30" s="35"/>
      <c r="AK30" s="35"/>
      <c r="AL30" s="35"/>
      <c r="AM30" s="35"/>
      <c r="AN30" s="35"/>
      <c r="AO30" s="35"/>
      <c r="AP30" s="35"/>
      <c r="AQ30" s="35"/>
      <c r="AR30" s="35"/>
      <c r="AS30" s="35"/>
      <c r="AT30" s="35"/>
      <c r="AU30" s="35"/>
      <c r="AV30" s="35"/>
      <c r="AW30" s="35"/>
      <c r="AX30" s="35"/>
      <c r="AY30" s="35"/>
      <c r="AZ30" s="35"/>
      <c r="BA30" s="35"/>
      <c r="BB30" s="35"/>
    </row>
    <row r="31" spans="3:54" ht="15" customHeight="1">
      <c r="E31" s="19" t="s">
        <v>380</v>
      </c>
      <c r="G31" s="19" t="s">
        <v>193</v>
      </c>
      <c r="O31" s="35">
        <f t="shared" ref="O31:BB31" si="1">IF(O5&lt;=op_years,(1+$I30)^-O$5,0)</f>
        <v>1</v>
      </c>
      <c r="P31" s="35">
        <f t="shared" si="1"/>
        <v>1.008471157724889</v>
      </c>
      <c r="Q31" s="35">
        <f t="shared" si="1"/>
        <v>1.017014075962978</v>
      </c>
      <c r="R31" s="35">
        <f t="shared" si="1"/>
        <v>1.0256293626088926</v>
      </c>
      <c r="S31" s="35">
        <f t="shared" si="1"/>
        <v>1.0343176307068298</v>
      </c>
      <c r="T31" s="35">
        <f t="shared" si="1"/>
        <v>1.0430794984941811</v>
      </c>
      <c r="U31" s="35">
        <f t="shared" si="1"/>
        <v>1.0519155894455232</v>
      </c>
      <c r="V31" s="35">
        <f t="shared" si="1"/>
        <v>1.0608265323169859</v>
      </c>
      <c r="W31" s="35">
        <f t="shared" si="1"/>
        <v>1.0698129611909901</v>
      </c>
      <c r="X31" s="35">
        <f t="shared" si="1"/>
        <v>1.0788755155213696</v>
      </c>
      <c r="Y31" s="35">
        <f t="shared" si="1"/>
        <v>1.0880148401788721</v>
      </c>
      <c r="Z31" s="35">
        <f t="shared" si="1"/>
        <v>1.0972315854970471</v>
      </c>
      <c r="AA31" s="35">
        <f t="shared" si="1"/>
        <v>1.1065264073185228</v>
      </c>
      <c r="AB31" s="35">
        <f t="shared" si="1"/>
        <v>1.1158999670416729</v>
      </c>
      <c r="AC31" s="35">
        <f t="shared" si="1"/>
        <v>1.1253529316676811</v>
      </c>
      <c r="AD31" s="35">
        <f t="shared" si="1"/>
        <v>1.1348859738480044</v>
      </c>
      <c r="AE31" s="35">
        <f t="shared" si="1"/>
        <v>1.1444997719322352</v>
      </c>
      <c r="AF31" s="35">
        <f t="shared" si="1"/>
        <v>1.1541950100163727</v>
      </c>
      <c r="AG31" s="35">
        <f t="shared" si="1"/>
        <v>1.1639723779915012</v>
      </c>
      <c r="AH31" s="35">
        <f t="shared" si="1"/>
        <v>1.1738325715928815</v>
      </c>
      <c r="AI31" s="35">
        <f t="shared" si="1"/>
        <v>1.1837762924494568</v>
      </c>
      <c r="AJ31" s="35">
        <f t="shared" si="1"/>
        <v>1.1938042481337805</v>
      </c>
      <c r="AK31" s="35">
        <f t="shared" si="1"/>
        <v>1.2039171522123642</v>
      </c>
      <c r="AL31" s="35">
        <f t="shared" si="1"/>
        <v>1.2141157242964542</v>
      </c>
      <c r="AM31" s="35">
        <f t="shared" si="1"/>
        <v>1.2244006900932376</v>
      </c>
      <c r="AN31" s="35">
        <f t="shared" si="1"/>
        <v>1.2347727814574803</v>
      </c>
      <c r="AO31" s="35">
        <f t="shared" si="1"/>
        <v>1.2452327364436064</v>
      </c>
      <c r="AP31" s="35">
        <f t="shared" si="1"/>
        <v>0</v>
      </c>
      <c r="AQ31" s="35">
        <f t="shared" si="1"/>
        <v>0</v>
      </c>
      <c r="AR31" s="35">
        <f t="shared" si="1"/>
        <v>0</v>
      </c>
      <c r="AS31" s="35">
        <f t="shared" si="1"/>
        <v>0</v>
      </c>
      <c r="AT31" s="35">
        <f t="shared" si="1"/>
        <v>0</v>
      </c>
      <c r="AU31" s="35">
        <f t="shared" si="1"/>
        <v>0</v>
      </c>
      <c r="AV31" s="35">
        <f t="shared" si="1"/>
        <v>0</v>
      </c>
      <c r="AW31" s="35">
        <f t="shared" si="1"/>
        <v>0</v>
      </c>
      <c r="AX31" s="35">
        <f t="shared" si="1"/>
        <v>0</v>
      </c>
      <c r="AY31" s="35">
        <f t="shared" si="1"/>
        <v>0</v>
      </c>
      <c r="AZ31" s="35">
        <f t="shared" si="1"/>
        <v>0</v>
      </c>
      <c r="BA31" s="35">
        <f t="shared" si="1"/>
        <v>0</v>
      </c>
      <c r="BB31" s="35">
        <f t="shared" si="1"/>
        <v>0</v>
      </c>
    </row>
    <row r="32" spans="3:54" ht="15" customHeight="1"/>
    <row r="33" spans="5:54" ht="15" customHeight="1">
      <c r="E33" s="19" t="s">
        <v>374</v>
      </c>
      <c r="G33" s="5" t="str">
        <f>base_year</f>
        <v>£m 2020</v>
      </c>
      <c r="I33" s="51">
        <f>SUMPRODUCT($O$31:$BB$31,O11:BB11,$O$29:$BB$29)</f>
        <v>60.975607973848177</v>
      </c>
    </row>
    <row r="34" spans="5:54" ht="15" customHeight="1">
      <c r="E34" s="19" t="s">
        <v>375</v>
      </c>
      <c r="G34" s="5" t="str">
        <f>base_year</f>
        <v>£m 2020</v>
      </c>
      <c r="I34" s="51">
        <f>SUMPRODUCT($O$31:$BB$31,O15:BB15,$O$29:$BB$29)</f>
        <v>0</v>
      </c>
    </row>
    <row r="35" spans="5:54" ht="15" customHeight="1">
      <c r="E35" s="19" t="s">
        <v>376</v>
      </c>
      <c r="G35" s="5" t="str">
        <f>base_year</f>
        <v>£m 2020</v>
      </c>
      <c r="I35" s="51">
        <f>I34-I33</f>
        <v>-60.975607973848177</v>
      </c>
    </row>
    <row r="36" spans="5:54" ht="15" customHeight="1">
      <c r="I36" s="60"/>
    </row>
    <row r="37" spans="5:54" ht="15" customHeight="1">
      <c r="E37" s="19" t="s">
        <v>381</v>
      </c>
      <c r="G37" s="5" t="str">
        <f>base_year</f>
        <v>£m 2020</v>
      </c>
      <c r="H37" s="19" t="s">
        <v>316</v>
      </c>
      <c r="I37" s="188">
        <f>I35/SUMPRODUCT($O$29:$BB$29,$O$31:$BB$31)</f>
        <v>-4.187678381962769</v>
      </c>
    </row>
    <row r="38" spans="5:54" ht="15" customHeight="1"/>
    <row r="39" spans="5:54" ht="15" customHeight="1">
      <c r="E39" s="19" t="s">
        <v>382</v>
      </c>
      <c r="G39" s="19" t="s">
        <v>188</v>
      </c>
      <c r="O39" s="89"/>
      <c r="P39" s="184">
        <f>Inputs!P187</f>
        <v>0</v>
      </c>
      <c r="Q39" s="184">
        <f>Inputs!Q187</f>
        <v>0</v>
      </c>
      <c r="R39" s="184">
        <f>Inputs!R187</f>
        <v>0</v>
      </c>
      <c r="S39" s="184">
        <f>Inputs!S187</f>
        <v>0</v>
      </c>
      <c r="T39" s="184">
        <f>Inputs!T187</f>
        <v>0</v>
      </c>
      <c r="U39" s="184">
        <f>Inputs!U187</f>
        <v>0</v>
      </c>
      <c r="V39" s="184">
        <f>Inputs!V187</f>
        <v>0</v>
      </c>
      <c r="W39" s="184">
        <f>Inputs!W187</f>
        <v>0</v>
      </c>
      <c r="X39" s="184">
        <f>Inputs!X187</f>
        <v>0</v>
      </c>
      <c r="Y39" s="184">
        <f>Inputs!Y187</f>
        <v>0</v>
      </c>
      <c r="Z39" s="184">
        <f>Inputs!Z187</f>
        <v>0</v>
      </c>
      <c r="AA39" s="184">
        <f>Inputs!AA187</f>
        <v>0</v>
      </c>
      <c r="AB39" s="184">
        <f>Inputs!AB187</f>
        <v>0</v>
      </c>
      <c r="AC39" s="184">
        <f>Inputs!AC187</f>
        <v>0.99931553730321698</v>
      </c>
      <c r="AD39" s="184">
        <f>Inputs!AD187</f>
        <v>1</v>
      </c>
      <c r="AE39" s="184">
        <f>Inputs!AE187</f>
        <v>1</v>
      </c>
      <c r="AF39" s="184">
        <f>Inputs!AF187</f>
        <v>1</v>
      </c>
      <c r="AG39" s="184">
        <f>Inputs!AG187</f>
        <v>1</v>
      </c>
      <c r="AH39" s="184">
        <f>Inputs!AH187</f>
        <v>1</v>
      </c>
      <c r="AI39" s="184">
        <f>Inputs!AI187</f>
        <v>1</v>
      </c>
      <c r="AJ39" s="184">
        <f>Inputs!AJ187</f>
        <v>1</v>
      </c>
      <c r="AK39" s="184">
        <f>Inputs!AK187</f>
        <v>1</v>
      </c>
      <c r="AL39" s="184">
        <f>Inputs!AL187</f>
        <v>1</v>
      </c>
      <c r="AM39" s="184">
        <f>Inputs!AM187</f>
        <v>1</v>
      </c>
      <c r="AN39" s="184">
        <f>Inputs!AN187</f>
        <v>1</v>
      </c>
      <c r="AO39" s="184">
        <f>Inputs!AO187</f>
        <v>0.32922655715263516</v>
      </c>
      <c r="AP39" s="184">
        <f>Inputs!AP187</f>
        <v>0</v>
      </c>
      <c r="AQ39" s="184">
        <f>Inputs!AQ187</f>
        <v>0</v>
      </c>
      <c r="AR39" s="184">
        <f>Inputs!AR187</f>
        <v>0</v>
      </c>
      <c r="AS39" s="184">
        <f>Inputs!AS187</f>
        <v>0</v>
      </c>
      <c r="AT39" s="184">
        <f>Inputs!AT187</f>
        <v>0</v>
      </c>
      <c r="AU39" s="184">
        <f>Inputs!AU187</f>
        <v>0</v>
      </c>
      <c r="AV39" s="184">
        <f>Inputs!AV187</f>
        <v>0</v>
      </c>
      <c r="AW39" s="184">
        <f>Inputs!AW187</f>
        <v>0</v>
      </c>
      <c r="AX39" s="184">
        <f>Inputs!AX187</f>
        <v>0</v>
      </c>
      <c r="AY39" s="184">
        <f>Inputs!AY187</f>
        <v>0</v>
      </c>
      <c r="AZ39" s="184">
        <f>Inputs!AZ187</f>
        <v>0</v>
      </c>
      <c r="BA39" s="184">
        <f>Inputs!BA187</f>
        <v>0</v>
      </c>
      <c r="BB39" s="184">
        <f>Inputs!BB187</f>
        <v>0</v>
      </c>
    </row>
    <row r="40" spans="5:54" ht="15" customHeight="1">
      <c r="E40" s="19" t="s">
        <v>379</v>
      </c>
      <c r="I40" s="187">
        <f>Inputs!I48</f>
        <v>-1.14E-2</v>
      </c>
      <c r="O40" s="35"/>
      <c r="P40" s="35"/>
      <c r="Q40" s="35"/>
      <c r="R40" s="35"/>
      <c r="S40" s="35"/>
      <c r="T40" s="35"/>
      <c r="U40" s="35"/>
      <c r="V40" s="35"/>
      <c r="W40" s="35"/>
      <c r="X40" s="35"/>
      <c r="Y40" s="35"/>
      <c r="Z40" s="35"/>
      <c r="AA40" s="35"/>
      <c r="AB40" s="35"/>
      <c r="AC40" s="35"/>
      <c r="AD40" s="35"/>
      <c r="AE40" s="35"/>
      <c r="AF40" s="35"/>
      <c r="AG40" s="35"/>
      <c r="AH40" s="35"/>
      <c r="AI40" s="35"/>
      <c r="AJ40" s="35"/>
      <c r="AK40" s="35"/>
      <c r="AL40" s="35"/>
      <c r="AM40" s="35"/>
      <c r="AN40" s="35"/>
      <c r="AO40" s="35"/>
      <c r="AP40" s="35"/>
      <c r="AQ40" s="35"/>
      <c r="AR40" s="35"/>
      <c r="AS40" s="35"/>
      <c r="AT40" s="35"/>
      <c r="AU40" s="35"/>
      <c r="AV40" s="35"/>
      <c r="AW40" s="35"/>
      <c r="AX40" s="35"/>
      <c r="AY40" s="35"/>
      <c r="AZ40" s="35"/>
      <c r="BA40" s="35"/>
      <c r="BB40" s="35"/>
    </row>
    <row r="41" spans="5:54" ht="15" customHeight="1">
      <c r="E41" s="19" t="s">
        <v>380</v>
      </c>
      <c r="G41" s="19" t="s">
        <v>193</v>
      </c>
      <c r="O41" s="35">
        <f t="shared" ref="O41:BB41" si="2">IF(O5&lt;=op_years,(1+$I40)^-O$5,0)</f>
        <v>1</v>
      </c>
      <c r="P41" s="35">
        <f t="shared" si="2"/>
        <v>1.0115314586283632</v>
      </c>
      <c r="Q41" s="35">
        <f t="shared" si="2"/>
        <v>1.0231958917948243</v>
      </c>
      <c r="R41" s="35">
        <f t="shared" si="2"/>
        <v>1.0349948328897676</v>
      </c>
      <c r="S41" s="35">
        <f t="shared" si="2"/>
        <v>1.0469298329858057</v>
      </c>
      <c r="T41" s="35">
        <f t="shared" si="2"/>
        <v>1.0590024610416808</v>
      </c>
      <c r="U41" s="35">
        <f t="shared" si="2"/>
        <v>1.0712143041085178</v>
      </c>
      <c r="V41" s="35">
        <f t="shared" si="2"/>
        <v>1.0835669675384563</v>
      </c>
      <c r="W41" s="35">
        <f t="shared" si="2"/>
        <v>1.0960620751956871</v>
      </c>
      <c r="X41" s="35">
        <f t="shared" si="2"/>
        <v>1.1087012696699241</v>
      </c>
      <c r="Y41" s="35">
        <f t="shared" si="2"/>
        <v>1.1214862124923368</v>
      </c>
      <c r="Z41" s="35">
        <f t="shared" si="2"/>
        <v>1.134418584353972</v>
      </c>
      <c r="AA41" s="35">
        <f t="shared" si="2"/>
        <v>1.1475000853266963</v>
      </c>
      <c r="AB41" s="35">
        <f t="shared" si="2"/>
        <v>1.1607324350866846</v>
      </c>
      <c r="AC41" s="35">
        <f t="shared" si="2"/>
        <v>1.1741173731404859</v>
      </c>
      <c r="AD41" s="35">
        <f t="shared" si="2"/>
        <v>1.1876566590536981</v>
      </c>
      <c r="AE41" s="35">
        <f t="shared" si="2"/>
        <v>1.201352072682276</v>
      </c>
      <c r="AF41" s="35">
        <f t="shared" si="2"/>
        <v>1.2152054144065103</v>
      </c>
      <c r="AG41" s="35">
        <f t="shared" si="2"/>
        <v>1.2292185053677018</v>
      </c>
      <c r="AH41" s="35">
        <f t="shared" si="2"/>
        <v>1.2433931877075681</v>
      </c>
      <c r="AI41" s="35">
        <f t="shared" si="2"/>
        <v>1.2577313248104067</v>
      </c>
      <c r="AJ41" s="35">
        <f t="shared" si="2"/>
        <v>1.2722348015480547</v>
      </c>
      <c r="AK41" s="35">
        <f t="shared" si="2"/>
        <v>1.2869055245276699</v>
      </c>
      <c r="AL41" s="35">
        <f t="shared" si="2"/>
        <v>1.301745422342373</v>
      </c>
      <c r="AM41" s="35">
        <f t="shared" si="2"/>
        <v>1.3167564458247754</v>
      </c>
      <c r="AN41" s="35">
        <f t="shared" si="2"/>
        <v>1.3319405683034342</v>
      </c>
      <c r="AO41" s="35">
        <f t="shared" si="2"/>
        <v>1.3472997858622642</v>
      </c>
      <c r="AP41" s="35">
        <f t="shared" si="2"/>
        <v>0</v>
      </c>
      <c r="AQ41" s="35">
        <f t="shared" si="2"/>
        <v>0</v>
      </c>
      <c r="AR41" s="35">
        <f t="shared" si="2"/>
        <v>0</v>
      </c>
      <c r="AS41" s="35">
        <f t="shared" si="2"/>
        <v>0</v>
      </c>
      <c r="AT41" s="35">
        <f t="shared" si="2"/>
        <v>0</v>
      </c>
      <c r="AU41" s="35">
        <f t="shared" si="2"/>
        <v>0</v>
      </c>
      <c r="AV41" s="35">
        <f t="shared" si="2"/>
        <v>0</v>
      </c>
      <c r="AW41" s="35">
        <f t="shared" si="2"/>
        <v>0</v>
      </c>
      <c r="AX41" s="35">
        <f t="shared" si="2"/>
        <v>0</v>
      </c>
      <c r="AY41" s="35">
        <f t="shared" si="2"/>
        <v>0</v>
      </c>
      <c r="AZ41" s="35">
        <f t="shared" si="2"/>
        <v>0</v>
      </c>
      <c r="BA41" s="35">
        <f t="shared" si="2"/>
        <v>0</v>
      </c>
      <c r="BB41" s="35">
        <f t="shared" si="2"/>
        <v>0</v>
      </c>
    </row>
    <row r="42" spans="5:54" ht="15" customHeight="1"/>
    <row r="43" spans="5:54" ht="15" customHeight="1">
      <c r="E43" s="19" t="s">
        <v>374</v>
      </c>
      <c r="G43" s="5" t="str">
        <f>base_year</f>
        <v>£m 2020</v>
      </c>
      <c r="I43" s="51">
        <f>SUMPRODUCT($O$41:$BB$41,O11:BB11,$O$39:$BB$39)</f>
        <v>64.690041124216222</v>
      </c>
    </row>
    <row r="44" spans="5:54" ht="15" customHeight="1">
      <c r="E44" s="19" t="s">
        <v>375</v>
      </c>
      <c r="G44" s="5" t="str">
        <f>base_year</f>
        <v>£m 2020</v>
      </c>
      <c r="I44" s="51">
        <f>SUMPRODUCT($O$41:$BB$41,O15:BB15,$O$39:$BB$39)</f>
        <v>0</v>
      </c>
    </row>
    <row r="45" spans="5:54" ht="15" customHeight="1">
      <c r="E45" s="19" t="s">
        <v>376</v>
      </c>
      <c r="G45" s="5" t="str">
        <f>base_year</f>
        <v>£m 2020</v>
      </c>
      <c r="I45" s="51">
        <f>I44-I43</f>
        <v>-64.690041124216222</v>
      </c>
    </row>
    <row r="46" spans="5:54" ht="15" customHeight="1">
      <c r="I46" s="60"/>
    </row>
    <row r="47" spans="5:54" ht="15" customHeight="1">
      <c r="E47" s="19" t="s">
        <v>381</v>
      </c>
      <c r="G47" s="5" t="str">
        <f>base_year</f>
        <v>£m 2020</v>
      </c>
      <c r="H47" s="19" t="s">
        <v>318</v>
      </c>
      <c r="I47" s="188">
        <f>I45/SUMPRODUCT($O$39:$BB$39,$O$41:$BB$41)</f>
        <v>-4.1840731663332367</v>
      </c>
    </row>
    <row r="48" spans="5:54" ht="15" customHeight="1"/>
    <row r="49" spans="2:54" s="4" customFormat="1" ht="15" customHeight="1">
      <c r="B49" s="166" t="s">
        <v>46</v>
      </c>
      <c r="C49" s="8"/>
      <c r="D49" s="8"/>
      <c r="E49" s="8"/>
      <c r="F49" s="8"/>
      <c r="G49" s="8"/>
      <c r="H49" s="8"/>
      <c r="I49" s="8"/>
      <c r="J49" s="8"/>
      <c r="K49" s="8"/>
      <c r="L49" s="8"/>
      <c r="M49" s="8"/>
      <c r="N49" s="8"/>
      <c r="O49" s="8"/>
      <c r="P49" s="8"/>
      <c r="Q49" s="8"/>
      <c r="R49" s="8"/>
      <c r="S49" s="8"/>
      <c r="T49" s="8"/>
      <c r="U49" s="8"/>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row>
    <row r="50" spans="2:54" ht="15" customHeight="1"/>
  </sheetData>
  <pageMargins left="0.7" right="0.7" top="0.75" bottom="0.75" header="0.3" footer="0.3"/>
  <headerFooter>
    <oddHeader>&amp;C&amp;"Aptos"&amp;10&amp;K000000 OFFICIAL&amp;1#_x000D_</oddHeader>
    <oddFooter>&amp;C_x000D_&amp;1#&amp;"Aptos"&amp;10&amp;K000000 OFFICIAL</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F851CE-41CB-4A2F-BB7F-85A3BAAA4A2C}">
  <sheetPr>
    <tabColor theme="7" tint="0.59999389629810485"/>
  </sheetPr>
  <dimension ref="A1:BC96"/>
  <sheetViews>
    <sheetView workbookViewId="0">
      <pane xSplit="13" ySplit="5" topLeftCell="N6" activePane="bottomRight" state="frozen"/>
      <selection pane="bottomRight" activeCell="N6" sqref="N6"/>
      <selection pane="bottomLeft"/>
      <selection pane="topRight"/>
    </sheetView>
  </sheetViews>
  <sheetFormatPr defaultColWidth="0" defaultRowHeight="13.15" zeroHeight="1"/>
  <cols>
    <col min="1" max="4" width="2.7109375" style="19" customWidth="1"/>
    <col min="5" max="5" width="50.7109375" style="19" customWidth="1"/>
    <col min="6" max="6" width="1.7109375" style="19" customWidth="1"/>
    <col min="7" max="7" width="15.7109375" style="19" customWidth="1"/>
    <col min="8" max="8" width="11.7109375" style="19" customWidth="1"/>
    <col min="9" max="9" width="13.5703125" style="19" customWidth="1"/>
    <col min="10" max="14" width="1.7109375" style="19" customWidth="1"/>
    <col min="15" max="54" width="10.7109375" style="19" customWidth="1"/>
    <col min="55" max="55" width="2.7109375" style="19" customWidth="1"/>
    <col min="56" max="16384" width="9" style="19" hidden="1"/>
  </cols>
  <sheetData>
    <row r="1" spans="1:55" s="10" customFormat="1" ht="14.25">
      <c r="A1" s="117" t="s">
        <v>29</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row r="7" spans="1:55" s="4" customFormat="1" ht="15" customHeight="1">
      <c r="B7" s="166" t="s">
        <v>383</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row r="9" spans="1:55" s="59" customFormat="1" ht="15" customHeight="1">
      <c r="C9" s="38" t="s">
        <v>384</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row>
    <row r="11" spans="1:55" ht="15" customHeight="1">
      <c r="E11" s="19" t="s">
        <v>385</v>
      </c>
      <c r="G11" s="5" t="str">
        <f>base_year</f>
        <v>£m 2020</v>
      </c>
      <c r="O11" s="31"/>
      <c r="P11" s="184">
        <f>Inputs!P40</f>
        <v>0</v>
      </c>
      <c r="Q11" s="184">
        <f>Inputs!Q40</f>
        <v>0</v>
      </c>
      <c r="R11" s="184">
        <f>Inputs!R40</f>
        <v>0</v>
      </c>
      <c r="S11" s="184">
        <f>Inputs!S40</f>
        <v>0</v>
      </c>
      <c r="T11" s="184">
        <f>Inputs!T40</f>
        <v>0</v>
      </c>
      <c r="U11" s="184">
        <f>Inputs!U40</f>
        <v>0</v>
      </c>
      <c r="V11" s="184">
        <f>Inputs!V40</f>
        <v>0</v>
      </c>
      <c r="W11" s="184">
        <f>Inputs!W40</f>
        <v>0</v>
      </c>
      <c r="X11" s="184">
        <f>Inputs!X40</f>
        <v>0</v>
      </c>
      <c r="Y11" s="184">
        <f>Inputs!Y40</f>
        <v>0</v>
      </c>
      <c r="Z11" s="184">
        <f>Inputs!Z40</f>
        <v>0</v>
      </c>
      <c r="AA11" s="184">
        <f>Inputs!AA40</f>
        <v>0</v>
      </c>
      <c r="AB11" s="184">
        <f>Inputs!AB40</f>
        <v>0</v>
      </c>
      <c r="AC11" s="184">
        <f>Inputs!AC40</f>
        <v>0</v>
      </c>
      <c r="AD11" s="184">
        <f>Inputs!AD40</f>
        <v>0</v>
      </c>
      <c r="AE11" s="184">
        <f>Inputs!AE40</f>
        <v>0</v>
      </c>
      <c r="AF11" s="184">
        <f>Inputs!AF40</f>
        <v>0</v>
      </c>
      <c r="AG11" s="184">
        <f>Inputs!AG40</f>
        <v>0</v>
      </c>
      <c r="AH11" s="184">
        <f>Inputs!AH40</f>
        <v>0</v>
      </c>
      <c r="AI11" s="184">
        <f>Inputs!AI40</f>
        <v>0</v>
      </c>
      <c r="AJ11" s="184">
        <f>Inputs!AJ40</f>
        <v>0</v>
      </c>
      <c r="AK11" s="184">
        <f>Inputs!AK40</f>
        <v>0</v>
      </c>
      <c r="AL11" s="184">
        <f>Inputs!AL40</f>
        <v>0</v>
      </c>
      <c r="AM11" s="184">
        <f>Inputs!AM40</f>
        <v>0</v>
      </c>
      <c r="AN11" s="184">
        <f>Inputs!AN40</f>
        <v>3.520054633531112</v>
      </c>
      <c r="AO11" s="184">
        <f>Inputs!AO40</f>
        <v>0</v>
      </c>
      <c r="AP11" s="184">
        <f>Inputs!AP40</f>
        <v>0</v>
      </c>
      <c r="AQ11" s="184">
        <f>Inputs!AQ40</f>
        <v>0</v>
      </c>
      <c r="AR11" s="184">
        <f>Inputs!AR40</f>
        <v>0</v>
      </c>
      <c r="AS11" s="184">
        <f>Inputs!AS40</f>
        <v>0</v>
      </c>
      <c r="AT11" s="184">
        <f>Inputs!AT40</f>
        <v>0</v>
      </c>
      <c r="AU11" s="184">
        <f>Inputs!AU40</f>
        <v>0</v>
      </c>
      <c r="AV11" s="184">
        <f>Inputs!AV40</f>
        <v>0</v>
      </c>
      <c r="AW11" s="184">
        <f>Inputs!AW40</f>
        <v>0</v>
      </c>
      <c r="AX11" s="184">
        <f>Inputs!AX40</f>
        <v>0</v>
      </c>
      <c r="AY11" s="184">
        <f>Inputs!AY40</f>
        <v>0</v>
      </c>
      <c r="AZ11" s="184">
        <f>Inputs!AZ40</f>
        <v>0</v>
      </c>
      <c r="BA11" s="184">
        <f>Inputs!BA40</f>
        <v>0</v>
      </c>
      <c r="BB11" s="184">
        <f>Inputs!BB40</f>
        <v>0</v>
      </c>
    </row>
    <row r="12" spans="1:55" ht="15" customHeight="1"/>
    <row r="13" spans="1:55" s="59" customFormat="1" ht="15" customHeight="1">
      <c r="C13" s="38" t="s">
        <v>386</v>
      </c>
      <c r="D13" s="38"/>
      <c r="E13" s="38"/>
      <c r="F13" s="38"/>
      <c r="G13" s="38"/>
      <c r="H13" s="38"/>
      <c r="I13" s="38"/>
      <c r="J13" s="38"/>
      <c r="K13" s="38"/>
      <c r="L13" s="38"/>
      <c r="M13" s="38"/>
      <c r="N13" s="38"/>
      <c r="O13" s="38"/>
      <c r="P13" s="38"/>
      <c r="Q13" s="38"/>
      <c r="R13" s="38"/>
      <c r="S13" s="38"/>
      <c r="T13" s="38"/>
      <c r="U13" s="38"/>
      <c r="V13" s="38"/>
      <c r="W13" s="38"/>
      <c r="X13" s="38"/>
      <c r="Y13" s="38"/>
      <c r="Z13" s="38"/>
      <c r="AA13" s="38"/>
      <c r="AB13" s="38"/>
      <c r="AC13" s="38"/>
      <c r="AD13" s="38"/>
      <c r="AE13" s="38"/>
      <c r="AF13" s="38"/>
      <c r="AG13" s="38"/>
      <c r="AH13" s="38"/>
      <c r="AI13" s="38"/>
      <c r="AJ13" s="38"/>
      <c r="AK13" s="38"/>
      <c r="AL13" s="38"/>
      <c r="AM13" s="38"/>
      <c r="AN13" s="38"/>
      <c r="AO13" s="38"/>
      <c r="AP13" s="38"/>
      <c r="AQ13" s="38"/>
      <c r="AR13" s="38"/>
      <c r="AS13" s="38"/>
      <c r="AT13" s="38"/>
      <c r="AU13" s="38"/>
      <c r="AV13" s="38"/>
      <c r="AW13" s="38"/>
      <c r="AX13" s="38"/>
      <c r="AY13" s="38"/>
      <c r="AZ13" s="38"/>
      <c r="BA13" s="38"/>
      <c r="BB13" s="38"/>
    </row>
    <row r="14" spans="1:55" ht="15" customHeight="1"/>
    <row r="15" spans="1:55" ht="15" customHeight="1">
      <c r="E15" s="19" t="s">
        <v>387</v>
      </c>
      <c r="G15" s="5" t="str">
        <f>base_year</f>
        <v>£m 2020</v>
      </c>
      <c r="O15" s="31"/>
      <c r="P15" s="184">
        <f>Inputs!P204</f>
        <v>0</v>
      </c>
      <c r="Q15" s="184">
        <f>Inputs!Q204</f>
        <v>0</v>
      </c>
      <c r="R15" s="184">
        <f>Inputs!R204</f>
        <v>0</v>
      </c>
      <c r="S15" s="184">
        <f>Inputs!S204</f>
        <v>0</v>
      </c>
      <c r="T15" s="184">
        <f>Inputs!T204</f>
        <v>0</v>
      </c>
      <c r="U15" s="184">
        <f>Inputs!U204</f>
        <v>0</v>
      </c>
      <c r="V15" s="184">
        <f>Inputs!V204</f>
        <v>0</v>
      </c>
      <c r="W15" s="184">
        <f>Inputs!W204</f>
        <v>0</v>
      </c>
      <c r="X15" s="184">
        <f>Inputs!X204</f>
        <v>0</v>
      </c>
      <c r="Y15" s="184">
        <f>Inputs!Y204</f>
        <v>0</v>
      </c>
      <c r="Z15" s="184">
        <f>Inputs!Z204</f>
        <v>0</v>
      </c>
      <c r="AA15" s="184">
        <f>Inputs!AA204</f>
        <v>0</v>
      </c>
      <c r="AB15" s="184">
        <f>Inputs!AB204</f>
        <v>0</v>
      </c>
      <c r="AC15" s="184">
        <f>Inputs!AC204</f>
        <v>0</v>
      </c>
      <c r="AD15" s="184">
        <f>Inputs!AD204</f>
        <v>0</v>
      </c>
      <c r="AE15" s="184">
        <f>Inputs!AE204</f>
        <v>0</v>
      </c>
      <c r="AF15" s="184">
        <f>Inputs!AF204</f>
        <v>0</v>
      </c>
      <c r="AG15" s="184">
        <f>Inputs!AG204</f>
        <v>0</v>
      </c>
      <c r="AH15" s="184">
        <f>Inputs!AH204</f>
        <v>0</v>
      </c>
      <c r="AI15" s="184">
        <f>Inputs!AI204</f>
        <v>0</v>
      </c>
      <c r="AJ15" s="184">
        <f>Inputs!AJ204</f>
        <v>0</v>
      </c>
      <c r="AK15" s="184">
        <f>Inputs!AK204</f>
        <v>0</v>
      </c>
      <c r="AL15" s="184">
        <f>Inputs!AL204</f>
        <v>0</v>
      </c>
      <c r="AM15" s="184">
        <f>Inputs!AM204</f>
        <v>0</v>
      </c>
      <c r="AN15" s="184">
        <f>Inputs!AN204</f>
        <v>0</v>
      </c>
      <c r="AO15" s="184">
        <f>Inputs!AO204</f>
        <v>0</v>
      </c>
      <c r="AP15" s="184">
        <f>Inputs!AP204</f>
        <v>0</v>
      </c>
      <c r="AQ15" s="184">
        <f>Inputs!AQ204</f>
        <v>0</v>
      </c>
      <c r="AR15" s="184">
        <f>Inputs!AR204</f>
        <v>0</v>
      </c>
      <c r="AS15" s="184">
        <f>Inputs!AS204</f>
        <v>0</v>
      </c>
      <c r="AT15" s="184">
        <f>Inputs!AT204</f>
        <v>0</v>
      </c>
      <c r="AU15" s="184">
        <f>Inputs!AU204</f>
        <v>0</v>
      </c>
      <c r="AV15" s="184">
        <f>Inputs!AV204</f>
        <v>0</v>
      </c>
      <c r="AW15" s="184">
        <f>Inputs!AW204</f>
        <v>0</v>
      </c>
      <c r="AX15" s="184">
        <f>Inputs!AX204</f>
        <v>0</v>
      </c>
      <c r="AY15" s="184">
        <f>Inputs!AY204</f>
        <v>0</v>
      </c>
      <c r="AZ15" s="184">
        <f>Inputs!AZ204</f>
        <v>0</v>
      </c>
      <c r="BA15" s="184">
        <f>Inputs!BA204</f>
        <v>0</v>
      </c>
      <c r="BB15" s="184">
        <f>Inputs!BB204</f>
        <v>0</v>
      </c>
    </row>
    <row r="16" spans="1:55" ht="15" customHeight="1"/>
    <row r="17" spans="3:54" s="59" customFormat="1" ht="15" customHeight="1">
      <c r="C17" s="38" t="s">
        <v>388</v>
      </c>
      <c r="D17" s="38"/>
      <c r="E17" s="38"/>
      <c r="F17" s="38"/>
      <c r="G17" s="38"/>
      <c r="H17" s="38"/>
      <c r="I17" s="38"/>
      <c r="J17" s="38"/>
      <c r="K17" s="38"/>
      <c r="L17" s="38"/>
      <c r="M17" s="38"/>
      <c r="N17" s="38"/>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8"/>
      <c r="AU17" s="38"/>
      <c r="AV17" s="38"/>
      <c r="AW17" s="38"/>
      <c r="AX17" s="38"/>
      <c r="AY17" s="38"/>
      <c r="AZ17" s="38"/>
      <c r="BA17" s="38"/>
      <c r="BB17" s="38"/>
    </row>
    <row r="18" spans="3:54" ht="15" customHeight="1"/>
    <row r="19" spans="3:54" ht="15" customHeight="1">
      <c r="E19" s="83" t="s">
        <v>344</v>
      </c>
    </row>
    <row r="20" spans="3:54" ht="15" customHeight="1">
      <c r="E20" s="19" t="s">
        <v>389</v>
      </c>
      <c r="G20" s="5" t="str">
        <f>base_year</f>
        <v>£m 2020</v>
      </c>
      <c r="I20" s="184">
        <f>Inputs!I214</f>
        <v>0</v>
      </c>
    </row>
    <row r="21" spans="3:54" ht="15" customHeight="1">
      <c r="E21" s="19" t="s">
        <v>390</v>
      </c>
      <c r="G21" s="19" t="s">
        <v>188</v>
      </c>
      <c r="I21" s="61"/>
      <c r="O21" s="31"/>
      <c r="P21" s="184">
        <f>Inputs!P239</f>
        <v>0</v>
      </c>
      <c r="Q21" s="184">
        <f>Inputs!Q239</f>
        <v>0</v>
      </c>
      <c r="R21" s="184">
        <f>Inputs!R239</f>
        <v>0</v>
      </c>
      <c r="S21" s="184">
        <f>Inputs!S239</f>
        <v>0</v>
      </c>
      <c r="T21" s="184">
        <f>Inputs!T239</f>
        <v>0</v>
      </c>
      <c r="U21" s="184">
        <f>Inputs!U239</f>
        <v>0</v>
      </c>
      <c r="V21" s="184">
        <f>Inputs!V239</f>
        <v>0</v>
      </c>
      <c r="W21" s="184">
        <f>Inputs!W239</f>
        <v>0</v>
      </c>
      <c r="X21" s="184">
        <f>Inputs!X239</f>
        <v>0</v>
      </c>
      <c r="Y21" s="184">
        <f>Inputs!Y239</f>
        <v>0</v>
      </c>
      <c r="Z21" s="184">
        <f>Inputs!Z239</f>
        <v>0</v>
      </c>
      <c r="AA21" s="184">
        <f>Inputs!AA239</f>
        <v>0</v>
      </c>
      <c r="AB21" s="184">
        <f>Inputs!AB239</f>
        <v>0</v>
      </c>
      <c r="AC21" s="184">
        <f>Inputs!AC239</f>
        <v>0</v>
      </c>
      <c r="AD21" s="184">
        <f>Inputs!AD239</f>
        <v>0</v>
      </c>
      <c r="AE21" s="184">
        <f>Inputs!AE239</f>
        <v>0</v>
      </c>
      <c r="AF21" s="184">
        <f>Inputs!AF239</f>
        <v>0</v>
      </c>
      <c r="AG21" s="184">
        <f>Inputs!AG239</f>
        <v>0</v>
      </c>
      <c r="AH21" s="184">
        <f>Inputs!AH239</f>
        <v>0</v>
      </c>
      <c r="AI21" s="184">
        <f>Inputs!AI239</f>
        <v>0</v>
      </c>
      <c r="AJ21" s="184">
        <f>Inputs!AJ239</f>
        <v>0</v>
      </c>
      <c r="AK21" s="184">
        <f>Inputs!AK239</f>
        <v>0</v>
      </c>
      <c r="AL21" s="184">
        <f>Inputs!AL239</f>
        <v>0</v>
      </c>
      <c r="AM21" s="184">
        <f>Inputs!AM239</f>
        <v>0</v>
      </c>
      <c r="AN21" s="184">
        <f>Inputs!AN239</f>
        <v>0</v>
      </c>
      <c r="AO21" s="184">
        <f>Inputs!AO239</f>
        <v>0</v>
      </c>
      <c r="AP21" s="184">
        <f>Inputs!AP239</f>
        <v>0</v>
      </c>
      <c r="AQ21" s="184">
        <f>Inputs!AQ239</f>
        <v>0</v>
      </c>
      <c r="AR21" s="184">
        <f>Inputs!AR239</f>
        <v>0</v>
      </c>
      <c r="AS21" s="184">
        <f>Inputs!AS239</f>
        <v>0</v>
      </c>
      <c r="AT21" s="184">
        <f>Inputs!AT239</f>
        <v>0</v>
      </c>
      <c r="AU21" s="184">
        <f>Inputs!AU239</f>
        <v>0</v>
      </c>
      <c r="AV21" s="184">
        <f>Inputs!AV239</f>
        <v>0</v>
      </c>
      <c r="AW21" s="184">
        <f>Inputs!AW239</f>
        <v>0</v>
      </c>
      <c r="AX21" s="184">
        <f>Inputs!AX239</f>
        <v>0</v>
      </c>
      <c r="AY21" s="184">
        <f>Inputs!AY239</f>
        <v>0</v>
      </c>
      <c r="AZ21" s="184">
        <f>Inputs!AZ239</f>
        <v>0</v>
      </c>
      <c r="BA21" s="184">
        <f>Inputs!BA239</f>
        <v>0</v>
      </c>
      <c r="BB21" s="184">
        <f>Inputs!BB239</f>
        <v>0</v>
      </c>
    </row>
    <row r="22" spans="3:54" ht="15" customHeight="1">
      <c r="I22" s="61"/>
      <c r="O22" s="5"/>
      <c r="P22" s="69"/>
      <c r="Q22" s="69"/>
      <c r="R22" s="69"/>
      <c r="S22" s="69"/>
      <c r="T22" s="69"/>
      <c r="U22" s="69"/>
      <c r="V22" s="69"/>
      <c r="W22" s="69"/>
      <c r="X22" s="69"/>
      <c r="Y22" s="69"/>
      <c r="Z22" s="69"/>
      <c r="AA22" s="69"/>
      <c r="AB22" s="69"/>
      <c r="AC22" s="69"/>
      <c r="AD22" s="69"/>
      <c r="AE22" s="69"/>
      <c r="AF22" s="69"/>
      <c r="AG22" s="69"/>
      <c r="AH22" s="69"/>
      <c r="AI22" s="69"/>
      <c r="AJ22" s="69"/>
      <c r="AK22" s="69"/>
      <c r="AL22" s="69"/>
      <c r="AM22" s="69"/>
      <c r="AN22" s="69"/>
      <c r="AO22" s="69"/>
      <c r="AP22" s="69"/>
      <c r="AQ22" s="69"/>
      <c r="AR22" s="69"/>
      <c r="AS22" s="69"/>
      <c r="AT22" s="69"/>
      <c r="AU22" s="69"/>
      <c r="AV22" s="69"/>
      <c r="AW22" s="69"/>
      <c r="AX22" s="69"/>
      <c r="AY22" s="69"/>
      <c r="AZ22" s="69"/>
      <c r="BA22" s="69"/>
      <c r="BB22" s="69"/>
    </row>
    <row r="23" spans="3:54" ht="15" customHeight="1">
      <c r="E23" s="83" t="s">
        <v>345</v>
      </c>
      <c r="I23" s="61"/>
      <c r="P23" s="62"/>
      <c r="Q23" s="62"/>
      <c r="R23" s="62"/>
      <c r="S23" s="62"/>
      <c r="T23" s="62"/>
      <c r="U23" s="62"/>
      <c r="V23" s="62"/>
      <c r="W23" s="62"/>
      <c r="X23" s="62"/>
      <c r="Y23" s="62"/>
      <c r="Z23" s="62"/>
      <c r="AA23" s="62"/>
      <c r="AB23" s="62"/>
      <c r="AC23" s="62"/>
      <c r="AD23" s="62"/>
      <c r="AE23" s="62"/>
      <c r="AF23" s="62"/>
      <c r="AG23" s="62"/>
      <c r="AH23" s="62"/>
      <c r="AI23" s="62"/>
      <c r="AJ23" s="62"/>
      <c r="AK23" s="62"/>
      <c r="AL23" s="62"/>
      <c r="AM23" s="62"/>
      <c r="AN23" s="62"/>
      <c r="AO23" s="62"/>
      <c r="AP23" s="62"/>
      <c r="AQ23" s="62"/>
      <c r="AR23" s="62"/>
      <c r="AS23" s="62"/>
      <c r="AT23" s="62"/>
      <c r="AU23" s="62"/>
      <c r="AV23" s="62"/>
      <c r="AW23" s="62"/>
      <c r="AX23" s="62"/>
      <c r="AY23" s="62"/>
      <c r="AZ23" s="62"/>
      <c r="BA23" s="62"/>
      <c r="BB23" s="62"/>
    </row>
    <row r="24" spans="3:54" ht="15" customHeight="1">
      <c r="E24" s="19" t="s">
        <v>389</v>
      </c>
      <c r="G24" s="5" t="str">
        <f>base_year</f>
        <v>£m 2020</v>
      </c>
      <c r="I24" s="184">
        <f>Inputs!I220</f>
        <v>0</v>
      </c>
      <c r="P24" s="62"/>
      <c r="Q24" s="62"/>
      <c r="R24" s="62"/>
      <c r="S24" s="62"/>
      <c r="T24" s="62"/>
      <c r="U24" s="62"/>
      <c r="V24" s="62"/>
      <c r="W24" s="62"/>
      <c r="X24" s="62"/>
      <c r="Y24" s="62"/>
      <c r="Z24" s="62"/>
      <c r="AA24" s="62"/>
      <c r="AB24" s="62"/>
      <c r="AC24" s="62"/>
      <c r="AD24" s="62"/>
      <c r="AE24" s="62"/>
      <c r="AF24" s="62"/>
      <c r="AG24" s="62"/>
      <c r="AH24" s="62"/>
      <c r="AI24" s="62"/>
      <c r="AJ24" s="62"/>
      <c r="AK24" s="62"/>
      <c r="AL24" s="62"/>
      <c r="AM24" s="62"/>
      <c r="AN24" s="62"/>
      <c r="AO24" s="62"/>
      <c r="AP24" s="62"/>
      <c r="AQ24" s="62"/>
      <c r="AR24" s="62"/>
      <c r="AS24" s="62"/>
      <c r="AT24" s="62"/>
      <c r="AU24" s="62"/>
      <c r="AV24" s="62"/>
      <c r="AW24" s="62"/>
      <c r="AX24" s="62"/>
      <c r="AY24" s="62"/>
      <c r="AZ24" s="62"/>
      <c r="BA24" s="62"/>
      <c r="BB24" s="62"/>
    </row>
    <row r="25" spans="3:54" ht="15" customHeight="1">
      <c r="E25" s="19" t="s">
        <v>390</v>
      </c>
      <c r="G25" s="19" t="s">
        <v>188</v>
      </c>
      <c r="I25" s="61"/>
      <c r="O25" s="31"/>
      <c r="P25" s="184">
        <f>Inputs!P240</f>
        <v>0</v>
      </c>
      <c r="Q25" s="184">
        <f>Inputs!Q240</f>
        <v>0</v>
      </c>
      <c r="R25" s="184">
        <f>Inputs!R240</f>
        <v>0</v>
      </c>
      <c r="S25" s="184">
        <f>Inputs!S240</f>
        <v>0</v>
      </c>
      <c r="T25" s="184">
        <f>Inputs!T240</f>
        <v>0</v>
      </c>
      <c r="U25" s="184">
        <f>Inputs!U240</f>
        <v>0</v>
      </c>
      <c r="V25" s="184">
        <f>Inputs!V240</f>
        <v>0</v>
      </c>
      <c r="W25" s="184">
        <f>Inputs!W240</f>
        <v>0</v>
      </c>
      <c r="X25" s="184">
        <f>Inputs!X240</f>
        <v>0</v>
      </c>
      <c r="Y25" s="184">
        <f>Inputs!Y240</f>
        <v>0</v>
      </c>
      <c r="Z25" s="184">
        <f>Inputs!Z240</f>
        <v>0</v>
      </c>
      <c r="AA25" s="184">
        <f>Inputs!AA240</f>
        <v>0</v>
      </c>
      <c r="AB25" s="184">
        <f>Inputs!AB240</f>
        <v>0</v>
      </c>
      <c r="AC25" s="184">
        <f>Inputs!AC240</f>
        <v>0</v>
      </c>
      <c r="AD25" s="184">
        <f>Inputs!AD240</f>
        <v>0</v>
      </c>
      <c r="AE25" s="184">
        <f>Inputs!AE240</f>
        <v>0</v>
      </c>
      <c r="AF25" s="184">
        <f>Inputs!AF240</f>
        <v>0</v>
      </c>
      <c r="AG25" s="184">
        <f>Inputs!AG240</f>
        <v>0</v>
      </c>
      <c r="AH25" s="184">
        <f>Inputs!AH240</f>
        <v>0</v>
      </c>
      <c r="AI25" s="184">
        <f>Inputs!AI240</f>
        <v>0</v>
      </c>
      <c r="AJ25" s="184">
        <f>Inputs!AJ240</f>
        <v>0</v>
      </c>
      <c r="AK25" s="184">
        <f>Inputs!AK240</f>
        <v>0</v>
      </c>
      <c r="AL25" s="184">
        <f>Inputs!AL240</f>
        <v>0</v>
      </c>
      <c r="AM25" s="184">
        <f>Inputs!AM240</f>
        <v>0</v>
      </c>
      <c r="AN25" s="184">
        <f>Inputs!AN240</f>
        <v>0</v>
      </c>
      <c r="AO25" s="184">
        <f>Inputs!AO240</f>
        <v>0</v>
      </c>
      <c r="AP25" s="184">
        <f>Inputs!AP240</f>
        <v>0</v>
      </c>
      <c r="AQ25" s="184">
        <f>Inputs!AQ240</f>
        <v>0</v>
      </c>
      <c r="AR25" s="184">
        <f>Inputs!AR240</f>
        <v>0</v>
      </c>
      <c r="AS25" s="184">
        <f>Inputs!AS240</f>
        <v>0</v>
      </c>
      <c r="AT25" s="184">
        <f>Inputs!AT240</f>
        <v>0</v>
      </c>
      <c r="AU25" s="184">
        <f>Inputs!AU240</f>
        <v>0</v>
      </c>
      <c r="AV25" s="184">
        <f>Inputs!AV240</f>
        <v>0</v>
      </c>
      <c r="AW25" s="184">
        <f>Inputs!AW240</f>
        <v>0</v>
      </c>
      <c r="AX25" s="184">
        <f>Inputs!AX240</f>
        <v>0</v>
      </c>
      <c r="AY25" s="184">
        <f>Inputs!AY240</f>
        <v>0</v>
      </c>
      <c r="AZ25" s="184">
        <f>Inputs!AZ240</f>
        <v>0</v>
      </c>
      <c r="BA25" s="184">
        <f>Inputs!BA240</f>
        <v>0</v>
      </c>
      <c r="BB25" s="184">
        <f>Inputs!BB240</f>
        <v>0</v>
      </c>
    </row>
    <row r="26" spans="3:54" ht="15" customHeight="1">
      <c r="I26" s="61"/>
      <c r="O26" s="5"/>
      <c r="P26" s="69"/>
      <c r="Q26" s="69"/>
      <c r="R26" s="69"/>
      <c r="S26" s="69"/>
      <c r="T26" s="69"/>
      <c r="U26" s="69"/>
      <c r="V26" s="69"/>
      <c r="W26" s="69"/>
      <c r="X26" s="69"/>
      <c r="Y26" s="69"/>
      <c r="Z26" s="69"/>
      <c r="AA26" s="69"/>
      <c r="AB26" s="69"/>
      <c r="AC26" s="69"/>
      <c r="AD26" s="69"/>
      <c r="AE26" s="69"/>
      <c r="AF26" s="69"/>
      <c r="AG26" s="69"/>
      <c r="AH26" s="69"/>
      <c r="AI26" s="69"/>
      <c r="AJ26" s="69"/>
      <c r="AK26" s="69"/>
      <c r="AL26" s="69"/>
      <c r="AM26" s="69"/>
      <c r="AN26" s="69"/>
      <c r="AO26" s="69"/>
      <c r="AP26" s="69"/>
      <c r="AQ26" s="69"/>
      <c r="AR26" s="69"/>
      <c r="AS26" s="69"/>
      <c r="AT26" s="69"/>
      <c r="AU26" s="69"/>
      <c r="AV26" s="69"/>
      <c r="AW26" s="69"/>
      <c r="AX26" s="69"/>
      <c r="AY26" s="69"/>
      <c r="AZ26" s="69"/>
      <c r="BA26" s="69"/>
      <c r="BB26" s="69"/>
    </row>
    <row r="27" spans="3:54" ht="15" customHeight="1">
      <c r="E27" s="83" t="s">
        <v>346</v>
      </c>
      <c r="I27" s="61"/>
      <c r="P27" s="62"/>
      <c r="Q27" s="62"/>
      <c r="R27" s="62"/>
      <c r="S27" s="62"/>
      <c r="T27" s="62"/>
      <c r="U27" s="62"/>
      <c r="V27" s="62"/>
      <c r="W27" s="62"/>
      <c r="X27" s="62"/>
      <c r="Y27" s="62"/>
      <c r="Z27" s="62"/>
      <c r="AA27" s="62"/>
      <c r="AB27" s="62"/>
      <c r="AC27" s="62"/>
      <c r="AD27" s="62"/>
      <c r="AE27" s="62"/>
      <c r="AF27" s="62"/>
      <c r="AG27" s="62"/>
      <c r="AH27" s="62"/>
      <c r="AI27" s="62"/>
      <c r="AJ27" s="62"/>
      <c r="AK27" s="62"/>
      <c r="AL27" s="62"/>
      <c r="AM27" s="62"/>
      <c r="AN27" s="62"/>
      <c r="AO27" s="62"/>
      <c r="AP27" s="62"/>
      <c r="AQ27" s="62"/>
      <c r="AR27" s="62"/>
      <c r="AS27" s="62"/>
      <c r="AT27" s="62"/>
      <c r="AU27" s="62"/>
      <c r="AV27" s="62"/>
      <c r="AW27" s="62"/>
      <c r="AX27" s="62"/>
      <c r="AY27" s="62"/>
      <c r="AZ27" s="62"/>
      <c r="BA27" s="62"/>
      <c r="BB27" s="62"/>
    </row>
    <row r="28" spans="3:54" ht="15" customHeight="1">
      <c r="E28" s="19" t="s">
        <v>389</v>
      </c>
      <c r="G28" s="5" t="str">
        <f>base_year</f>
        <v>£m 2020</v>
      </c>
      <c r="I28" s="184">
        <f>Inputs!I226</f>
        <v>0</v>
      </c>
      <c r="P28" s="62"/>
      <c r="Q28" s="62"/>
      <c r="R28" s="62"/>
      <c r="S28" s="62"/>
      <c r="T28" s="62"/>
      <c r="U28" s="62"/>
      <c r="V28" s="62"/>
      <c r="W28" s="62"/>
      <c r="X28" s="62"/>
      <c r="Y28" s="62"/>
      <c r="Z28" s="62"/>
      <c r="AA28" s="62"/>
      <c r="AB28" s="62"/>
      <c r="AC28" s="62"/>
      <c r="AD28" s="62"/>
      <c r="AE28" s="62"/>
      <c r="AF28" s="62"/>
      <c r="AG28" s="62"/>
      <c r="AH28" s="62"/>
      <c r="AI28" s="62"/>
      <c r="AJ28" s="62"/>
      <c r="AK28" s="62"/>
      <c r="AL28" s="62"/>
      <c r="AM28" s="62"/>
      <c r="AN28" s="62"/>
      <c r="AO28" s="62"/>
      <c r="AP28" s="62"/>
      <c r="AQ28" s="62"/>
      <c r="AR28" s="62"/>
      <c r="AS28" s="62"/>
      <c r="AT28" s="62"/>
      <c r="AU28" s="62"/>
      <c r="AV28" s="62"/>
      <c r="AW28" s="62"/>
      <c r="AX28" s="62"/>
      <c r="AY28" s="62"/>
      <c r="AZ28" s="62"/>
      <c r="BA28" s="62"/>
      <c r="BB28" s="62"/>
    </row>
    <row r="29" spans="3:54" ht="15" customHeight="1">
      <c r="E29" s="19" t="s">
        <v>390</v>
      </c>
      <c r="G29" s="19" t="s">
        <v>188</v>
      </c>
      <c r="I29" s="61"/>
      <c r="O29" s="31"/>
      <c r="P29" s="184">
        <f>Inputs!P241</f>
        <v>0</v>
      </c>
      <c r="Q29" s="184">
        <f>Inputs!Q241</f>
        <v>0</v>
      </c>
      <c r="R29" s="184">
        <f>Inputs!R241</f>
        <v>0</v>
      </c>
      <c r="S29" s="184">
        <f>Inputs!S241</f>
        <v>0</v>
      </c>
      <c r="T29" s="184">
        <f>Inputs!T241</f>
        <v>0</v>
      </c>
      <c r="U29" s="184">
        <f>Inputs!U241</f>
        <v>0</v>
      </c>
      <c r="V29" s="184">
        <f>Inputs!V241</f>
        <v>0</v>
      </c>
      <c r="W29" s="184">
        <f>Inputs!W241</f>
        <v>0</v>
      </c>
      <c r="X29" s="184">
        <f>Inputs!X241</f>
        <v>0</v>
      </c>
      <c r="Y29" s="184">
        <f>Inputs!Y241</f>
        <v>0</v>
      </c>
      <c r="Z29" s="184">
        <f>Inputs!Z241</f>
        <v>0</v>
      </c>
      <c r="AA29" s="184">
        <f>Inputs!AA241</f>
        <v>0</v>
      </c>
      <c r="AB29" s="184">
        <f>Inputs!AB241</f>
        <v>0</v>
      </c>
      <c r="AC29" s="184">
        <f>Inputs!AC241</f>
        <v>0</v>
      </c>
      <c r="AD29" s="184">
        <f>Inputs!AD241</f>
        <v>0</v>
      </c>
      <c r="AE29" s="184">
        <f>Inputs!AE241</f>
        <v>0</v>
      </c>
      <c r="AF29" s="184">
        <f>Inputs!AF241</f>
        <v>0</v>
      </c>
      <c r="AG29" s="184">
        <f>Inputs!AG241</f>
        <v>0</v>
      </c>
      <c r="AH29" s="184">
        <f>Inputs!AH241</f>
        <v>0</v>
      </c>
      <c r="AI29" s="184">
        <f>Inputs!AI241</f>
        <v>0</v>
      </c>
      <c r="AJ29" s="184">
        <f>Inputs!AJ241</f>
        <v>0</v>
      </c>
      <c r="AK29" s="184">
        <f>Inputs!AK241</f>
        <v>0</v>
      </c>
      <c r="AL29" s="184">
        <f>Inputs!AL241</f>
        <v>0</v>
      </c>
      <c r="AM29" s="184">
        <f>Inputs!AM241</f>
        <v>0</v>
      </c>
      <c r="AN29" s="184">
        <f>Inputs!AN241</f>
        <v>0</v>
      </c>
      <c r="AO29" s="184">
        <f>Inputs!AO241</f>
        <v>0</v>
      </c>
      <c r="AP29" s="184">
        <f>Inputs!AP241</f>
        <v>0</v>
      </c>
      <c r="AQ29" s="184">
        <f>Inputs!AQ241</f>
        <v>0</v>
      </c>
      <c r="AR29" s="184">
        <f>Inputs!AR241</f>
        <v>0</v>
      </c>
      <c r="AS29" s="184">
        <f>Inputs!AS241</f>
        <v>0</v>
      </c>
      <c r="AT29" s="184">
        <f>Inputs!AT241</f>
        <v>0</v>
      </c>
      <c r="AU29" s="184">
        <f>Inputs!AU241</f>
        <v>0</v>
      </c>
      <c r="AV29" s="184">
        <f>Inputs!AV241</f>
        <v>0</v>
      </c>
      <c r="AW29" s="184">
        <f>Inputs!AW241</f>
        <v>0</v>
      </c>
      <c r="AX29" s="184">
        <f>Inputs!AX241</f>
        <v>0</v>
      </c>
      <c r="AY29" s="184">
        <f>Inputs!AY241</f>
        <v>0</v>
      </c>
      <c r="AZ29" s="184">
        <f>Inputs!AZ241</f>
        <v>0</v>
      </c>
      <c r="BA29" s="184">
        <f>Inputs!BA241</f>
        <v>0</v>
      </c>
      <c r="BB29" s="184">
        <f>Inputs!BB241</f>
        <v>0</v>
      </c>
    </row>
    <row r="30" spans="3:54" ht="15" customHeight="1">
      <c r="I30" s="61"/>
      <c r="O30" s="5"/>
      <c r="P30" s="69"/>
      <c r="Q30" s="69"/>
      <c r="R30" s="69"/>
      <c r="S30" s="69"/>
      <c r="T30" s="69"/>
      <c r="U30" s="69"/>
      <c r="V30" s="69"/>
      <c r="W30" s="69"/>
      <c r="X30" s="69"/>
      <c r="Y30" s="69"/>
      <c r="Z30" s="69"/>
      <c r="AA30" s="69"/>
      <c r="AB30" s="69"/>
      <c r="AC30" s="69"/>
      <c r="AD30" s="69"/>
      <c r="AE30" s="69"/>
      <c r="AF30" s="69"/>
      <c r="AG30" s="69"/>
      <c r="AH30" s="69"/>
      <c r="AI30" s="69"/>
      <c r="AJ30" s="69"/>
      <c r="AK30" s="69"/>
      <c r="AL30" s="69"/>
      <c r="AM30" s="69"/>
      <c r="AN30" s="69"/>
      <c r="AO30" s="69"/>
      <c r="AP30" s="69"/>
      <c r="AQ30" s="69"/>
      <c r="AR30" s="69"/>
      <c r="AS30" s="69"/>
      <c r="AT30" s="69"/>
      <c r="AU30" s="69"/>
      <c r="AV30" s="69"/>
      <c r="AW30" s="69"/>
      <c r="AX30" s="69"/>
      <c r="AY30" s="69"/>
      <c r="AZ30" s="69"/>
      <c r="BA30" s="69"/>
      <c r="BB30" s="69"/>
    </row>
    <row r="31" spans="3:54" ht="15" customHeight="1">
      <c r="E31" s="83" t="s">
        <v>347</v>
      </c>
      <c r="I31" s="61"/>
      <c r="P31" s="62"/>
      <c r="Q31" s="62"/>
      <c r="R31" s="62"/>
      <c r="S31" s="62"/>
      <c r="T31" s="62"/>
      <c r="U31" s="62"/>
      <c r="V31" s="62"/>
      <c r="W31" s="62"/>
      <c r="X31" s="62"/>
      <c r="Y31" s="62"/>
      <c r="Z31" s="62"/>
      <c r="AA31" s="62"/>
      <c r="AB31" s="62"/>
      <c r="AC31" s="62"/>
      <c r="AD31" s="62"/>
      <c r="AE31" s="62"/>
      <c r="AF31" s="62"/>
      <c r="AG31" s="62"/>
      <c r="AH31" s="62"/>
      <c r="AI31" s="62"/>
      <c r="AJ31" s="62"/>
      <c r="AK31" s="62"/>
      <c r="AL31" s="62"/>
      <c r="AM31" s="62"/>
      <c r="AN31" s="62"/>
      <c r="AO31" s="62"/>
      <c r="AP31" s="62"/>
      <c r="AQ31" s="62"/>
      <c r="AR31" s="62"/>
      <c r="AS31" s="62"/>
      <c r="AT31" s="62"/>
      <c r="AU31" s="62"/>
      <c r="AV31" s="62"/>
      <c r="AW31" s="62"/>
      <c r="AX31" s="62"/>
      <c r="AY31" s="62"/>
      <c r="AZ31" s="62"/>
      <c r="BA31" s="62"/>
      <c r="BB31" s="62"/>
    </row>
    <row r="32" spans="3:54" ht="15" customHeight="1">
      <c r="E32" s="19" t="s">
        <v>389</v>
      </c>
      <c r="G32" s="5" t="str">
        <f>base_year</f>
        <v>£m 2020</v>
      </c>
      <c r="I32" s="184">
        <f>Inputs!I232</f>
        <v>0</v>
      </c>
      <c r="P32" s="62"/>
      <c r="Q32" s="62"/>
      <c r="R32" s="62"/>
      <c r="S32" s="62"/>
      <c r="T32" s="62"/>
      <c r="U32" s="62"/>
      <c r="V32" s="62"/>
      <c r="W32" s="62"/>
      <c r="X32" s="62"/>
      <c r="Y32" s="62"/>
      <c r="Z32" s="62"/>
      <c r="AA32" s="62"/>
      <c r="AB32" s="62"/>
      <c r="AC32" s="62"/>
      <c r="AD32" s="62"/>
      <c r="AE32" s="62"/>
      <c r="AF32" s="62"/>
      <c r="AG32" s="62"/>
      <c r="AH32" s="62"/>
      <c r="AI32" s="62"/>
      <c r="AJ32" s="62"/>
      <c r="AK32" s="62"/>
      <c r="AL32" s="62"/>
      <c r="AM32" s="62"/>
      <c r="AN32" s="62"/>
      <c r="AO32" s="62"/>
      <c r="AP32" s="62"/>
      <c r="AQ32" s="62"/>
      <c r="AR32" s="62"/>
      <c r="AS32" s="62"/>
      <c r="AT32" s="62"/>
      <c r="AU32" s="62"/>
      <c r="AV32" s="62"/>
      <c r="AW32" s="62"/>
      <c r="AX32" s="62"/>
      <c r="AY32" s="62"/>
      <c r="AZ32" s="62"/>
      <c r="BA32" s="62"/>
      <c r="BB32" s="62"/>
    </row>
    <row r="33" spans="3:54" ht="15" customHeight="1">
      <c r="E33" s="19" t="s">
        <v>390</v>
      </c>
      <c r="G33" s="19" t="s">
        <v>188</v>
      </c>
      <c r="O33" s="31"/>
      <c r="P33" s="184">
        <f>Inputs!P242</f>
        <v>0</v>
      </c>
      <c r="Q33" s="184">
        <f>Inputs!Q242</f>
        <v>0</v>
      </c>
      <c r="R33" s="184">
        <f>Inputs!R242</f>
        <v>0</v>
      </c>
      <c r="S33" s="184">
        <f>Inputs!S242</f>
        <v>0</v>
      </c>
      <c r="T33" s="184">
        <f>Inputs!T242</f>
        <v>0</v>
      </c>
      <c r="U33" s="184">
        <f>Inputs!U242</f>
        <v>0</v>
      </c>
      <c r="V33" s="184">
        <f>Inputs!V242</f>
        <v>0</v>
      </c>
      <c r="W33" s="184">
        <f>Inputs!W242</f>
        <v>0</v>
      </c>
      <c r="X33" s="184">
        <f>Inputs!X242</f>
        <v>0</v>
      </c>
      <c r="Y33" s="184">
        <f>Inputs!Y242</f>
        <v>0</v>
      </c>
      <c r="Z33" s="184">
        <f>Inputs!Z242</f>
        <v>0</v>
      </c>
      <c r="AA33" s="184">
        <f>Inputs!AA242</f>
        <v>0</v>
      </c>
      <c r="AB33" s="184">
        <f>Inputs!AB242</f>
        <v>0</v>
      </c>
      <c r="AC33" s="184">
        <f>Inputs!AC242</f>
        <v>0</v>
      </c>
      <c r="AD33" s="184">
        <f>Inputs!AD242</f>
        <v>0</v>
      </c>
      <c r="AE33" s="184">
        <f>Inputs!AE242</f>
        <v>0</v>
      </c>
      <c r="AF33" s="184">
        <f>Inputs!AF242</f>
        <v>0</v>
      </c>
      <c r="AG33" s="184">
        <f>Inputs!AG242</f>
        <v>0</v>
      </c>
      <c r="AH33" s="184">
        <f>Inputs!AH242</f>
        <v>0</v>
      </c>
      <c r="AI33" s="184">
        <f>Inputs!AI242</f>
        <v>0</v>
      </c>
      <c r="AJ33" s="184">
        <f>Inputs!AJ242</f>
        <v>0</v>
      </c>
      <c r="AK33" s="184">
        <f>Inputs!AK242</f>
        <v>0</v>
      </c>
      <c r="AL33" s="184">
        <f>Inputs!AL242</f>
        <v>0</v>
      </c>
      <c r="AM33" s="184">
        <f>Inputs!AM242</f>
        <v>0</v>
      </c>
      <c r="AN33" s="184">
        <f>Inputs!AN242</f>
        <v>0</v>
      </c>
      <c r="AO33" s="184">
        <f>Inputs!AO242</f>
        <v>0</v>
      </c>
      <c r="AP33" s="184">
        <f>Inputs!AP242</f>
        <v>0</v>
      </c>
      <c r="AQ33" s="184">
        <f>Inputs!AQ242</f>
        <v>0</v>
      </c>
      <c r="AR33" s="184">
        <f>Inputs!AR242</f>
        <v>0</v>
      </c>
      <c r="AS33" s="184">
        <f>Inputs!AS242</f>
        <v>0</v>
      </c>
      <c r="AT33" s="184">
        <f>Inputs!AT242</f>
        <v>0</v>
      </c>
      <c r="AU33" s="184">
        <f>Inputs!AU242</f>
        <v>0</v>
      </c>
      <c r="AV33" s="184">
        <f>Inputs!AV242</f>
        <v>0</v>
      </c>
      <c r="AW33" s="184">
        <f>Inputs!AW242</f>
        <v>0</v>
      </c>
      <c r="AX33" s="184">
        <f>Inputs!AX242</f>
        <v>0</v>
      </c>
      <c r="AY33" s="184">
        <f>Inputs!AY242</f>
        <v>0</v>
      </c>
      <c r="AZ33" s="184">
        <f>Inputs!AZ242</f>
        <v>0</v>
      </c>
      <c r="BA33" s="184">
        <f>Inputs!BA242</f>
        <v>0</v>
      </c>
      <c r="BB33" s="184">
        <f>Inputs!BB242</f>
        <v>0</v>
      </c>
    </row>
    <row r="34" spans="3:54" ht="15" customHeight="1"/>
    <row r="35" spans="3:54" s="59" customFormat="1" ht="15" customHeight="1">
      <c r="C35" s="38" t="s">
        <v>391</v>
      </c>
      <c r="D35" s="38"/>
      <c r="E35" s="38"/>
      <c r="F35" s="38"/>
      <c r="G35" s="38"/>
      <c r="H35" s="38"/>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row>
    <row r="36" spans="3:54" ht="15" customHeight="1"/>
    <row r="37" spans="3:54" ht="15" customHeight="1">
      <c r="E37" s="83" t="s">
        <v>392</v>
      </c>
    </row>
    <row r="38" spans="3:54" ht="15" customHeight="1">
      <c r="E38" s="19" t="s">
        <v>389</v>
      </c>
      <c r="G38" s="5" t="str">
        <f>base_year</f>
        <v>£m 2020</v>
      </c>
      <c r="I38" s="184">
        <f>Inputs!I215</f>
        <v>0</v>
      </c>
    </row>
    <row r="39" spans="3:54" ht="15" customHeight="1">
      <c r="E39" s="19" t="s">
        <v>390</v>
      </c>
      <c r="G39" s="19" t="s">
        <v>188</v>
      </c>
      <c r="I39" s="61"/>
      <c r="O39" s="31"/>
      <c r="P39" s="184">
        <f>Inputs!P239</f>
        <v>0</v>
      </c>
      <c r="Q39" s="184">
        <f>Inputs!Q239</f>
        <v>0</v>
      </c>
      <c r="R39" s="184">
        <f>Inputs!R239</f>
        <v>0</v>
      </c>
      <c r="S39" s="184">
        <f>Inputs!S239</f>
        <v>0</v>
      </c>
      <c r="T39" s="184">
        <f>Inputs!T239</f>
        <v>0</v>
      </c>
      <c r="U39" s="184">
        <f>Inputs!U239</f>
        <v>0</v>
      </c>
      <c r="V39" s="184">
        <f>Inputs!V239</f>
        <v>0</v>
      </c>
      <c r="W39" s="184">
        <f>Inputs!W239</f>
        <v>0</v>
      </c>
      <c r="X39" s="184">
        <f>Inputs!X239</f>
        <v>0</v>
      </c>
      <c r="Y39" s="184">
        <f>Inputs!Y239</f>
        <v>0</v>
      </c>
      <c r="Z39" s="184">
        <f>Inputs!Z239</f>
        <v>0</v>
      </c>
      <c r="AA39" s="184">
        <f>Inputs!AA239</f>
        <v>0</v>
      </c>
      <c r="AB39" s="184">
        <f>Inputs!AB239</f>
        <v>0</v>
      </c>
      <c r="AC39" s="184">
        <f>Inputs!AC239</f>
        <v>0</v>
      </c>
      <c r="AD39" s="184">
        <f>Inputs!AD239</f>
        <v>0</v>
      </c>
      <c r="AE39" s="184">
        <f>Inputs!AE239</f>
        <v>0</v>
      </c>
      <c r="AF39" s="184">
        <f>Inputs!AF239</f>
        <v>0</v>
      </c>
      <c r="AG39" s="184">
        <f>Inputs!AG239</f>
        <v>0</v>
      </c>
      <c r="AH39" s="184">
        <f>Inputs!AH239</f>
        <v>0</v>
      </c>
      <c r="AI39" s="184">
        <f>Inputs!AI239</f>
        <v>0</v>
      </c>
      <c r="AJ39" s="184">
        <f>Inputs!AJ239</f>
        <v>0</v>
      </c>
      <c r="AK39" s="184">
        <f>Inputs!AK239</f>
        <v>0</v>
      </c>
      <c r="AL39" s="184">
        <f>Inputs!AL239</f>
        <v>0</v>
      </c>
      <c r="AM39" s="184">
        <f>Inputs!AM239</f>
        <v>0</v>
      </c>
      <c r="AN39" s="184">
        <f>Inputs!AN239</f>
        <v>0</v>
      </c>
      <c r="AO39" s="184">
        <f>Inputs!AO239</f>
        <v>0</v>
      </c>
      <c r="AP39" s="184">
        <f>Inputs!AP239</f>
        <v>0</v>
      </c>
      <c r="AQ39" s="184">
        <f>Inputs!AQ239</f>
        <v>0</v>
      </c>
      <c r="AR39" s="184">
        <f>Inputs!AR239</f>
        <v>0</v>
      </c>
      <c r="AS39" s="184">
        <f>Inputs!AS239</f>
        <v>0</v>
      </c>
      <c r="AT39" s="184">
        <f>Inputs!AT239</f>
        <v>0</v>
      </c>
      <c r="AU39" s="184">
        <f>Inputs!AU239</f>
        <v>0</v>
      </c>
      <c r="AV39" s="184">
        <f>Inputs!AV239</f>
        <v>0</v>
      </c>
      <c r="AW39" s="184">
        <f>Inputs!AW239</f>
        <v>0</v>
      </c>
      <c r="AX39" s="184">
        <f>Inputs!AX239</f>
        <v>0</v>
      </c>
      <c r="AY39" s="184">
        <f>Inputs!AY239</f>
        <v>0</v>
      </c>
      <c r="AZ39" s="184">
        <f>Inputs!AZ239</f>
        <v>0</v>
      </c>
      <c r="BA39" s="184">
        <f>Inputs!BA239</f>
        <v>0</v>
      </c>
      <c r="BB39" s="184">
        <f>Inputs!BB239</f>
        <v>0</v>
      </c>
    </row>
    <row r="40" spans="3:54" ht="15" customHeight="1">
      <c r="I40" s="61"/>
      <c r="O40" s="31"/>
      <c r="P40" s="81"/>
      <c r="Q40" s="81"/>
      <c r="R40" s="81"/>
      <c r="S40" s="81"/>
      <c r="T40" s="81"/>
      <c r="U40" s="81"/>
      <c r="V40" s="81"/>
      <c r="W40" s="81"/>
      <c r="X40" s="81"/>
      <c r="Y40" s="81"/>
      <c r="Z40" s="81"/>
      <c r="AA40" s="81"/>
      <c r="AB40" s="81"/>
      <c r="AC40" s="81"/>
      <c r="AD40" s="81"/>
      <c r="AE40" s="81"/>
      <c r="AF40" s="81"/>
      <c r="AG40" s="81"/>
      <c r="AH40" s="81"/>
      <c r="AI40" s="81"/>
      <c r="AJ40" s="81"/>
      <c r="AK40" s="81"/>
      <c r="AL40" s="81"/>
      <c r="AM40" s="81"/>
      <c r="AN40" s="81"/>
      <c r="AO40" s="81"/>
      <c r="AP40" s="81"/>
      <c r="AQ40" s="81"/>
      <c r="AR40" s="81"/>
      <c r="AS40" s="81"/>
      <c r="AT40" s="81"/>
      <c r="AU40" s="81"/>
      <c r="AV40" s="81"/>
      <c r="AW40" s="81"/>
      <c r="AX40" s="81"/>
      <c r="AY40" s="81"/>
      <c r="AZ40" s="81"/>
      <c r="BA40" s="81"/>
      <c r="BB40" s="81"/>
    </row>
    <row r="41" spans="3:54" ht="15" customHeight="1">
      <c r="E41" s="83" t="s">
        <v>393</v>
      </c>
      <c r="I41" s="61"/>
      <c r="P41" s="62"/>
      <c r="Q41" s="62"/>
      <c r="R41" s="62"/>
      <c r="S41" s="62"/>
      <c r="T41" s="62"/>
      <c r="U41" s="62"/>
      <c r="V41" s="62"/>
      <c r="W41" s="62"/>
      <c r="X41" s="62"/>
      <c r="Y41" s="62"/>
      <c r="Z41" s="62"/>
      <c r="AA41" s="62"/>
      <c r="AB41" s="62"/>
      <c r="AC41" s="62"/>
      <c r="AD41" s="62"/>
      <c r="AE41" s="62"/>
      <c r="AF41" s="62"/>
      <c r="AG41" s="62"/>
      <c r="AH41" s="62"/>
      <c r="AI41" s="62"/>
      <c r="AJ41" s="62"/>
      <c r="AK41" s="62"/>
      <c r="AL41" s="62"/>
      <c r="AM41" s="62"/>
      <c r="AN41" s="62"/>
      <c r="AO41" s="62"/>
      <c r="AP41" s="62"/>
      <c r="AQ41" s="62"/>
      <c r="AR41" s="62"/>
      <c r="AS41" s="62"/>
      <c r="AT41" s="62"/>
      <c r="AU41" s="62"/>
      <c r="AV41" s="62"/>
      <c r="AW41" s="62"/>
      <c r="AX41" s="62"/>
      <c r="AY41" s="62"/>
      <c r="AZ41" s="62"/>
      <c r="BA41" s="62"/>
      <c r="BB41" s="62"/>
    </row>
    <row r="42" spans="3:54" ht="15" customHeight="1">
      <c r="E42" s="19" t="s">
        <v>389</v>
      </c>
      <c r="G42" s="5" t="str">
        <f>base_year</f>
        <v>£m 2020</v>
      </c>
      <c r="I42" s="184">
        <f>Inputs!I221</f>
        <v>0</v>
      </c>
      <c r="P42" s="62"/>
      <c r="Q42" s="62"/>
      <c r="R42" s="62"/>
      <c r="S42" s="62"/>
      <c r="T42" s="62"/>
      <c r="U42" s="62"/>
      <c r="V42" s="62"/>
      <c r="W42" s="62"/>
      <c r="X42" s="62"/>
      <c r="Y42" s="62"/>
      <c r="Z42" s="62"/>
      <c r="AA42" s="62"/>
      <c r="AB42" s="62"/>
      <c r="AC42" s="62"/>
      <c r="AD42" s="62"/>
      <c r="AE42" s="62"/>
      <c r="AF42" s="62"/>
      <c r="AG42" s="62"/>
      <c r="AH42" s="62"/>
      <c r="AI42" s="62"/>
      <c r="AJ42" s="62"/>
      <c r="AK42" s="62"/>
      <c r="AL42" s="62"/>
      <c r="AM42" s="62"/>
      <c r="AN42" s="62"/>
      <c r="AO42" s="62"/>
      <c r="AP42" s="62"/>
      <c r="AQ42" s="62"/>
      <c r="AR42" s="62"/>
      <c r="AS42" s="62"/>
      <c r="AT42" s="62"/>
      <c r="AU42" s="62"/>
      <c r="AV42" s="62"/>
      <c r="AW42" s="62"/>
      <c r="AX42" s="62"/>
      <c r="AY42" s="62"/>
      <c r="AZ42" s="62"/>
      <c r="BA42" s="62"/>
      <c r="BB42" s="62"/>
    </row>
    <row r="43" spans="3:54" ht="15" customHeight="1">
      <c r="E43" s="19" t="s">
        <v>390</v>
      </c>
      <c r="G43" s="19" t="s">
        <v>188</v>
      </c>
      <c r="I43" s="61"/>
      <c r="O43" s="31"/>
      <c r="P43" s="184">
        <f>Inputs!P240</f>
        <v>0</v>
      </c>
      <c r="Q43" s="184">
        <f>Inputs!Q240</f>
        <v>0</v>
      </c>
      <c r="R43" s="184">
        <f>Inputs!R240</f>
        <v>0</v>
      </c>
      <c r="S43" s="184">
        <f>Inputs!S240</f>
        <v>0</v>
      </c>
      <c r="T43" s="184">
        <f>Inputs!T240</f>
        <v>0</v>
      </c>
      <c r="U43" s="184">
        <f>Inputs!U240</f>
        <v>0</v>
      </c>
      <c r="V43" s="184">
        <f>Inputs!V240</f>
        <v>0</v>
      </c>
      <c r="W43" s="184">
        <f>Inputs!W240</f>
        <v>0</v>
      </c>
      <c r="X43" s="184">
        <f>Inputs!X240</f>
        <v>0</v>
      </c>
      <c r="Y43" s="184">
        <f>Inputs!Y240</f>
        <v>0</v>
      </c>
      <c r="Z43" s="184">
        <f>Inputs!Z240</f>
        <v>0</v>
      </c>
      <c r="AA43" s="184">
        <f>Inputs!AA240</f>
        <v>0</v>
      </c>
      <c r="AB43" s="184">
        <f>Inputs!AB240</f>
        <v>0</v>
      </c>
      <c r="AC43" s="184">
        <f>Inputs!AC240</f>
        <v>0</v>
      </c>
      <c r="AD43" s="184">
        <f>Inputs!AD240</f>
        <v>0</v>
      </c>
      <c r="AE43" s="184">
        <f>Inputs!AE240</f>
        <v>0</v>
      </c>
      <c r="AF43" s="184">
        <f>Inputs!AF240</f>
        <v>0</v>
      </c>
      <c r="AG43" s="184">
        <f>Inputs!AG240</f>
        <v>0</v>
      </c>
      <c r="AH43" s="184">
        <f>Inputs!AH240</f>
        <v>0</v>
      </c>
      <c r="AI43" s="184">
        <f>Inputs!AI240</f>
        <v>0</v>
      </c>
      <c r="AJ43" s="184">
        <f>Inputs!AJ240</f>
        <v>0</v>
      </c>
      <c r="AK43" s="184">
        <f>Inputs!AK240</f>
        <v>0</v>
      </c>
      <c r="AL43" s="184">
        <f>Inputs!AL240</f>
        <v>0</v>
      </c>
      <c r="AM43" s="184">
        <f>Inputs!AM240</f>
        <v>0</v>
      </c>
      <c r="AN43" s="184">
        <f>Inputs!AN240</f>
        <v>0</v>
      </c>
      <c r="AO43" s="184">
        <f>Inputs!AO240</f>
        <v>0</v>
      </c>
      <c r="AP43" s="184">
        <f>Inputs!AP240</f>
        <v>0</v>
      </c>
      <c r="AQ43" s="184">
        <f>Inputs!AQ240</f>
        <v>0</v>
      </c>
      <c r="AR43" s="184">
        <f>Inputs!AR240</f>
        <v>0</v>
      </c>
      <c r="AS43" s="184">
        <f>Inputs!AS240</f>
        <v>0</v>
      </c>
      <c r="AT43" s="184">
        <f>Inputs!AT240</f>
        <v>0</v>
      </c>
      <c r="AU43" s="184">
        <f>Inputs!AU240</f>
        <v>0</v>
      </c>
      <c r="AV43" s="184">
        <f>Inputs!AV240</f>
        <v>0</v>
      </c>
      <c r="AW43" s="184">
        <f>Inputs!AW240</f>
        <v>0</v>
      </c>
      <c r="AX43" s="184">
        <f>Inputs!AX240</f>
        <v>0</v>
      </c>
      <c r="AY43" s="184">
        <f>Inputs!AY240</f>
        <v>0</v>
      </c>
      <c r="AZ43" s="184">
        <f>Inputs!AZ240</f>
        <v>0</v>
      </c>
      <c r="BA43" s="184">
        <f>Inputs!BA240</f>
        <v>0</v>
      </c>
      <c r="BB43" s="184">
        <f>Inputs!BB240</f>
        <v>0</v>
      </c>
    </row>
    <row r="44" spans="3:54" ht="15" customHeight="1">
      <c r="I44" s="61"/>
      <c r="O44" s="31"/>
      <c r="P44" s="81"/>
      <c r="Q44" s="81"/>
      <c r="R44" s="81"/>
      <c r="S44" s="81"/>
      <c r="T44" s="81"/>
      <c r="U44" s="81"/>
      <c r="V44" s="81"/>
      <c r="W44" s="81"/>
      <c r="X44" s="81"/>
      <c r="Y44" s="81"/>
      <c r="Z44" s="81"/>
      <c r="AA44" s="81"/>
      <c r="AB44" s="81"/>
      <c r="AC44" s="81"/>
      <c r="AD44" s="81"/>
      <c r="AE44" s="81"/>
      <c r="AF44" s="81"/>
      <c r="AG44" s="81"/>
      <c r="AH44" s="81"/>
      <c r="AI44" s="81"/>
      <c r="AJ44" s="81"/>
      <c r="AK44" s="81"/>
      <c r="AL44" s="81"/>
      <c r="AM44" s="81"/>
      <c r="AN44" s="81"/>
      <c r="AO44" s="81"/>
      <c r="AP44" s="81"/>
      <c r="AQ44" s="81"/>
      <c r="AR44" s="81"/>
      <c r="AS44" s="81"/>
      <c r="AT44" s="81"/>
      <c r="AU44" s="81"/>
      <c r="AV44" s="81"/>
      <c r="AW44" s="81"/>
      <c r="AX44" s="81"/>
      <c r="AY44" s="81"/>
      <c r="AZ44" s="81"/>
      <c r="BA44" s="81"/>
      <c r="BB44" s="81"/>
    </row>
    <row r="45" spans="3:54" ht="15" customHeight="1">
      <c r="E45" s="83" t="s">
        <v>394</v>
      </c>
      <c r="I45" s="61"/>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62"/>
      <c r="AY45" s="62"/>
      <c r="AZ45" s="62"/>
      <c r="BA45" s="62"/>
      <c r="BB45" s="62"/>
    </row>
    <row r="46" spans="3:54" ht="15" customHeight="1">
      <c r="E46" s="19" t="s">
        <v>389</v>
      </c>
      <c r="G46" s="5" t="str">
        <f>base_year</f>
        <v>£m 2020</v>
      </c>
      <c r="I46" s="184">
        <f>Inputs!I227</f>
        <v>0</v>
      </c>
      <c r="P46" s="62"/>
      <c r="Q46" s="62"/>
      <c r="R46" s="62"/>
      <c r="S46" s="62"/>
      <c r="T46" s="62"/>
      <c r="U46" s="62"/>
      <c r="V46" s="62"/>
      <c r="W46" s="62"/>
      <c r="X46" s="62"/>
      <c r="Y46" s="62"/>
      <c r="Z46" s="62"/>
      <c r="AA46" s="62"/>
      <c r="AB46" s="62"/>
      <c r="AC46" s="62"/>
      <c r="AD46" s="62"/>
      <c r="AE46" s="62"/>
      <c r="AF46" s="62"/>
      <c r="AG46" s="62"/>
      <c r="AH46" s="62"/>
      <c r="AI46" s="62"/>
      <c r="AJ46" s="62"/>
      <c r="AK46" s="62"/>
      <c r="AL46" s="62"/>
      <c r="AM46" s="62"/>
      <c r="AN46" s="62"/>
      <c r="AO46" s="62"/>
      <c r="AP46" s="62"/>
      <c r="AQ46" s="62"/>
      <c r="AR46" s="62"/>
      <c r="AS46" s="62"/>
      <c r="AT46" s="62"/>
      <c r="AU46" s="62"/>
      <c r="AV46" s="62"/>
      <c r="AW46" s="62"/>
      <c r="AX46" s="62"/>
      <c r="AY46" s="62"/>
      <c r="AZ46" s="62"/>
      <c r="BA46" s="62"/>
      <c r="BB46" s="62"/>
    </row>
    <row r="47" spans="3:54" ht="15" customHeight="1">
      <c r="E47" s="19" t="s">
        <v>390</v>
      </c>
      <c r="G47" s="19" t="s">
        <v>188</v>
      </c>
      <c r="I47" s="61"/>
      <c r="O47" s="31"/>
      <c r="P47" s="184">
        <f>Inputs!P241</f>
        <v>0</v>
      </c>
      <c r="Q47" s="184">
        <f>Inputs!Q241</f>
        <v>0</v>
      </c>
      <c r="R47" s="184">
        <f>Inputs!R241</f>
        <v>0</v>
      </c>
      <c r="S47" s="184">
        <f>Inputs!S241</f>
        <v>0</v>
      </c>
      <c r="T47" s="184">
        <f>Inputs!T241</f>
        <v>0</v>
      </c>
      <c r="U47" s="184">
        <f>Inputs!U241</f>
        <v>0</v>
      </c>
      <c r="V47" s="184">
        <f>Inputs!V241</f>
        <v>0</v>
      </c>
      <c r="W47" s="184">
        <f>Inputs!W241</f>
        <v>0</v>
      </c>
      <c r="X47" s="184">
        <f>Inputs!X241</f>
        <v>0</v>
      </c>
      <c r="Y47" s="184">
        <f>Inputs!Y241</f>
        <v>0</v>
      </c>
      <c r="Z47" s="184">
        <f>Inputs!Z241</f>
        <v>0</v>
      </c>
      <c r="AA47" s="184">
        <f>Inputs!AA241</f>
        <v>0</v>
      </c>
      <c r="AB47" s="184">
        <f>Inputs!AB241</f>
        <v>0</v>
      </c>
      <c r="AC47" s="184">
        <f>Inputs!AC241</f>
        <v>0</v>
      </c>
      <c r="AD47" s="184">
        <f>Inputs!AD241</f>
        <v>0</v>
      </c>
      <c r="AE47" s="184">
        <f>Inputs!AE241</f>
        <v>0</v>
      </c>
      <c r="AF47" s="184">
        <f>Inputs!AF241</f>
        <v>0</v>
      </c>
      <c r="AG47" s="184">
        <f>Inputs!AG241</f>
        <v>0</v>
      </c>
      <c r="AH47" s="184">
        <f>Inputs!AH241</f>
        <v>0</v>
      </c>
      <c r="AI47" s="184">
        <f>Inputs!AI241</f>
        <v>0</v>
      </c>
      <c r="AJ47" s="184">
        <f>Inputs!AJ241</f>
        <v>0</v>
      </c>
      <c r="AK47" s="184">
        <f>Inputs!AK241</f>
        <v>0</v>
      </c>
      <c r="AL47" s="184">
        <f>Inputs!AL241</f>
        <v>0</v>
      </c>
      <c r="AM47" s="184">
        <f>Inputs!AM241</f>
        <v>0</v>
      </c>
      <c r="AN47" s="184">
        <f>Inputs!AN241</f>
        <v>0</v>
      </c>
      <c r="AO47" s="184">
        <f>Inputs!AO241</f>
        <v>0</v>
      </c>
      <c r="AP47" s="184">
        <f>Inputs!AP241</f>
        <v>0</v>
      </c>
      <c r="AQ47" s="184">
        <f>Inputs!AQ241</f>
        <v>0</v>
      </c>
      <c r="AR47" s="184">
        <f>Inputs!AR241</f>
        <v>0</v>
      </c>
      <c r="AS47" s="184">
        <f>Inputs!AS241</f>
        <v>0</v>
      </c>
      <c r="AT47" s="184">
        <f>Inputs!AT241</f>
        <v>0</v>
      </c>
      <c r="AU47" s="184">
        <f>Inputs!AU241</f>
        <v>0</v>
      </c>
      <c r="AV47" s="184">
        <f>Inputs!AV241</f>
        <v>0</v>
      </c>
      <c r="AW47" s="184">
        <f>Inputs!AW241</f>
        <v>0</v>
      </c>
      <c r="AX47" s="184">
        <f>Inputs!AX241</f>
        <v>0</v>
      </c>
      <c r="AY47" s="184">
        <f>Inputs!AY241</f>
        <v>0</v>
      </c>
      <c r="AZ47" s="184">
        <f>Inputs!AZ241</f>
        <v>0</v>
      </c>
      <c r="BA47" s="184">
        <f>Inputs!BA241</f>
        <v>0</v>
      </c>
      <c r="BB47" s="184">
        <f>Inputs!BB241</f>
        <v>0</v>
      </c>
    </row>
    <row r="48" spans="3:54" ht="15" customHeight="1">
      <c r="I48" s="61"/>
      <c r="O48" s="31"/>
      <c r="P48" s="81"/>
      <c r="Q48" s="81"/>
      <c r="R48" s="81"/>
      <c r="S48" s="81"/>
      <c r="T48" s="81"/>
      <c r="U48" s="81"/>
      <c r="V48" s="81"/>
      <c r="W48" s="81"/>
      <c r="X48" s="81"/>
      <c r="Y48" s="81"/>
      <c r="Z48" s="81"/>
      <c r="AA48" s="81"/>
      <c r="AB48" s="81"/>
      <c r="AC48" s="81"/>
      <c r="AD48" s="81"/>
      <c r="AE48" s="81"/>
      <c r="AF48" s="81"/>
      <c r="AG48" s="81"/>
      <c r="AH48" s="81"/>
      <c r="AI48" s="81"/>
      <c r="AJ48" s="81"/>
      <c r="AK48" s="81"/>
      <c r="AL48" s="81"/>
      <c r="AM48" s="81"/>
      <c r="AN48" s="81"/>
      <c r="AO48" s="81"/>
      <c r="AP48" s="81"/>
      <c r="AQ48" s="81"/>
      <c r="AR48" s="81"/>
      <c r="AS48" s="81"/>
      <c r="AT48" s="81"/>
      <c r="AU48" s="81"/>
      <c r="AV48" s="81"/>
      <c r="AW48" s="81"/>
      <c r="AX48" s="81"/>
      <c r="AY48" s="81"/>
      <c r="AZ48" s="81"/>
      <c r="BA48" s="81"/>
      <c r="BB48" s="81"/>
    </row>
    <row r="49" spans="3:54" ht="15" customHeight="1">
      <c r="E49" s="83" t="s">
        <v>395</v>
      </c>
      <c r="I49" s="61"/>
      <c r="P49" s="62"/>
      <c r="Q49" s="62"/>
      <c r="R49" s="62"/>
      <c r="S49" s="62"/>
      <c r="T49" s="62"/>
      <c r="U49" s="62"/>
      <c r="V49" s="62"/>
      <c r="W49" s="62"/>
      <c r="X49" s="62"/>
      <c r="Y49" s="62"/>
      <c r="Z49" s="62"/>
      <c r="AA49" s="62"/>
      <c r="AB49" s="62"/>
      <c r="AC49" s="62"/>
      <c r="AD49" s="62"/>
      <c r="AE49" s="62"/>
      <c r="AF49" s="62"/>
      <c r="AG49" s="62"/>
      <c r="AH49" s="62"/>
      <c r="AI49" s="62"/>
      <c r="AJ49" s="62"/>
      <c r="AK49" s="62"/>
      <c r="AL49" s="62"/>
      <c r="AM49" s="62"/>
      <c r="AN49" s="62"/>
      <c r="AO49" s="62"/>
      <c r="AP49" s="62"/>
      <c r="AQ49" s="62"/>
      <c r="AR49" s="62"/>
      <c r="AS49" s="62"/>
      <c r="AT49" s="62"/>
      <c r="AU49" s="62"/>
      <c r="AV49" s="62"/>
      <c r="AW49" s="62"/>
      <c r="AX49" s="62"/>
      <c r="AY49" s="62"/>
      <c r="AZ49" s="62"/>
      <c r="BA49" s="62"/>
      <c r="BB49" s="62"/>
    </row>
    <row r="50" spans="3:54" ht="15" customHeight="1">
      <c r="E50" s="19" t="s">
        <v>389</v>
      </c>
      <c r="G50" s="5" t="str">
        <f>base_year</f>
        <v>£m 2020</v>
      </c>
      <c r="I50" s="184">
        <f>Inputs!I233</f>
        <v>0</v>
      </c>
      <c r="P50" s="62"/>
      <c r="Q50" s="62"/>
      <c r="R50" s="62"/>
      <c r="S50" s="62"/>
      <c r="T50" s="62"/>
      <c r="U50" s="62"/>
      <c r="V50" s="62"/>
      <c r="W50" s="62"/>
      <c r="X50" s="62"/>
      <c r="Y50" s="62"/>
      <c r="Z50" s="62"/>
      <c r="AA50" s="62"/>
      <c r="AB50" s="62"/>
      <c r="AC50" s="62"/>
      <c r="AD50" s="62"/>
      <c r="AE50" s="62"/>
      <c r="AF50" s="62"/>
      <c r="AG50" s="62"/>
      <c r="AH50" s="62"/>
      <c r="AI50" s="62"/>
      <c r="AJ50" s="62"/>
      <c r="AK50" s="62"/>
      <c r="AL50" s="62"/>
      <c r="AM50" s="62"/>
      <c r="AN50" s="62"/>
      <c r="AO50" s="62"/>
      <c r="AP50" s="62"/>
      <c r="AQ50" s="62"/>
      <c r="AR50" s="62"/>
      <c r="AS50" s="62"/>
      <c r="AT50" s="62"/>
      <c r="AU50" s="62"/>
      <c r="AV50" s="62"/>
      <c r="AW50" s="62"/>
      <c r="AX50" s="62"/>
      <c r="AY50" s="62"/>
      <c r="AZ50" s="62"/>
      <c r="BA50" s="62"/>
      <c r="BB50" s="62"/>
    </row>
    <row r="51" spans="3:54" ht="15" customHeight="1">
      <c r="E51" s="19" t="s">
        <v>390</v>
      </c>
      <c r="G51" s="19" t="s">
        <v>188</v>
      </c>
      <c r="O51" s="31"/>
      <c r="P51" s="184">
        <f>Inputs!P242</f>
        <v>0</v>
      </c>
      <c r="Q51" s="184">
        <f>Inputs!Q242</f>
        <v>0</v>
      </c>
      <c r="R51" s="184">
        <f>Inputs!R242</f>
        <v>0</v>
      </c>
      <c r="S51" s="184">
        <f>Inputs!S242</f>
        <v>0</v>
      </c>
      <c r="T51" s="184">
        <f>Inputs!T242</f>
        <v>0</v>
      </c>
      <c r="U51" s="184">
        <f>Inputs!U242</f>
        <v>0</v>
      </c>
      <c r="V51" s="184">
        <f>Inputs!V242</f>
        <v>0</v>
      </c>
      <c r="W51" s="184">
        <f>Inputs!W242</f>
        <v>0</v>
      </c>
      <c r="X51" s="184">
        <f>Inputs!X242</f>
        <v>0</v>
      </c>
      <c r="Y51" s="184">
        <f>Inputs!Y242</f>
        <v>0</v>
      </c>
      <c r="Z51" s="184">
        <f>Inputs!Z242</f>
        <v>0</v>
      </c>
      <c r="AA51" s="184">
        <f>Inputs!AA242</f>
        <v>0</v>
      </c>
      <c r="AB51" s="184">
        <f>Inputs!AB242</f>
        <v>0</v>
      </c>
      <c r="AC51" s="184">
        <f>Inputs!AC242</f>
        <v>0</v>
      </c>
      <c r="AD51" s="184">
        <f>Inputs!AD242</f>
        <v>0</v>
      </c>
      <c r="AE51" s="184">
        <f>Inputs!AE242</f>
        <v>0</v>
      </c>
      <c r="AF51" s="184">
        <f>Inputs!AF242</f>
        <v>0</v>
      </c>
      <c r="AG51" s="184">
        <f>Inputs!AG242</f>
        <v>0</v>
      </c>
      <c r="AH51" s="184">
        <f>Inputs!AH242</f>
        <v>0</v>
      </c>
      <c r="AI51" s="184">
        <f>Inputs!AI242</f>
        <v>0</v>
      </c>
      <c r="AJ51" s="184">
        <f>Inputs!AJ242</f>
        <v>0</v>
      </c>
      <c r="AK51" s="184">
        <f>Inputs!AK242</f>
        <v>0</v>
      </c>
      <c r="AL51" s="184">
        <f>Inputs!AL242</f>
        <v>0</v>
      </c>
      <c r="AM51" s="184">
        <f>Inputs!AM242</f>
        <v>0</v>
      </c>
      <c r="AN51" s="184">
        <f>Inputs!AN242</f>
        <v>0</v>
      </c>
      <c r="AO51" s="184">
        <f>Inputs!AO242</f>
        <v>0</v>
      </c>
      <c r="AP51" s="184">
        <f>Inputs!AP242</f>
        <v>0</v>
      </c>
      <c r="AQ51" s="184">
        <f>Inputs!AQ242</f>
        <v>0</v>
      </c>
      <c r="AR51" s="184">
        <f>Inputs!AR242</f>
        <v>0</v>
      </c>
      <c r="AS51" s="184">
        <f>Inputs!AS242</f>
        <v>0</v>
      </c>
      <c r="AT51" s="184">
        <f>Inputs!AT242</f>
        <v>0</v>
      </c>
      <c r="AU51" s="184">
        <f>Inputs!AU242</f>
        <v>0</v>
      </c>
      <c r="AV51" s="184">
        <f>Inputs!AV242</f>
        <v>0</v>
      </c>
      <c r="AW51" s="184">
        <f>Inputs!AW242</f>
        <v>0</v>
      </c>
      <c r="AX51" s="184">
        <f>Inputs!AX242</f>
        <v>0</v>
      </c>
      <c r="AY51" s="184">
        <f>Inputs!AY242</f>
        <v>0</v>
      </c>
      <c r="AZ51" s="184">
        <f>Inputs!AZ242</f>
        <v>0</v>
      </c>
      <c r="BA51" s="184">
        <f>Inputs!BA242</f>
        <v>0</v>
      </c>
      <c r="BB51" s="184">
        <f>Inputs!BB242</f>
        <v>0</v>
      </c>
    </row>
    <row r="52" spans="3:54" ht="15" customHeight="1"/>
    <row r="53" spans="3:54" s="59" customFormat="1" ht="15" customHeight="1">
      <c r="C53" s="38" t="s">
        <v>372</v>
      </c>
      <c r="D53" s="38"/>
      <c r="E53" s="38"/>
      <c r="F53" s="38"/>
      <c r="G53" s="38"/>
      <c r="H53" s="38"/>
      <c r="I53" s="38"/>
      <c r="J53" s="38"/>
      <c r="K53" s="38"/>
      <c r="L53" s="38"/>
      <c r="M53" s="38"/>
      <c r="N53" s="38"/>
      <c r="O53" s="38"/>
      <c r="P53" s="38"/>
      <c r="Q53" s="38"/>
      <c r="R53" s="38"/>
      <c r="S53" s="38"/>
      <c r="T53" s="38"/>
      <c r="U53" s="38"/>
      <c r="V53" s="38"/>
      <c r="W53" s="38"/>
      <c r="X53" s="38"/>
      <c r="Y53" s="38"/>
      <c r="Z53" s="38"/>
      <c r="AA53" s="38"/>
      <c r="AB53" s="38"/>
      <c r="AC53" s="38"/>
      <c r="AD53" s="38"/>
      <c r="AE53" s="38"/>
      <c r="AF53" s="38"/>
      <c r="AG53" s="38"/>
      <c r="AH53" s="38"/>
      <c r="AI53" s="38"/>
      <c r="AJ53" s="38"/>
      <c r="AK53" s="38"/>
      <c r="AL53" s="38"/>
      <c r="AM53" s="38"/>
      <c r="AN53" s="38"/>
      <c r="AO53" s="38"/>
      <c r="AP53" s="38"/>
      <c r="AQ53" s="38"/>
      <c r="AR53" s="38"/>
      <c r="AS53" s="38"/>
      <c r="AT53" s="38"/>
      <c r="AU53" s="38"/>
      <c r="AV53" s="38"/>
      <c r="AW53" s="38"/>
      <c r="AX53" s="38"/>
      <c r="AY53" s="38"/>
      <c r="AZ53" s="38"/>
      <c r="BA53" s="38"/>
      <c r="BB53" s="38"/>
    </row>
    <row r="54" spans="3:54" ht="15" customHeight="1"/>
    <row r="55" spans="3:54" ht="15" customHeight="1">
      <c r="E55" s="19" t="s">
        <v>323</v>
      </c>
      <c r="G55" s="19" t="s">
        <v>188</v>
      </c>
      <c r="O55" s="31"/>
      <c r="P55" s="184">
        <f>Inputs!P202</f>
        <v>0.67077344284736484</v>
      </c>
      <c r="Q55" s="184">
        <f>Inputs!Q202</f>
        <v>1</v>
      </c>
      <c r="R55" s="184">
        <f>Inputs!R202</f>
        <v>1</v>
      </c>
      <c r="S55" s="184">
        <f>Inputs!S202</f>
        <v>1</v>
      </c>
      <c r="T55" s="184">
        <f>Inputs!T202</f>
        <v>1</v>
      </c>
      <c r="U55" s="184">
        <f>Inputs!U202</f>
        <v>1</v>
      </c>
      <c r="V55" s="184">
        <f>Inputs!V202</f>
        <v>1</v>
      </c>
      <c r="W55" s="184">
        <f>Inputs!W202</f>
        <v>1</v>
      </c>
      <c r="X55" s="184">
        <f>Inputs!X202</f>
        <v>1</v>
      </c>
      <c r="Y55" s="184">
        <f>Inputs!Y202</f>
        <v>1</v>
      </c>
      <c r="Z55" s="184">
        <f>Inputs!Z202</f>
        <v>1</v>
      </c>
      <c r="AA55" s="184">
        <f>Inputs!AA202</f>
        <v>1</v>
      </c>
      <c r="AB55" s="184">
        <f>Inputs!AB202</f>
        <v>1</v>
      </c>
      <c r="AC55" s="184">
        <f>Inputs!AC202</f>
        <v>1</v>
      </c>
      <c r="AD55" s="184">
        <f>Inputs!AD202</f>
        <v>1</v>
      </c>
      <c r="AE55" s="184">
        <f>Inputs!AE202</f>
        <v>1</v>
      </c>
      <c r="AF55" s="184">
        <f>Inputs!AF202</f>
        <v>1</v>
      </c>
      <c r="AG55" s="184">
        <f>Inputs!AG202</f>
        <v>1</v>
      </c>
      <c r="AH55" s="184">
        <f>Inputs!AH202</f>
        <v>1</v>
      </c>
      <c r="AI55" s="184">
        <f>Inputs!AI202</f>
        <v>1</v>
      </c>
      <c r="AJ55" s="184">
        <f>Inputs!AJ202</f>
        <v>1</v>
      </c>
      <c r="AK55" s="184">
        <f>Inputs!AK202</f>
        <v>1</v>
      </c>
      <c r="AL55" s="184">
        <f>Inputs!AL202</f>
        <v>1</v>
      </c>
      <c r="AM55" s="184">
        <f>Inputs!AM202</f>
        <v>1</v>
      </c>
      <c r="AN55" s="184">
        <f>Inputs!AN202</f>
        <v>1</v>
      </c>
      <c r="AO55" s="184">
        <f>Inputs!AO202</f>
        <v>0.32922655715263516</v>
      </c>
      <c r="AP55" s="184">
        <f>Inputs!AP202</f>
        <v>0</v>
      </c>
      <c r="AQ55" s="184">
        <f>Inputs!AQ202</f>
        <v>0</v>
      </c>
      <c r="AR55" s="184">
        <f>Inputs!AR202</f>
        <v>0</v>
      </c>
      <c r="AS55" s="184">
        <f>Inputs!AS202</f>
        <v>0</v>
      </c>
      <c r="AT55" s="184">
        <f>Inputs!AT202</f>
        <v>0</v>
      </c>
      <c r="AU55" s="184">
        <f>Inputs!AU202</f>
        <v>0</v>
      </c>
      <c r="AV55" s="184">
        <f>Inputs!AV202</f>
        <v>0</v>
      </c>
      <c r="AW55" s="184">
        <f>Inputs!AW202</f>
        <v>0</v>
      </c>
      <c r="AX55" s="184">
        <f>Inputs!AX202</f>
        <v>0</v>
      </c>
      <c r="AY55" s="184">
        <f>Inputs!AY202</f>
        <v>0</v>
      </c>
      <c r="AZ55" s="184">
        <f>Inputs!AZ202</f>
        <v>0</v>
      </c>
      <c r="BA55" s="184">
        <f>Inputs!BA202</f>
        <v>0</v>
      </c>
      <c r="BB55" s="184">
        <f>Inputs!BB202</f>
        <v>0</v>
      </c>
    </row>
    <row r="56" spans="3:54" ht="15" customHeight="1">
      <c r="E56" s="19" t="s">
        <v>396</v>
      </c>
      <c r="G56" s="5" t="s">
        <v>171</v>
      </c>
      <c r="I56" s="187">
        <f>Inputs!I46</f>
        <v>8.1000000000000003E-2</v>
      </c>
    </row>
    <row r="57" spans="3:54" ht="15" customHeight="1">
      <c r="E57" s="19" t="s">
        <v>373</v>
      </c>
      <c r="G57" s="19" t="s">
        <v>193</v>
      </c>
      <c r="O57" s="35">
        <f t="shared" ref="O57:BB57" si="0">IF(O5&lt;=op_years,(1+$I56)^-O$5,0)</f>
        <v>1</v>
      </c>
      <c r="P57" s="35">
        <f t="shared" si="0"/>
        <v>0.92506938020351526</v>
      </c>
      <c r="Q57" s="35">
        <f t="shared" si="0"/>
        <v>0.85575335819011589</v>
      </c>
      <c r="R57" s="35">
        <f t="shared" si="0"/>
        <v>0.79163122866800739</v>
      </c>
      <c r="S57" s="35">
        <f t="shared" si="0"/>
        <v>0.73231381005366081</v>
      </c>
      <c r="T57" s="35">
        <f t="shared" si="0"/>
        <v>0.67744108238081491</v>
      </c>
      <c r="U57" s="35">
        <f t="shared" si="0"/>
        <v>0.62668000220241893</v>
      </c>
      <c r="V57" s="35">
        <f t="shared" si="0"/>
        <v>0.57972248122332926</v>
      </c>
      <c r="W57" s="35">
        <f t="shared" si="0"/>
        <v>0.53628351639530925</v>
      </c>
      <c r="X57" s="35">
        <f t="shared" si="0"/>
        <v>0.49609946012517048</v>
      </c>
      <c r="Y57" s="35">
        <f t="shared" si="0"/>
        <v>0.45892642009728996</v>
      </c>
      <c r="Z57" s="35">
        <f t="shared" si="0"/>
        <v>0.42453877899841808</v>
      </c>
      <c r="AA57" s="35">
        <f t="shared" si="0"/>
        <v>0.39272782516042376</v>
      </c>
      <c r="AB57" s="35">
        <f t="shared" si="0"/>
        <v>0.36330048580982777</v>
      </c>
      <c r="AC57" s="35">
        <f t="shared" si="0"/>
        <v>0.33607815523573337</v>
      </c>
      <c r="AD57" s="35">
        <f t="shared" si="0"/>
        <v>0.31089561076386063</v>
      </c>
      <c r="AE57" s="35">
        <f t="shared" si="0"/>
        <v>0.28760000995731788</v>
      </c>
      <c r="AF57" s="35">
        <f t="shared" si="0"/>
        <v>0.26604996295774092</v>
      </c>
      <c r="AG57" s="35">
        <f t="shared" si="0"/>
        <v>0.24611467433648557</v>
      </c>
      <c r="AH57" s="35">
        <f t="shared" si="0"/>
        <v>0.22767314924744272</v>
      </c>
      <c r="AI57" s="35">
        <f t="shared" si="0"/>
        <v>0.21061345906331425</v>
      </c>
      <c r="AJ57" s="35">
        <f t="shared" si="0"/>
        <v>0.19483206203821857</v>
      </c>
      <c r="AK57" s="35">
        <f t="shared" si="0"/>
        <v>0.18023317487346768</v>
      </c>
      <c r="AL57" s="35">
        <f t="shared" si="0"/>
        <v>0.16672819137231054</v>
      </c>
      <c r="AM57" s="35">
        <f t="shared" si="0"/>
        <v>0.15423514465523638</v>
      </c>
      <c r="AN57" s="35">
        <f t="shared" si="0"/>
        <v>0.14267820967181905</v>
      </c>
      <c r="AO57" s="35">
        <f t="shared" si="0"/>
        <v>0.13198724298965686</v>
      </c>
      <c r="AP57" s="35">
        <f t="shared" si="0"/>
        <v>0</v>
      </c>
      <c r="AQ57" s="35">
        <f t="shared" si="0"/>
        <v>0</v>
      </c>
      <c r="AR57" s="35">
        <f t="shared" si="0"/>
        <v>0</v>
      </c>
      <c r="AS57" s="35">
        <f t="shared" si="0"/>
        <v>0</v>
      </c>
      <c r="AT57" s="35">
        <f t="shared" si="0"/>
        <v>0</v>
      </c>
      <c r="AU57" s="35">
        <f t="shared" si="0"/>
        <v>0</v>
      </c>
      <c r="AV57" s="35">
        <f t="shared" si="0"/>
        <v>0</v>
      </c>
      <c r="AW57" s="35">
        <f t="shared" si="0"/>
        <v>0</v>
      </c>
      <c r="AX57" s="35">
        <f t="shared" si="0"/>
        <v>0</v>
      </c>
      <c r="AY57" s="35">
        <f t="shared" si="0"/>
        <v>0</v>
      </c>
      <c r="AZ57" s="35">
        <f t="shared" si="0"/>
        <v>0</v>
      </c>
      <c r="BA57" s="35">
        <f t="shared" si="0"/>
        <v>0</v>
      </c>
      <c r="BB57" s="35">
        <f t="shared" si="0"/>
        <v>0</v>
      </c>
    </row>
    <row r="58" spans="3:54" ht="15" customHeight="1"/>
    <row r="59" spans="3:54" ht="15" customHeight="1">
      <c r="E59" s="19" t="s">
        <v>397</v>
      </c>
      <c r="G59" s="5" t="str">
        <f t="shared" ref="G59:G65" si="1">base_year</f>
        <v>£m 2020</v>
      </c>
      <c r="I59" s="51">
        <f>SUMPRODUCT($O$57:$BB$57,$O$11:$BB$11)</f>
        <v>0.5022350930592101</v>
      </c>
    </row>
    <row r="60" spans="3:54" ht="15" customHeight="1">
      <c r="E60" s="19" t="s">
        <v>398</v>
      </c>
      <c r="G60" s="5" t="str">
        <f t="shared" si="1"/>
        <v>£m 2020</v>
      </c>
      <c r="I60" s="51">
        <f>SUMPRODUCT($O$57:$BB$57,$O$21:$BB$21)*I20</f>
        <v>0</v>
      </c>
    </row>
    <row r="61" spans="3:54" ht="15" customHeight="1">
      <c r="E61" s="19" t="s">
        <v>399</v>
      </c>
      <c r="G61" s="5" t="str">
        <f t="shared" si="1"/>
        <v>£m 2020</v>
      </c>
      <c r="I61" s="51">
        <f>SUMPRODUCT($O$57:$BB$57,$O$25:$BB$25)*I24</f>
        <v>0</v>
      </c>
    </row>
    <row r="62" spans="3:54" ht="15" customHeight="1">
      <c r="E62" s="19" t="s">
        <v>400</v>
      </c>
      <c r="G62" s="5" t="str">
        <f t="shared" si="1"/>
        <v>£m 2020</v>
      </c>
      <c r="I62" s="51">
        <f>SUMPRODUCT($O$57:$BB$57,$O$29:$BB$29)*I28</f>
        <v>0</v>
      </c>
    </row>
    <row r="63" spans="3:54" ht="15" customHeight="1">
      <c r="E63" s="19" t="s">
        <v>401</v>
      </c>
      <c r="G63" s="5" t="str">
        <f t="shared" si="1"/>
        <v>£m 2020</v>
      </c>
      <c r="I63" s="51">
        <f>SUMPRODUCT($O$57:$BB$57,$O$33:$BB$33)*I32</f>
        <v>0</v>
      </c>
    </row>
    <row r="64" spans="3:54" ht="15" customHeight="1">
      <c r="E64" s="19" t="s">
        <v>402</v>
      </c>
      <c r="G64" s="5" t="str">
        <f t="shared" si="1"/>
        <v>£m 2020</v>
      </c>
      <c r="I64" s="51">
        <f>SUMPRODUCT($O$57:$BB$57,$O$15:$BB$15)</f>
        <v>0</v>
      </c>
    </row>
    <row r="65" spans="5:54" ht="15" customHeight="1">
      <c r="E65" s="19" t="s">
        <v>376</v>
      </c>
      <c r="G65" s="5" t="str">
        <f t="shared" si="1"/>
        <v>£m 2020</v>
      </c>
      <c r="I65" s="63">
        <f>I64-(I59+I60+I61+I62+I63)</f>
        <v>-0.5022350930592101</v>
      </c>
    </row>
    <row r="66" spans="5:54" ht="15" customHeight="1">
      <c r="I66" s="60"/>
    </row>
    <row r="67" spans="5:54" ht="15" customHeight="1">
      <c r="E67" s="19" t="s">
        <v>377</v>
      </c>
      <c r="G67" s="5" t="str">
        <f>base_year</f>
        <v>£m 2020</v>
      </c>
      <c r="H67" s="19" t="s">
        <v>326</v>
      </c>
      <c r="I67" s="188">
        <f>I65/SUMPRODUCT($O$55:$BB$55,$O$57:$BB$57)</f>
        <v>-4.8651501771587446E-2</v>
      </c>
    </row>
    <row r="68" spans="5:54" ht="15" customHeight="1"/>
    <row r="69" spans="5:54" ht="15" customHeight="1">
      <c r="E69" s="19" t="s">
        <v>403</v>
      </c>
      <c r="G69" s="5" t="s">
        <v>171</v>
      </c>
      <c r="I69" s="187">
        <f>Inputs!I47</f>
        <v>-8.3999999999999995E-3</v>
      </c>
    </row>
    <row r="70" spans="5:54" ht="15" customHeight="1">
      <c r="E70" s="19" t="s">
        <v>380</v>
      </c>
      <c r="G70" s="19" t="s">
        <v>193</v>
      </c>
      <c r="O70" s="35">
        <f t="shared" ref="O70:BB70" si="2">IF(O5&lt;=op_years,(1+$I69)^-O$5,0)</f>
        <v>1</v>
      </c>
      <c r="P70" s="35">
        <f t="shared" si="2"/>
        <v>1.008471157724889</v>
      </c>
      <c r="Q70" s="35">
        <f t="shared" si="2"/>
        <v>1.017014075962978</v>
      </c>
      <c r="R70" s="35">
        <f t="shared" si="2"/>
        <v>1.0256293626088926</v>
      </c>
      <c r="S70" s="35">
        <f t="shared" si="2"/>
        <v>1.0343176307068298</v>
      </c>
      <c r="T70" s="35">
        <f t="shared" si="2"/>
        <v>1.0430794984941811</v>
      </c>
      <c r="U70" s="35">
        <f t="shared" si="2"/>
        <v>1.0519155894455232</v>
      </c>
      <c r="V70" s="35">
        <f t="shared" si="2"/>
        <v>1.0608265323169859</v>
      </c>
      <c r="W70" s="35">
        <f t="shared" si="2"/>
        <v>1.0698129611909901</v>
      </c>
      <c r="X70" s="35">
        <f t="shared" si="2"/>
        <v>1.0788755155213696</v>
      </c>
      <c r="Y70" s="35">
        <f t="shared" si="2"/>
        <v>1.0880148401788721</v>
      </c>
      <c r="Z70" s="35">
        <f t="shared" si="2"/>
        <v>1.0972315854970471</v>
      </c>
      <c r="AA70" s="35">
        <f t="shared" si="2"/>
        <v>1.1065264073185228</v>
      </c>
      <c r="AB70" s="35">
        <f t="shared" si="2"/>
        <v>1.1158999670416729</v>
      </c>
      <c r="AC70" s="35">
        <f t="shared" si="2"/>
        <v>1.1253529316676811</v>
      </c>
      <c r="AD70" s="35">
        <f t="shared" si="2"/>
        <v>1.1348859738480044</v>
      </c>
      <c r="AE70" s="35">
        <f t="shared" si="2"/>
        <v>1.1444997719322352</v>
      </c>
      <c r="AF70" s="35">
        <f t="shared" si="2"/>
        <v>1.1541950100163727</v>
      </c>
      <c r="AG70" s="35">
        <f t="shared" si="2"/>
        <v>1.1639723779915012</v>
      </c>
      <c r="AH70" s="35">
        <f t="shared" si="2"/>
        <v>1.1738325715928815</v>
      </c>
      <c r="AI70" s="35">
        <f t="shared" si="2"/>
        <v>1.1837762924494568</v>
      </c>
      <c r="AJ70" s="35">
        <f t="shared" si="2"/>
        <v>1.1938042481337805</v>
      </c>
      <c r="AK70" s="35">
        <f t="shared" si="2"/>
        <v>1.2039171522123642</v>
      </c>
      <c r="AL70" s="35">
        <f t="shared" si="2"/>
        <v>1.2141157242964542</v>
      </c>
      <c r="AM70" s="35">
        <f t="shared" si="2"/>
        <v>1.2244006900932376</v>
      </c>
      <c r="AN70" s="35">
        <f t="shared" si="2"/>
        <v>1.2347727814574803</v>
      </c>
      <c r="AO70" s="35">
        <f t="shared" si="2"/>
        <v>1.2452327364436064</v>
      </c>
      <c r="AP70" s="35">
        <f t="shared" si="2"/>
        <v>0</v>
      </c>
      <c r="AQ70" s="35">
        <f t="shared" si="2"/>
        <v>0</v>
      </c>
      <c r="AR70" s="35">
        <f t="shared" si="2"/>
        <v>0</v>
      </c>
      <c r="AS70" s="35">
        <f t="shared" si="2"/>
        <v>0</v>
      </c>
      <c r="AT70" s="35">
        <f t="shared" si="2"/>
        <v>0</v>
      </c>
      <c r="AU70" s="35">
        <f t="shared" si="2"/>
        <v>0</v>
      </c>
      <c r="AV70" s="35">
        <f t="shared" si="2"/>
        <v>0</v>
      </c>
      <c r="AW70" s="35">
        <f t="shared" si="2"/>
        <v>0</v>
      </c>
      <c r="AX70" s="35">
        <f t="shared" si="2"/>
        <v>0</v>
      </c>
      <c r="AY70" s="35">
        <f t="shared" si="2"/>
        <v>0</v>
      </c>
      <c r="AZ70" s="35">
        <f t="shared" si="2"/>
        <v>0</v>
      </c>
      <c r="BA70" s="35">
        <f t="shared" si="2"/>
        <v>0</v>
      </c>
      <c r="BB70" s="35">
        <f t="shared" si="2"/>
        <v>0</v>
      </c>
    </row>
    <row r="71" spans="5:54" ht="15" customHeight="1"/>
    <row r="72" spans="5:54" ht="15" customHeight="1">
      <c r="E72" s="19" t="s">
        <v>404</v>
      </c>
      <c r="G72" s="5" t="str">
        <f t="shared" ref="G72:G78" si="3">base_year</f>
        <v>£m 2020</v>
      </c>
      <c r="I72" s="51">
        <f>SUMPRODUCT($O$70:$BB$70,O11:BB11)</f>
        <v>4.3464676507275026</v>
      </c>
    </row>
    <row r="73" spans="5:54" ht="15" customHeight="1">
      <c r="E73" s="19" t="s">
        <v>405</v>
      </c>
      <c r="G73" s="5" t="str">
        <f t="shared" si="3"/>
        <v>£m 2020</v>
      </c>
      <c r="I73" s="51">
        <f>SUMPRODUCT($O$70:$BB$70,O39:BB39)*I38</f>
        <v>0</v>
      </c>
    </row>
    <row r="74" spans="5:54" ht="15" customHeight="1">
      <c r="E74" s="19" t="s">
        <v>406</v>
      </c>
      <c r="G74" s="5" t="str">
        <f t="shared" si="3"/>
        <v>£m 2020</v>
      </c>
      <c r="I74" s="51">
        <f>SUMPRODUCT($O$70:$BB$70,O43:BB43)*I42</f>
        <v>0</v>
      </c>
    </row>
    <row r="75" spans="5:54" ht="15" customHeight="1">
      <c r="E75" s="19" t="s">
        <v>407</v>
      </c>
      <c r="G75" s="5" t="str">
        <f t="shared" si="3"/>
        <v>£m 2020</v>
      </c>
      <c r="I75" s="51">
        <f>SUMPRODUCT($O$70:$BB$70,O47:BB47)*I46</f>
        <v>0</v>
      </c>
    </row>
    <row r="76" spans="5:54" ht="15" customHeight="1">
      <c r="E76" s="19" t="s">
        <v>408</v>
      </c>
      <c r="G76" s="5" t="str">
        <f t="shared" si="3"/>
        <v>£m 2020</v>
      </c>
      <c r="I76" s="51">
        <f>SUMPRODUCT($O$70:$BB$70,O51:BB51)*I50</f>
        <v>0</v>
      </c>
    </row>
    <row r="77" spans="5:54" ht="15" customHeight="1">
      <c r="E77" s="19" t="s">
        <v>409</v>
      </c>
      <c r="G77" s="5" t="str">
        <f t="shared" si="3"/>
        <v>£m 2020</v>
      </c>
      <c r="I77" s="51">
        <f>SUMPRODUCT($O$70:$BB$70,O15:BB15)</f>
        <v>0</v>
      </c>
    </row>
    <row r="78" spans="5:54" ht="15" customHeight="1">
      <c r="E78" s="19" t="s">
        <v>376</v>
      </c>
      <c r="G78" s="5" t="str">
        <f t="shared" si="3"/>
        <v>£m 2020</v>
      </c>
      <c r="I78" s="63">
        <f>I77-(I72+I73+I74+I75+I76)</f>
        <v>-4.3464676507275026</v>
      </c>
    </row>
    <row r="79" spans="5:54" ht="15" customHeight="1">
      <c r="I79" s="60"/>
    </row>
    <row r="80" spans="5:54" ht="15" customHeight="1">
      <c r="E80" s="19" t="s">
        <v>381</v>
      </c>
      <c r="G80" s="5" t="str">
        <f>base_year</f>
        <v>£m 2020</v>
      </c>
      <c r="H80" s="19" t="s">
        <v>328</v>
      </c>
      <c r="I80" s="188">
        <f>I78/SUMPRODUCT($O$55:$BB$55,$O$70:$BB$70)</f>
        <v>-0.15508095307810627</v>
      </c>
    </row>
    <row r="81" spans="2:54" ht="15" customHeight="1"/>
    <row r="82" spans="2:54" ht="15" customHeight="1">
      <c r="E82" s="19" t="s">
        <v>410</v>
      </c>
      <c r="G82" s="5" t="s">
        <v>171</v>
      </c>
      <c r="I82" s="187">
        <f>Inputs!I48</f>
        <v>-1.14E-2</v>
      </c>
    </row>
    <row r="83" spans="2:54" ht="15" customHeight="1">
      <c r="E83" s="19" t="s">
        <v>380</v>
      </c>
      <c r="G83" s="19" t="s">
        <v>193</v>
      </c>
      <c r="O83" s="35">
        <f t="shared" ref="O83:BB83" si="4">IF(O18&lt;=op_years,(1+$I82)^-O$5,0)</f>
        <v>1</v>
      </c>
      <c r="P83" s="35">
        <f t="shared" si="4"/>
        <v>1.0115314586283632</v>
      </c>
      <c r="Q83" s="35">
        <f t="shared" si="4"/>
        <v>1.0231958917948243</v>
      </c>
      <c r="R83" s="35">
        <f t="shared" si="4"/>
        <v>1.0349948328897676</v>
      </c>
      <c r="S83" s="35">
        <f t="shared" si="4"/>
        <v>1.0469298329858057</v>
      </c>
      <c r="T83" s="35">
        <f t="shared" si="4"/>
        <v>1.0590024610416808</v>
      </c>
      <c r="U83" s="35">
        <f t="shared" si="4"/>
        <v>1.0712143041085178</v>
      </c>
      <c r="V83" s="35">
        <f t="shared" si="4"/>
        <v>1.0835669675384563</v>
      </c>
      <c r="W83" s="35">
        <f t="shared" si="4"/>
        <v>1.0960620751956871</v>
      </c>
      <c r="X83" s="35">
        <f t="shared" si="4"/>
        <v>1.1087012696699241</v>
      </c>
      <c r="Y83" s="35">
        <f t="shared" si="4"/>
        <v>1.1214862124923368</v>
      </c>
      <c r="Z83" s="35">
        <f t="shared" si="4"/>
        <v>1.134418584353972</v>
      </c>
      <c r="AA83" s="35">
        <f t="shared" si="4"/>
        <v>1.1475000853266963</v>
      </c>
      <c r="AB83" s="35">
        <f t="shared" si="4"/>
        <v>1.1607324350866846</v>
      </c>
      <c r="AC83" s="35">
        <f t="shared" si="4"/>
        <v>1.1741173731404859</v>
      </c>
      <c r="AD83" s="35">
        <f t="shared" si="4"/>
        <v>1.1876566590536981</v>
      </c>
      <c r="AE83" s="35">
        <f t="shared" si="4"/>
        <v>1.201352072682276</v>
      </c>
      <c r="AF83" s="35">
        <f t="shared" si="4"/>
        <v>1.2152054144065103</v>
      </c>
      <c r="AG83" s="35">
        <f t="shared" si="4"/>
        <v>1.2292185053677018</v>
      </c>
      <c r="AH83" s="35">
        <f t="shared" si="4"/>
        <v>1.2433931877075681</v>
      </c>
      <c r="AI83" s="35">
        <f t="shared" si="4"/>
        <v>1.2577313248104067</v>
      </c>
      <c r="AJ83" s="35">
        <f t="shared" si="4"/>
        <v>1.2722348015480547</v>
      </c>
      <c r="AK83" s="35">
        <f t="shared" si="4"/>
        <v>1.2869055245276699</v>
      </c>
      <c r="AL83" s="35">
        <f t="shared" si="4"/>
        <v>1.301745422342373</v>
      </c>
      <c r="AM83" s="35">
        <f t="shared" si="4"/>
        <v>1.3167564458247754</v>
      </c>
      <c r="AN83" s="35">
        <f t="shared" si="4"/>
        <v>1.3319405683034342</v>
      </c>
      <c r="AO83" s="35">
        <f t="shared" si="4"/>
        <v>1.3472997858622642</v>
      </c>
      <c r="AP83" s="35">
        <f t="shared" si="4"/>
        <v>1.3628361176029375</v>
      </c>
      <c r="AQ83" s="35">
        <f t="shared" si="4"/>
        <v>1.3785516059103153</v>
      </c>
      <c r="AR83" s="35">
        <f t="shared" si="4"/>
        <v>1.3944483167209338</v>
      </c>
      <c r="AS83" s="35">
        <f t="shared" si="4"/>
        <v>1.4105283397945918</v>
      </c>
      <c r="AT83" s="35">
        <f t="shared" si="4"/>
        <v>1.4267937889890676</v>
      </c>
      <c r="AU83" s="35">
        <f t="shared" si="4"/>
        <v>1.4432468025380005</v>
      </c>
      <c r="AV83" s="35">
        <f t="shared" si="4"/>
        <v>1.4598895433319852</v>
      </c>
      <c r="AW83" s="35">
        <f t="shared" si="4"/>
        <v>1.4767241992028981</v>
      </c>
      <c r="AX83" s="35">
        <f t="shared" si="4"/>
        <v>1.4937529832115093</v>
      </c>
      <c r="AY83" s="35">
        <f t="shared" si="4"/>
        <v>1.5109781339384072</v>
      </c>
      <c r="AZ83" s="35">
        <f t="shared" si="4"/>
        <v>1.5284019157782796</v>
      </c>
      <c r="BA83" s="35">
        <f t="shared" si="4"/>
        <v>1.5460266192375878</v>
      </c>
      <c r="BB83" s="35">
        <f t="shared" si="4"/>
        <v>1.5638545612356745</v>
      </c>
    </row>
    <row r="84" spans="2:54" ht="15" customHeight="1"/>
    <row r="85" spans="2:54" ht="15" customHeight="1">
      <c r="E85" s="19" t="s">
        <v>404</v>
      </c>
      <c r="G85" s="5" t="str">
        <f t="shared" ref="G85:G91" si="5">base_year</f>
        <v>£m 2020</v>
      </c>
      <c r="I85" s="51">
        <f>SUMPRODUCT($O$83:$BB$83,O11:BB11)</f>
        <v>4.688503569044566</v>
      </c>
    </row>
    <row r="86" spans="2:54" ht="15" customHeight="1">
      <c r="E86" s="19" t="s">
        <v>405</v>
      </c>
      <c r="G86" s="5" t="str">
        <f t="shared" si="5"/>
        <v>£m 2020</v>
      </c>
      <c r="I86" s="51">
        <f>SUMPRODUCT($O$83:$BB$83,O39:BB39)*I38</f>
        <v>0</v>
      </c>
    </row>
    <row r="87" spans="2:54" ht="15" customHeight="1">
      <c r="E87" s="19" t="s">
        <v>406</v>
      </c>
      <c r="G87" s="5" t="str">
        <f t="shared" si="5"/>
        <v>£m 2020</v>
      </c>
      <c r="I87" s="51">
        <f>SUMPRODUCT($O$83:$BB$83,O43:BB43)*I42</f>
        <v>0</v>
      </c>
    </row>
    <row r="88" spans="2:54" ht="15" customHeight="1">
      <c r="E88" s="19" t="s">
        <v>407</v>
      </c>
      <c r="G88" s="5" t="str">
        <f t="shared" si="5"/>
        <v>£m 2020</v>
      </c>
      <c r="I88" s="51">
        <f>SUMPRODUCT($O$83:$BB$83,O47:BB47)*I46</f>
        <v>0</v>
      </c>
    </row>
    <row r="89" spans="2:54" ht="15" customHeight="1">
      <c r="E89" s="19" t="s">
        <v>408</v>
      </c>
      <c r="G89" s="5" t="str">
        <f t="shared" si="5"/>
        <v>£m 2020</v>
      </c>
      <c r="I89" s="51">
        <f>SUMPRODUCT($O$83:$BB$83,O51:BB51)*I50</f>
        <v>0</v>
      </c>
    </row>
    <row r="90" spans="2:54" ht="15" customHeight="1">
      <c r="E90" s="19" t="s">
        <v>409</v>
      </c>
      <c r="G90" s="5" t="str">
        <f t="shared" si="5"/>
        <v>£m 2020</v>
      </c>
      <c r="I90" s="51">
        <f>SUMPRODUCT($O$83:$BB$83,O15:BB15)</f>
        <v>0</v>
      </c>
    </row>
    <row r="91" spans="2:54" ht="15" customHeight="1">
      <c r="E91" s="19" t="s">
        <v>376</v>
      </c>
      <c r="G91" s="5" t="str">
        <f t="shared" si="5"/>
        <v>£m 2020</v>
      </c>
      <c r="I91" s="63">
        <f>I90-(I85+I86+I87+I88+I89)</f>
        <v>-4.688503569044566</v>
      </c>
    </row>
    <row r="92" spans="2:54" ht="15" customHeight="1">
      <c r="I92" s="60"/>
    </row>
    <row r="93" spans="2:54" ht="15" customHeight="1">
      <c r="E93" s="19" t="s">
        <v>381</v>
      </c>
      <c r="G93" s="5" t="str">
        <f>base_year</f>
        <v>£m 2020</v>
      </c>
      <c r="H93" s="19" t="s">
        <v>330</v>
      </c>
      <c r="I93" s="188">
        <f>I91/SUMPRODUCT($O$55:$BB$55,$O$83:$BB$83)</f>
        <v>-0.16041061662676345</v>
      </c>
    </row>
    <row r="94" spans="2:54" ht="15" customHeight="1"/>
    <row r="95" spans="2:54" s="4" customFormat="1" ht="15" customHeight="1">
      <c r="B95" s="166" t="s">
        <v>46</v>
      </c>
      <c r="C95" s="8"/>
      <c r="D95" s="8"/>
      <c r="E95" s="8"/>
      <c r="F95" s="8"/>
      <c r="G95" s="8"/>
      <c r="H95" s="8"/>
      <c r="I95" s="8"/>
      <c r="J95" s="8"/>
      <c r="K95" s="8"/>
      <c r="L95" s="8"/>
      <c r="M95" s="8"/>
      <c r="N95" s="8"/>
      <c r="O95" s="8"/>
      <c r="P95" s="8"/>
      <c r="Q95" s="8"/>
      <c r="R95" s="8"/>
      <c r="S95" s="8"/>
      <c r="T95" s="8"/>
      <c r="U95" s="8"/>
      <c r="V95" s="8"/>
      <c r="W95" s="8"/>
      <c r="X95" s="8"/>
      <c r="Y95" s="8"/>
      <c r="Z95" s="8"/>
      <c r="AA95" s="8"/>
      <c r="AB95" s="8"/>
      <c r="AC95" s="8"/>
      <c r="AD95" s="8"/>
      <c r="AE95" s="8"/>
      <c r="AF95" s="8"/>
      <c r="AG95" s="8"/>
      <c r="AH95" s="8"/>
      <c r="AI95" s="8"/>
      <c r="AJ95" s="8"/>
      <c r="AK95" s="8"/>
      <c r="AL95" s="8"/>
      <c r="AM95" s="8"/>
      <c r="AN95" s="8"/>
      <c r="AO95" s="8"/>
      <c r="AP95" s="8"/>
      <c r="AQ95" s="8"/>
      <c r="AR95" s="8"/>
      <c r="AS95" s="8"/>
      <c r="AT95" s="8"/>
      <c r="AU95" s="8"/>
      <c r="AV95" s="8"/>
      <c r="AW95" s="8"/>
      <c r="AX95" s="8"/>
      <c r="AY95" s="8"/>
      <c r="AZ95" s="8"/>
      <c r="BA95" s="8"/>
      <c r="BB95" s="8"/>
    </row>
    <row r="96" spans="2:54" ht="15" customHeight="1"/>
  </sheetData>
  <pageMargins left="0.7" right="0.7" top="0.75" bottom="0.75" header="0.3" footer="0.3"/>
  <headerFooter>
    <oddHeader>&amp;C&amp;"Aptos"&amp;10&amp;K000000 OFFICIAL&amp;1#_x000D_</oddHeader>
    <oddFooter>&amp;C_x000D_&amp;1#&amp;"Aptos"&amp;10&amp;K000000 OFFICIAL</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tabColor theme="7" tint="0.59999389629810485"/>
    <pageSetUpPr fitToPage="1"/>
  </sheetPr>
  <dimension ref="A1:BC75"/>
  <sheetViews>
    <sheetView zoomScaleNormal="100" workbookViewId="0">
      <pane xSplit="10" ySplit="5" topLeftCell="K6" activePane="bottomRight" state="frozen"/>
      <selection pane="bottomRight" activeCell="K6" sqref="K6"/>
      <selection pane="bottomLeft"/>
      <selection pane="topRight"/>
    </sheetView>
  </sheetViews>
  <sheetFormatPr defaultColWidth="0" defaultRowHeight="15" customHeight="1" zeroHeight="1"/>
  <cols>
    <col min="1" max="3" width="2.7109375" style="14" customWidth="1"/>
    <col min="4" max="4" width="2.7109375" style="19" customWidth="1"/>
    <col min="5" max="5" width="50.7109375" style="19" customWidth="1"/>
    <col min="6" max="6" width="1.7109375" style="19" customWidth="1"/>
    <col min="7" max="7" width="15.7109375" style="19" customWidth="1"/>
    <col min="8" max="8" width="14.42578125" style="19" bestFit="1" customWidth="1"/>
    <col min="9" max="9" width="10.7109375" style="19" customWidth="1"/>
    <col min="10" max="14" width="1.7109375" style="19" customWidth="1"/>
    <col min="15" max="54" width="10.7109375" style="19" customWidth="1"/>
    <col min="55" max="55" width="2.7109375" style="19" customWidth="1"/>
    <col min="56" max="16384" width="9" style="19" hidden="1"/>
  </cols>
  <sheetData>
    <row r="1" spans="1:55" s="10" customFormat="1" ht="15" customHeight="1">
      <c r="A1" s="117" t="s">
        <v>31</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row>
    <row r="7" spans="1:55" s="4" customFormat="1" ht="15" customHeight="1">
      <c r="B7" s="166" t="s">
        <v>31</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c r="A8" s="5"/>
      <c r="B8" s="5"/>
      <c r="C8" s="5"/>
      <c r="D8" s="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row>
    <row r="9" spans="1:55" s="59" customFormat="1" ht="15" customHeight="1">
      <c r="C9" s="38" t="s">
        <v>411</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c r="A10" s="5"/>
      <c r="B10" s="5"/>
      <c r="C10" s="5"/>
      <c r="D10" s="5"/>
      <c r="E10" s="15"/>
      <c r="F10" s="15"/>
      <c r="G10" s="15"/>
      <c r="I10" s="15"/>
      <c r="J10" s="15"/>
      <c r="K10" s="15"/>
      <c r="L10" s="15"/>
      <c r="M10" s="15"/>
      <c r="N10" s="15"/>
      <c r="O10" s="15"/>
      <c r="P10" s="15"/>
      <c r="Q10" s="15"/>
      <c r="R10" s="15"/>
      <c r="S10" s="15"/>
      <c r="T10" s="15"/>
      <c r="U10" s="15"/>
      <c r="V10" s="15"/>
      <c r="W10" s="15"/>
      <c r="X10" s="15"/>
      <c r="Y10" s="15"/>
      <c r="Z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row>
    <row r="11" spans="1:55" ht="15" customHeight="1">
      <c r="A11" s="5"/>
      <c r="B11" s="5"/>
      <c r="C11" s="5"/>
      <c r="D11" s="5"/>
      <c r="E11" s="19" t="s">
        <v>412</v>
      </c>
      <c r="G11" s="19" t="s">
        <v>193</v>
      </c>
      <c r="H11" s="19" t="s">
        <v>413</v>
      </c>
      <c r="J11" s="15"/>
      <c r="K11" s="15"/>
      <c r="L11" s="15"/>
      <c r="M11" s="15"/>
      <c r="N11" s="15"/>
      <c r="O11" s="184">
        <f>Inputs!O160</f>
        <v>1.3193449334698055</v>
      </c>
      <c r="P11" s="184">
        <f>Inputs!P160</f>
        <v>1.3739338109860115</v>
      </c>
      <c r="Q11" s="189">
        <f>Inputs!Q160</f>
        <v>1.4327381780962127</v>
      </c>
      <c r="R11" s="184">
        <f>Inputs!R160</f>
        <v>1.4940593721187305</v>
      </c>
      <c r="S11" s="184">
        <f>Inputs!S160</f>
        <v>1.558005113245412</v>
      </c>
      <c r="T11" s="184">
        <f>Inputs!T160</f>
        <v>1.6246877320923157</v>
      </c>
      <c r="U11" s="184">
        <f>Inputs!U160</f>
        <v>1.6942243670258668</v>
      </c>
      <c r="V11" s="184">
        <f>Inputs!V160</f>
        <v>1.7667371699345737</v>
      </c>
      <c r="W11" s="184">
        <f>Inputs!W160</f>
        <v>1.8423535208077735</v>
      </c>
      <c r="X11" s="184">
        <f>Inputs!X160</f>
        <v>1.9212062514983461</v>
      </c>
      <c r="Y11" s="184">
        <f>Inputs!Y160</f>
        <v>2.0034338790624751</v>
      </c>
      <c r="Z11" s="184">
        <f>Inputs!Z160</f>
        <v>2.0891808490863486</v>
      </c>
      <c r="AA11" s="184">
        <f>Inputs!AA160</f>
        <v>2.1785977894272444</v>
      </c>
      <c r="AB11" s="184">
        <f>Inputs!AB160</f>
        <v>2.2718417748147304</v>
      </c>
      <c r="AC11" s="184">
        <f>Inputs!AC160</f>
        <v>2.3690766027768007</v>
      </c>
      <c r="AD11" s="184">
        <f>Inputs!AD160</f>
        <v>2.4704730813756477</v>
      </c>
      <c r="AE11" s="184">
        <f>Inputs!AE160</f>
        <v>2.5762093292585253</v>
      </c>
      <c r="AF11" s="184">
        <f>Inputs!AF160</f>
        <v>2.6864710885507903</v>
      </c>
      <c r="AG11" s="184">
        <f>Inputs!AG160</f>
        <v>2.8014520511407639</v>
      </c>
      <c r="AH11" s="184">
        <f>Inputs!AH160</f>
        <v>2.9213541989295884</v>
      </c>
      <c r="AI11" s="184">
        <f>Inputs!AI160</f>
        <v>3.0463881586437744</v>
      </c>
      <c r="AJ11" s="184">
        <f>Inputs!AJ160</f>
        <v>3.1767735718337282</v>
      </c>
      <c r="AK11" s="184">
        <f>Inputs!AK160</f>
        <v>3.3127394807082116</v>
      </c>
      <c r="AL11" s="184">
        <f>Inputs!AL160</f>
        <v>3.4545247304825231</v>
      </c>
      <c r="AM11" s="184">
        <f>Inputs!AM160</f>
        <v>3.6023783889471748</v>
      </c>
      <c r="AN11" s="184">
        <f>Inputs!AN160</f>
        <v>3.7565601839941136</v>
      </c>
      <c r="AO11" s="184">
        <f>Inputs!AO160</f>
        <v>3.9173409598690618</v>
      </c>
      <c r="AP11" s="184">
        <f>Inputs!AP160</f>
        <v>4.0850031529514572</v>
      </c>
      <c r="AQ11" s="184">
        <f>Inputs!AQ160</f>
        <v>4.2598412878977792</v>
      </c>
      <c r="AR11" s="184">
        <f>Inputs!AR160</f>
        <v>4.4421624950198035</v>
      </c>
      <c r="AS11" s="184">
        <f>Inputs!AS160</f>
        <v>4.6322870498066511</v>
      </c>
      <c r="AT11" s="184">
        <f>Inputs!AT160</f>
        <v>4.8305489355383759</v>
      </c>
      <c r="AU11" s="184">
        <f>Inputs!AU160</f>
        <v>5.0372964299794178</v>
      </c>
      <c r="AV11" s="184">
        <f>Inputs!AV160</f>
        <v>5.2528927171825366</v>
      </c>
      <c r="AW11" s="184">
        <f>Inputs!AW160</f>
        <v>5.4777165254779483</v>
      </c>
      <c r="AX11" s="184">
        <f>Inputs!AX160</f>
        <v>5.712162792768404</v>
      </c>
      <c r="AY11" s="184">
        <f>Inputs!AY160</f>
        <v>5.9566433602988917</v>
      </c>
      <c r="AZ11" s="184">
        <f>Inputs!AZ160</f>
        <v>6.2115876961196843</v>
      </c>
      <c r="BA11" s="184">
        <f>Inputs!BA160</f>
        <v>6.4774436495136065</v>
      </c>
      <c r="BB11" s="184">
        <f>Inputs!BB160</f>
        <v>6.7546782377127883</v>
      </c>
    </row>
    <row r="12" spans="1:55" ht="15" customHeight="1">
      <c r="A12" s="19"/>
      <c r="B12" s="5"/>
      <c r="C12" s="5"/>
      <c r="D12" s="5"/>
      <c r="E12" s="19" t="s">
        <v>414</v>
      </c>
      <c r="G12" s="19" t="s">
        <v>193</v>
      </c>
      <c r="J12" s="15"/>
      <c r="K12" s="15"/>
      <c r="L12" s="15"/>
      <c r="M12" s="15"/>
      <c r="N12" s="15"/>
      <c r="O12" s="184">
        <f>Inputs!O170</f>
        <v>1.1187729203199999</v>
      </c>
      <c r="P12" s="184">
        <f>Inputs!P170</f>
        <v>1.1377920599654399</v>
      </c>
      <c r="Q12" s="189">
        <f>Inputs!Q170</f>
        <v>1.1571345249848521</v>
      </c>
      <c r="R12" s="184">
        <f>Inputs!R170</f>
        <v>1.1768058119095945</v>
      </c>
      <c r="S12" s="184">
        <f>Inputs!S170</f>
        <v>1.1968115107120576</v>
      </c>
      <c r="T12" s="184">
        <f>Inputs!T170</f>
        <v>1.2171573063941625</v>
      </c>
      <c r="U12" s="184">
        <f>Inputs!U170</f>
        <v>1.2378489806028632</v>
      </c>
      <c r="V12" s="184">
        <f>Inputs!V170</f>
        <v>1.2588924132731119</v>
      </c>
      <c r="W12" s="184">
        <f>Inputs!W170</f>
        <v>1.2802935842987546</v>
      </c>
      <c r="X12" s="184">
        <f>Inputs!X170</f>
        <v>1.3020585752318332</v>
      </c>
      <c r="Y12" s="184">
        <f>Inputs!Y170</f>
        <v>1.3241935710107742</v>
      </c>
      <c r="Z12" s="184">
        <f>Inputs!Z170</f>
        <v>1.3467048617179571</v>
      </c>
      <c r="AA12" s="184">
        <f>Inputs!AA170</f>
        <v>1.3695988443671623</v>
      </c>
      <c r="AB12" s="184">
        <f>Inputs!AB170</f>
        <v>1.392882024721404</v>
      </c>
      <c r="AC12" s="184">
        <f>Inputs!AC170</f>
        <v>1.4165610191416678</v>
      </c>
      <c r="AD12" s="184">
        <f>Inputs!AD170</f>
        <v>1.440642556467076</v>
      </c>
      <c r="AE12" s="184">
        <f>Inputs!AE170</f>
        <v>1.4651334799270161</v>
      </c>
      <c r="AF12" s="184">
        <f>Inputs!AF170</f>
        <v>1.4900407490857752</v>
      </c>
      <c r="AG12" s="184">
        <f>Inputs!AG170</f>
        <v>1.5153714418202333</v>
      </c>
      <c r="AH12" s="184">
        <f>Inputs!AH170</f>
        <v>1.5411327563311772</v>
      </c>
      <c r="AI12" s="184">
        <f>Inputs!AI170</f>
        <v>1.5673320131888071</v>
      </c>
      <c r="AJ12" s="184">
        <f>Inputs!AJ170</f>
        <v>1.5939766574130168</v>
      </c>
      <c r="AK12" s="184">
        <f>Inputs!AK170</f>
        <v>1.6210742605890378</v>
      </c>
      <c r="AL12" s="184">
        <f>Inputs!AL170</f>
        <v>1.6486325230190513</v>
      </c>
      <c r="AM12" s="184">
        <f>Inputs!AM170</f>
        <v>1.6766592759103749</v>
      </c>
      <c r="AN12" s="184">
        <f>Inputs!AN170</f>
        <v>1.7051624836008512</v>
      </c>
      <c r="AO12" s="184">
        <f>Inputs!AO170</f>
        <v>1.7341502458220655</v>
      </c>
      <c r="AP12" s="184">
        <f>Inputs!AP170</f>
        <v>1.7636308000010403</v>
      </c>
      <c r="AQ12" s="184">
        <f>Inputs!AQ170</f>
        <v>1.7936125236010578</v>
      </c>
      <c r="AR12" s="184">
        <f>Inputs!AR170</f>
        <v>1.8241039365022755</v>
      </c>
      <c r="AS12" s="184">
        <f>Inputs!AS170</f>
        <v>1.855113703422814</v>
      </c>
      <c r="AT12" s="184">
        <f>Inputs!AT170</f>
        <v>1.8866506363810016</v>
      </c>
      <c r="AU12" s="184">
        <f>Inputs!AU170</f>
        <v>1.9187236971994786</v>
      </c>
      <c r="AV12" s="184">
        <f>Inputs!AV170</f>
        <v>1.9513420000518695</v>
      </c>
      <c r="AW12" s="184">
        <f>Inputs!AW170</f>
        <v>1.9845148140527511</v>
      </c>
      <c r="AX12" s="184">
        <f>Inputs!AX170</f>
        <v>2.0182515658916476</v>
      </c>
      <c r="AY12" s="184">
        <f>Inputs!AY170</f>
        <v>2.0525618425118055</v>
      </c>
      <c r="AZ12" s="184">
        <f>Inputs!AZ170</f>
        <v>2.0874553938345062</v>
      </c>
      <c r="BA12" s="184">
        <f>Inputs!BA170</f>
        <v>2.1229421355296925</v>
      </c>
      <c r="BB12" s="184">
        <f>Inputs!BB170</f>
        <v>2.159032151833697</v>
      </c>
    </row>
    <row r="13" spans="1:55" ht="15" customHeight="1">
      <c r="A13" s="5"/>
      <c r="B13" s="5"/>
      <c r="C13" s="5"/>
      <c r="D13" s="5"/>
      <c r="J13" s="15"/>
      <c r="K13" s="15"/>
      <c r="L13" s="15"/>
      <c r="M13" s="15"/>
      <c r="N13" s="15"/>
      <c r="O13" s="15"/>
      <c r="P13" s="15"/>
      <c r="Q13" s="15"/>
      <c r="R13" s="15"/>
      <c r="S13" s="15"/>
      <c r="T13" s="15"/>
      <c r="U13" s="15"/>
      <c r="V13" s="15"/>
      <c r="W13" s="15"/>
      <c r="X13" s="15"/>
      <c r="Y13" s="15"/>
      <c r="Z13" s="15"/>
      <c r="AA13" s="15"/>
      <c r="AB13" s="15"/>
      <c r="AC13" s="15"/>
      <c r="AD13" s="15"/>
      <c r="AE13" s="15"/>
      <c r="AF13" s="15"/>
      <c r="AG13" s="15"/>
      <c r="AH13" s="15"/>
      <c r="AI13" s="15"/>
      <c r="AJ13" s="15"/>
      <c r="AK13" s="15"/>
      <c r="AL13" s="15"/>
      <c r="AM13" s="15"/>
      <c r="AN13" s="15"/>
      <c r="AO13" s="15"/>
      <c r="AP13" s="15"/>
      <c r="AQ13" s="15"/>
      <c r="AR13" s="15"/>
      <c r="AS13" s="15"/>
      <c r="AT13" s="15"/>
      <c r="AU13" s="15"/>
      <c r="AV13" s="15"/>
      <c r="AW13" s="15"/>
      <c r="AX13" s="15"/>
      <c r="AY13" s="15"/>
      <c r="AZ13" s="15"/>
      <c r="BA13" s="15"/>
      <c r="BB13" s="15"/>
    </row>
    <row r="14" spans="1:55" s="59" customFormat="1" ht="15" customHeight="1">
      <c r="A14" s="19"/>
      <c r="C14" s="38" t="s">
        <v>415</v>
      </c>
      <c r="D14" s="38"/>
      <c r="E14" s="38"/>
      <c r="F14" s="38"/>
      <c r="G14" s="38"/>
      <c r="H14" s="38"/>
      <c r="I14" s="38"/>
      <c r="J14" s="38"/>
      <c r="K14" s="38"/>
      <c r="L14" s="38"/>
      <c r="M14" s="38"/>
      <c r="N14" s="38"/>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8"/>
      <c r="AU14" s="38"/>
      <c r="AV14" s="38"/>
      <c r="AW14" s="38"/>
      <c r="AX14" s="38"/>
      <c r="AY14" s="38"/>
      <c r="AZ14" s="38"/>
      <c r="BA14" s="38"/>
      <c r="BB14" s="38"/>
    </row>
    <row r="15" spans="1:55" ht="15" customHeight="1">
      <c r="A15" s="19"/>
      <c r="B15" s="5"/>
      <c r="C15" s="5"/>
      <c r="D15" s="5"/>
      <c r="E15" s="15"/>
      <c r="F15" s="15"/>
      <c r="G15" s="15"/>
      <c r="I15" s="15"/>
      <c r="J15" s="15"/>
      <c r="K15" s="15"/>
      <c r="L15" s="15"/>
      <c r="M15" s="15"/>
      <c r="N15" s="15"/>
      <c r="O15" s="15"/>
      <c r="P15" s="15"/>
      <c r="Q15" s="15"/>
      <c r="R15" s="15"/>
      <c r="S15" s="15"/>
      <c r="T15" s="15"/>
      <c r="U15" s="15"/>
      <c r="V15" s="15"/>
      <c r="W15" s="15"/>
      <c r="X15" s="15"/>
      <c r="Y15" s="15"/>
      <c r="Z15" s="15"/>
      <c r="AB15" s="15"/>
      <c r="AC15" s="15"/>
      <c r="AD15" s="15"/>
      <c r="AE15" s="15"/>
      <c r="AF15" s="15"/>
      <c r="AG15" s="15"/>
      <c r="AH15" s="15"/>
      <c r="AI15" s="15"/>
      <c r="AJ15" s="15"/>
      <c r="AK15" s="15"/>
      <c r="AL15" s="15"/>
      <c r="AM15" s="15"/>
      <c r="AN15" s="15"/>
      <c r="AO15" s="15"/>
      <c r="AP15" s="15"/>
      <c r="AQ15" s="15"/>
      <c r="AR15" s="15"/>
      <c r="AS15" s="15"/>
      <c r="AT15" s="15"/>
      <c r="AU15" s="15"/>
      <c r="AV15" s="15"/>
      <c r="AW15" s="15"/>
      <c r="AX15" s="15"/>
      <c r="AY15" s="15"/>
      <c r="AZ15" s="15"/>
      <c r="BA15" s="15"/>
      <c r="BB15" s="15"/>
    </row>
    <row r="16" spans="1:55" ht="15" customHeight="1">
      <c r="A16" s="19"/>
      <c r="B16" s="5"/>
      <c r="C16" s="5"/>
      <c r="D16" s="5"/>
      <c r="E16" s="19" t="s">
        <v>416</v>
      </c>
      <c r="G16" s="5" t="s">
        <v>188</v>
      </c>
      <c r="H16" s="19" t="s">
        <v>194</v>
      </c>
      <c r="J16" s="15"/>
      <c r="K16" s="15"/>
      <c r="L16" s="15"/>
      <c r="M16" s="15"/>
      <c r="N16" s="15"/>
      <c r="O16" s="31"/>
      <c r="P16" s="124">
        <f>Inputs!P70</f>
        <v>0.67077344284736484</v>
      </c>
      <c r="Q16" s="124">
        <f>Inputs!Q70</f>
        <v>1</v>
      </c>
      <c r="R16" s="124">
        <f>Inputs!R70</f>
        <v>1</v>
      </c>
      <c r="S16" s="124">
        <f>Inputs!S70</f>
        <v>1</v>
      </c>
      <c r="T16" s="124">
        <f>Inputs!T70</f>
        <v>1</v>
      </c>
      <c r="U16" s="124">
        <f>Inputs!U70</f>
        <v>1</v>
      </c>
      <c r="V16" s="124">
        <f>Inputs!V70</f>
        <v>1</v>
      </c>
      <c r="W16" s="124">
        <f>Inputs!W70</f>
        <v>1</v>
      </c>
      <c r="X16" s="124">
        <f>Inputs!X70</f>
        <v>1</v>
      </c>
      <c r="Y16" s="124">
        <f>Inputs!Y70</f>
        <v>1</v>
      </c>
      <c r="Z16" s="124">
        <f>Inputs!Z70</f>
        <v>1</v>
      </c>
      <c r="AA16" s="124">
        <f>Inputs!AA70</f>
        <v>1</v>
      </c>
      <c r="AB16" s="124">
        <f>Inputs!AB70</f>
        <v>1</v>
      </c>
      <c r="AC16" s="124">
        <f>Inputs!AC70</f>
        <v>1</v>
      </c>
      <c r="AD16" s="124">
        <f>Inputs!AD70</f>
        <v>1</v>
      </c>
      <c r="AE16" s="124">
        <f>Inputs!AE70</f>
        <v>1</v>
      </c>
      <c r="AF16" s="124">
        <f>Inputs!AF70</f>
        <v>1</v>
      </c>
      <c r="AG16" s="124">
        <f>Inputs!AG70</f>
        <v>1</v>
      </c>
      <c r="AH16" s="124">
        <f>Inputs!AH70</f>
        <v>1</v>
      </c>
      <c r="AI16" s="124">
        <f>Inputs!AI70</f>
        <v>1</v>
      </c>
      <c r="AJ16" s="124">
        <f>Inputs!AJ70</f>
        <v>1</v>
      </c>
      <c r="AK16" s="124">
        <f>Inputs!AK70</f>
        <v>1</v>
      </c>
      <c r="AL16" s="124">
        <f>Inputs!AL70</f>
        <v>1</v>
      </c>
      <c r="AM16" s="124">
        <f>Inputs!AM70</f>
        <v>1</v>
      </c>
      <c r="AN16" s="124">
        <f>Inputs!AN70</f>
        <v>1</v>
      </c>
      <c r="AO16" s="124">
        <f>Inputs!AO70</f>
        <v>0.32922655715263516</v>
      </c>
      <c r="AP16" s="124">
        <f>Inputs!AP70</f>
        <v>0</v>
      </c>
      <c r="AQ16" s="124">
        <f>Inputs!AQ70</f>
        <v>0</v>
      </c>
      <c r="AR16" s="124">
        <f>Inputs!AR70</f>
        <v>0</v>
      </c>
      <c r="AS16" s="124">
        <f>Inputs!AS70</f>
        <v>0</v>
      </c>
      <c r="AT16" s="124">
        <f>Inputs!AT70</f>
        <v>0</v>
      </c>
      <c r="AU16" s="124">
        <f>Inputs!AU70</f>
        <v>0</v>
      </c>
      <c r="AV16" s="124">
        <f>Inputs!AV70</f>
        <v>0</v>
      </c>
      <c r="AW16" s="124">
        <f>Inputs!AW70</f>
        <v>0</v>
      </c>
      <c r="AX16" s="124">
        <f>Inputs!AX70</f>
        <v>0</v>
      </c>
      <c r="AY16" s="124">
        <f>Inputs!AY70</f>
        <v>0</v>
      </c>
      <c r="AZ16" s="124">
        <f>Inputs!AZ70</f>
        <v>0</v>
      </c>
      <c r="BA16" s="124">
        <f>Inputs!BA70</f>
        <v>0</v>
      </c>
      <c r="BB16" s="124">
        <f>Inputs!BB70</f>
        <v>0</v>
      </c>
    </row>
    <row r="17" spans="1:55" ht="15" customHeight="1">
      <c r="A17" s="19"/>
      <c r="B17" s="5"/>
      <c r="C17" s="5"/>
      <c r="D17" s="5"/>
      <c r="E17" s="19" t="s">
        <v>417</v>
      </c>
      <c r="G17" s="5" t="s">
        <v>188</v>
      </c>
      <c r="H17" s="19" t="s">
        <v>203</v>
      </c>
      <c r="J17" s="15"/>
      <c r="K17" s="15"/>
      <c r="L17" s="15"/>
      <c r="M17" s="15"/>
      <c r="N17" s="15"/>
      <c r="O17" s="31"/>
      <c r="P17" s="124">
        <f>Inputs!P78</f>
        <v>0</v>
      </c>
      <c r="Q17" s="124">
        <f>Inputs!Q78</f>
        <v>0</v>
      </c>
      <c r="R17" s="124">
        <f>Inputs!R78</f>
        <v>0</v>
      </c>
      <c r="S17" s="124">
        <f>Inputs!S78</f>
        <v>0.99931553730321698</v>
      </c>
      <c r="T17" s="124">
        <f>Inputs!T78</f>
        <v>1</v>
      </c>
      <c r="U17" s="124">
        <f>Inputs!U78</f>
        <v>1</v>
      </c>
      <c r="V17" s="124">
        <f>Inputs!V78</f>
        <v>1</v>
      </c>
      <c r="W17" s="124">
        <f>Inputs!W78</f>
        <v>1</v>
      </c>
      <c r="X17" s="124">
        <f>Inputs!X78</f>
        <v>1</v>
      </c>
      <c r="Y17" s="124">
        <f>Inputs!Y78</f>
        <v>1</v>
      </c>
      <c r="Z17" s="124">
        <f>Inputs!Z78</f>
        <v>1</v>
      </c>
      <c r="AA17" s="124">
        <f>Inputs!AA78</f>
        <v>1</v>
      </c>
      <c r="AB17" s="124">
        <f>Inputs!AB78</f>
        <v>1</v>
      </c>
      <c r="AC17" s="124">
        <f>Inputs!AC78</f>
        <v>1</v>
      </c>
      <c r="AD17" s="124">
        <f>Inputs!AD78</f>
        <v>1</v>
      </c>
      <c r="AE17" s="124">
        <f>Inputs!AE78</f>
        <v>1</v>
      </c>
      <c r="AF17" s="124">
        <f>Inputs!AF78</f>
        <v>1</v>
      </c>
      <c r="AG17" s="124">
        <f>Inputs!AG78</f>
        <v>1</v>
      </c>
      <c r="AH17" s="124">
        <f>Inputs!AH78</f>
        <v>1</v>
      </c>
      <c r="AI17" s="124">
        <f>Inputs!AI78</f>
        <v>1</v>
      </c>
      <c r="AJ17" s="124">
        <f>Inputs!AJ78</f>
        <v>1</v>
      </c>
      <c r="AK17" s="124">
        <f>Inputs!AK78</f>
        <v>1</v>
      </c>
      <c r="AL17" s="124">
        <f>Inputs!AL78</f>
        <v>1</v>
      </c>
      <c r="AM17" s="124">
        <f>Inputs!AM78</f>
        <v>1</v>
      </c>
      <c r="AN17" s="124">
        <f>Inputs!AN78</f>
        <v>1</v>
      </c>
      <c r="AO17" s="124">
        <f>Inputs!AO78</f>
        <v>0.32922655715263516</v>
      </c>
      <c r="AP17" s="124">
        <f>Inputs!AP78</f>
        <v>0</v>
      </c>
      <c r="AQ17" s="124">
        <f>Inputs!AQ78</f>
        <v>0</v>
      </c>
      <c r="AR17" s="124">
        <f>Inputs!AR78</f>
        <v>0</v>
      </c>
      <c r="AS17" s="124">
        <f>Inputs!AS78</f>
        <v>0</v>
      </c>
      <c r="AT17" s="124">
        <f>Inputs!AT78</f>
        <v>0</v>
      </c>
      <c r="AU17" s="124">
        <f>Inputs!AU78</f>
        <v>0</v>
      </c>
      <c r="AV17" s="124">
        <f>Inputs!AV78</f>
        <v>0</v>
      </c>
      <c r="AW17" s="124">
        <f>Inputs!AW78</f>
        <v>0</v>
      </c>
      <c r="AX17" s="124">
        <f>Inputs!AX78</f>
        <v>0</v>
      </c>
      <c r="AY17" s="124">
        <f>Inputs!AY78</f>
        <v>0</v>
      </c>
      <c r="AZ17" s="124">
        <f>Inputs!AZ78</f>
        <v>0</v>
      </c>
      <c r="BA17" s="124">
        <f>Inputs!BA78</f>
        <v>0</v>
      </c>
      <c r="BB17" s="124">
        <f>Inputs!BB78</f>
        <v>0</v>
      </c>
    </row>
    <row r="18" spans="1:55" ht="15" customHeight="1">
      <c r="A18" s="19"/>
      <c r="B18" s="5"/>
      <c r="C18" s="5"/>
      <c r="D18" s="5"/>
      <c r="E18" s="19" t="s">
        <v>418</v>
      </c>
      <c r="G18" s="5" t="s">
        <v>188</v>
      </c>
      <c r="J18" s="15"/>
      <c r="K18" s="15"/>
      <c r="L18" s="15"/>
      <c r="M18" s="15"/>
      <c r="N18" s="15"/>
      <c r="O18" s="31"/>
      <c r="P18" s="124">
        <f>Inputs!P80</f>
        <v>0</v>
      </c>
      <c r="Q18" s="124">
        <f>Inputs!Q80</f>
        <v>0</v>
      </c>
      <c r="R18" s="124">
        <f>Inputs!R80</f>
        <v>0</v>
      </c>
      <c r="S18" s="124">
        <f>Inputs!S80</f>
        <v>0.99931553730321698</v>
      </c>
      <c r="T18" s="124">
        <f>Inputs!T80</f>
        <v>1</v>
      </c>
      <c r="U18" s="124">
        <f>Inputs!U80</f>
        <v>1</v>
      </c>
      <c r="V18" s="124">
        <f>Inputs!V80</f>
        <v>1</v>
      </c>
      <c r="W18" s="124">
        <f>Inputs!W80</f>
        <v>1</v>
      </c>
      <c r="X18" s="124">
        <f>Inputs!X80</f>
        <v>1</v>
      </c>
      <c r="Y18" s="124">
        <f>Inputs!Y80</f>
        <v>1</v>
      </c>
      <c r="Z18" s="124">
        <f>Inputs!Z80</f>
        <v>1</v>
      </c>
      <c r="AA18" s="124">
        <f>Inputs!AA80</f>
        <v>1</v>
      </c>
      <c r="AB18" s="124">
        <f>Inputs!AB80</f>
        <v>1</v>
      </c>
      <c r="AC18" s="124">
        <f>Inputs!AC80</f>
        <v>1</v>
      </c>
      <c r="AD18" s="124">
        <f>Inputs!AD80</f>
        <v>1</v>
      </c>
      <c r="AE18" s="124">
        <f>Inputs!AE80</f>
        <v>1</v>
      </c>
      <c r="AF18" s="124">
        <f>Inputs!AF80</f>
        <v>1</v>
      </c>
      <c r="AG18" s="124">
        <f>Inputs!AG80</f>
        <v>1</v>
      </c>
      <c r="AH18" s="124">
        <f>Inputs!AH80</f>
        <v>1</v>
      </c>
      <c r="AI18" s="124">
        <f>Inputs!AI80</f>
        <v>1</v>
      </c>
      <c r="AJ18" s="124">
        <f>Inputs!AJ80</f>
        <v>1</v>
      </c>
      <c r="AK18" s="124">
        <f>Inputs!AK80</f>
        <v>1</v>
      </c>
      <c r="AL18" s="124">
        <f>Inputs!AL80</f>
        <v>0.91718001368925395</v>
      </c>
      <c r="AM18" s="124">
        <f>Inputs!AM80</f>
        <v>0</v>
      </c>
      <c r="AN18" s="124">
        <f>Inputs!AN80</f>
        <v>0</v>
      </c>
      <c r="AO18" s="124">
        <f>Inputs!AO80</f>
        <v>0</v>
      </c>
      <c r="AP18" s="124">
        <f>Inputs!AP80</f>
        <v>0</v>
      </c>
      <c r="AQ18" s="124">
        <f>Inputs!AQ80</f>
        <v>0</v>
      </c>
      <c r="AR18" s="124">
        <f>Inputs!AR80</f>
        <v>0</v>
      </c>
      <c r="AS18" s="124">
        <f>Inputs!AS80</f>
        <v>0</v>
      </c>
      <c r="AT18" s="124">
        <f>Inputs!AT80</f>
        <v>0</v>
      </c>
      <c r="AU18" s="124">
        <f>Inputs!AU80</f>
        <v>0</v>
      </c>
      <c r="AV18" s="124">
        <f>Inputs!AV80</f>
        <v>0</v>
      </c>
      <c r="AW18" s="124">
        <f>Inputs!AW80</f>
        <v>0</v>
      </c>
      <c r="AX18" s="124">
        <f>Inputs!AX80</f>
        <v>0</v>
      </c>
      <c r="AY18" s="124">
        <f>Inputs!AY80</f>
        <v>0</v>
      </c>
      <c r="AZ18" s="124">
        <f>Inputs!AZ80</f>
        <v>0</v>
      </c>
      <c r="BA18" s="124">
        <f>Inputs!BA80</f>
        <v>0</v>
      </c>
      <c r="BB18" s="124">
        <f>Inputs!BB80</f>
        <v>0</v>
      </c>
      <c r="BC18" s="124">
        <f>Inputs!BC80</f>
        <v>0</v>
      </c>
    </row>
    <row r="19" spans="1:55" ht="15" customHeight="1">
      <c r="A19" s="19"/>
      <c r="B19" s="5"/>
      <c r="C19" s="5"/>
      <c r="D19" s="5"/>
      <c r="G19" s="5"/>
      <c r="J19" s="15"/>
      <c r="K19" s="15"/>
      <c r="L19" s="15"/>
      <c r="M19" s="15"/>
      <c r="N19" s="15"/>
      <c r="O19" s="64"/>
      <c r="P19" s="64"/>
      <c r="Q19" s="64"/>
      <c r="R19" s="64"/>
      <c r="S19" s="64"/>
      <c r="T19" s="64"/>
      <c r="U19" s="64"/>
      <c r="V19" s="64"/>
      <c r="W19" s="64"/>
      <c r="X19" s="64"/>
      <c r="Y19" s="64"/>
      <c r="Z19" s="64"/>
      <c r="AA19" s="64"/>
      <c r="AB19" s="64"/>
      <c r="AC19" s="64"/>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row>
    <row r="20" spans="1:55" s="59" customFormat="1" ht="15" customHeight="1">
      <c r="C20" s="38" t="s">
        <v>419</v>
      </c>
      <c r="D20" s="38"/>
      <c r="E20" s="38"/>
      <c r="F20" s="38"/>
      <c r="G20" s="38"/>
      <c r="H20" s="38"/>
      <c r="I20" s="38"/>
      <c r="J20" s="38"/>
      <c r="K20" s="38"/>
      <c r="L20" s="38"/>
      <c r="M20" s="38"/>
      <c r="N20" s="38"/>
      <c r="O20" s="38"/>
      <c r="P20" s="38"/>
      <c r="Q20" s="38"/>
      <c r="R20" s="38"/>
      <c r="S20" s="38"/>
      <c r="T20" s="38"/>
      <c r="U20" s="38"/>
      <c r="V20" s="38"/>
      <c r="W20" s="38"/>
      <c r="X20" s="38"/>
      <c r="Y20" s="38"/>
      <c r="Z20" s="38"/>
      <c r="AA20" s="38"/>
      <c r="AB20" s="38"/>
      <c r="AC20" s="38"/>
      <c r="AD20" s="38"/>
      <c r="AE20" s="38"/>
      <c r="AF20" s="38"/>
      <c r="AG20" s="38"/>
      <c r="AH20" s="38"/>
      <c r="AI20" s="38"/>
      <c r="AJ20" s="38"/>
      <c r="AK20" s="38"/>
      <c r="AL20" s="38"/>
      <c r="AM20" s="38"/>
      <c r="AN20" s="38"/>
      <c r="AO20" s="38"/>
      <c r="AP20" s="38"/>
      <c r="AQ20" s="38"/>
      <c r="AR20" s="38"/>
      <c r="AS20" s="38"/>
      <c r="AT20" s="38"/>
      <c r="AU20" s="38"/>
      <c r="AV20" s="38"/>
      <c r="AW20" s="38"/>
      <c r="AX20" s="38"/>
      <c r="AY20" s="38"/>
      <c r="AZ20" s="38"/>
      <c r="BA20" s="38"/>
      <c r="BB20" s="38"/>
    </row>
    <row r="21" spans="1:55" ht="15" customHeight="1">
      <c r="A21" s="5"/>
      <c r="B21" s="5"/>
      <c r="C21" s="5"/>
      <c r="D21" s="5"/>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row>
    <row r="22" spans="1:55" ht="15" customHeight="1">
      <c r="A22" s="5"/>
      <c r="B22" s="5"/>
      <c r="C22" s="5"/>
      <c r="D22" s="5"/>
      <c r="E22" s="19" t="s">
        <v>420</v>
      </c>
      <c r="G22" s="5" t="str">
        <f t="shared" ref="G22:G52" si="0">base_year</f>
        <v>£m 2020</v>
      </c>
      <c r="H22" s="19" t="s">
        <v>151</v>
      </c>
      <c r="I22" s="184">
        <f>Prel_Cap</f>
        <v>31.178949750164392</v>
      </c>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row>
    <row r="23" spans="1:55" ht="15" customHeight="1">
      <c r="A23" s="5"/>
      <c r="B23" s="5"/>
      <c r="C23" s="5"/>
      <c r="D23" s="5"/>
      <c r="E23" s="19" t="s">
        <v>421</v>
      </c>
      <c r="G23" s="5" t="str">
        <f t="shared" si="0"/>
        <v>£m 2020</v>
      </c>
      <c r="H23" s="19" t="s">
        <v>153</v>
      </c>
      <c r="I23" s="184">
        <f>Prel_NotionalFloor</f>
        <v>15.546731746667863</v>
      </c>
      <c r="J23" s="15"/>
      <c r="K23" s="15"/>
      <c r="L23" s="15"/>
      <c r="M23" s="15"/>
      <c r="N23" s="15"/>
      <c r="O23" s="15"/>
      <c r="P23" s="15"/>
      <c r="Q23" s="15"/>
      <c r="R23" s="15"/>
      <c r="S23" s="15"/>
      <c r="T23" s="15"/>
      <c r="U23" s="15"/>
      <c r="V23" s="15"/>
      <c r="W23" s="15"/>
      <c r="X23" s="15"/>
      <c r="Y23" s="15"/>
      <c r="Z23" s="15"/>
      <c r="AA23" s="15"/>
      <c r="AB23" s="15"/>
      <c r="AC23" s="15"/>
      <c r="AD23" s="15"/>
      <c r="AE23" s="15"/>
      <c r="AF23" s="15"/>
      <c r="AG23" s="15"/>
      <c r="AH23" s="15"/>
      <c r="AI23" s="15"/>
      <c r="AJ23" s="15"/>
      <c r="AK23" s="15"/>
      <c r="AL23" s="15"/>
      <c r="AM23" s="15"/>
      <c r="AN23" s="15"/>
      <c r="AO23" s="15"/>
      <c r="AP23" s="15"/>
      <c r="AQ23" s="15"/>
      <c r="AR23" s="15"/>
      <c r="AS23" s="15"/>
      <c r="AT23" s="15"/>
      <c r="AU23" s="15"/>
      <c r="AV23" s="15"/>
      <c r="AW23" s="15"/>
      <c r="AX23" s="15"/>
      <c r="AY23" s="15"/>
      <c r="AZ23" s="15"/>
      <c r="BA23" s="15"/>
      <c r="BB23" s="15"/>
    </row>
    <row r="24" spans="1:55" ht="15" customHeight="1">
      <c r="A24" s="5"/>
      <c r="B24" s="5"/>
      <c r="C24" s="5"/>
      <c r="D24" s="5"/>
      <c r="E24" s="19" t="s">
        <v>154</v>
      </c>
      <c r="G24" s="5" t="str">
        <f t="shared" si="0"/>
        <v>£m 2020</v>
      </c>
      <c r="H24" s="19" t="s">
        <v>155</v>
      </c>
      <c r="I24" s="184">
        <f>Prel_ActualFloor</f>
        <v>7.7487285212424872</v>
      </c>
      <c r="J24" s="15"/>
      <c r="K24" s="15"/>
      <c r="L24" s="15"/>
      <c r="M24" s="15"/>
      <c r="N24" s="15"/>
      <c r="O24" s="15"/>
      <c r="P24" s="15"/>
      <c r="Q24" s="15"/>
      <c r="R24" s="15"/>
      <c r="S24" s="15"/>
      <c r="T24" s="15"/>
      <c r="U24" s="15"/>
      <c r="V24" s="15"/>
      <c r="W24" s="15"/>
      <c r="X24" s="15"/>
      <c r="Y24" s="15"/>
      <c r="Z24" s="15"/>
      <c r="AA24" s="15"/>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row>
    <row r="25" spans="1:55" ht="15" customHeight="1">
      <c r="A25" s="19"/>
      <c r="B25" s="5"/>
      <c r="C25" s="5"/>
      <c r="D25" s="5"/>
      <c r="E25" s="19" t="s">
        <v>156</v>
      </c>
      <c r="G25" s="5" t="str">
        <f t="shared" si="0"/>
        <v>£m 2020</v>
      </c>
      <c r="I25" s="184">
        <f>Inputs!I31</f>
        <v>10.812949097432035</v>
      </c>
      <c r="J25" s="15"/>
      <c r="K25" s="15"/>
      <c r="L25" s="15"/>
      <c r="M25" s="15"/>
      <c r="N25" s="15"/>
      <c r="O25" s="15"/>
      <c r="P25" s="15"/>
      <c r="Q25" s="15"/>
      <c r="R25" s="15"/>
      <c r="S25" s="15"/>
      <c r="T25" s="15"/>
      <c r="U25" s="15"/>
      <c r="V25" s="15"/>
      <c r="W25" s="15"/>
      <c r="X25" s="15"/>
      <c r="Y25" s="15"/>
      <c r="Z25" s="15"/>
      <c r="AA25" s="15"/>
      <c r="AB25" s="64"/>
      <c r="AC25" s="64"/>
      <c r="AD25" s="64"/>
      <c r="AE25" s="64"/>
      <c r="AF25" s="64"/>
      <c r="AG25" s="64"/>
      <c r="AH25" s="64"/>
      <c r="AI25" s="64"/>
      <c r="AJ25" s="64"/>
      <c r="AK25" s="64"/>
      <c r="AL25" s="64"/>
      <c r="AM25" s="64"/>
      <c r="AN25" s="64"/>
      <c r="AO25" s="64"/>
      <c r="AP25" s="64"/>
      <c r="AQ25" s="64"/>
      <c r="AR25" s="64"/>
      <c r="AS25" s="64"/>
      <c r="AT25" s="64"/>
      <c r="AU25" s="64"/>
      <c r="AV25" s="64"/>
      <c r="AW25" s="64"/>
      <c r="AX25" s="64"/>
      <c r="AY25" s="64"/>
      <c r="AZ25" s="64"/>
      <c r="BA25" s="64"/>
      <c r="BB25" s="64"/>
    </row>
    <row r="26" spans="1:55" ht="15" customHeight="1">
      <c r="A26" s="19"/>
      <c r="B26" s="5"/>
      <c r="C26" s="5"/>
      <c r="D26" s="5"/>
      <c r="G26" s="5"/>
      <c r="I26" s="81"/>
      <c r="J26" s="15"/>
      <c r="K26" s="15"/>
      <c r="L26" s="15"/>
      <c r="M26" s="15"/>
      <c r="N26" s="15"/>
      <c r="O26" s="15"/>
      <c r="P26" s="15"/>
      <c r="Q26" s="15"/>
      <c r="R26" s="15"/>
      <c r="S26" s="15"/>
      <c r="T26" s="15"/>
      <c r="U26" s="15"/>
      <c r="V26" s="15"/>
      <c r="W26" s="15"/>
      <c r="X26" s="15"/>
      <c r="Y26" s="15"/>
      <c r="Z26" s="15"/>
      <c r="AA26" s="15"/>
      <c r="AB26" s="64"/>
      <c r="AC26" s="64"/>
      <c r="AD26" s="64"/>
      <c r="AE26" s="64"/>
      <c r="AF26" s="64"/>
      <c r="AG26" s="64"/>
      <c r="AH26" s="64"/>
      <c r="AI26" s="64"/>
      <c r="AJ26" s="64"/>
      <c r="AK26" s="64"/>
      <c r="AL26" s="64"/>
      <c r="AM26" s="64"/>
      <c r="AN26" s="64"/>
      <c r="AO26" s="64"/>
      <c r="AP26" s="64"/>
      <c r="AQ26" s="64"/>
      <c r="AR26" s="64"/>
      <c r="AS26" s="64"/>
      <c r="AT26" s="64"/>
      <c r="AU26" s="64"/>
      <c r="AV26" s="64"/>
      <c r="AW26" s="64"/>
      <c r="AX26" s="64"/>
      <c r="AY26" s="64"/>
      <c r="AZ26" s="64"/>
      <c r="BA26" s="64"/>
      <c r="BB26" s="64"/>
    </row>
    <row r="27" spans="1:55" ht="15" customHeight="1">
      <c r="A27" s="5"/>
      <c r="B27" s="5"/>
      <c r="C27" s="5"/>
      <c r="D27" s="5"/>
      <c r="E27" s="19" t="s">
        <v>422</v>
      </c>
      <c r="G27" s="5" t="s">
        <v>248</v>
      </c>
      <c r="I27" s="35"/>
      <c r="J27" s="15"/>
      <c r="K27" s="15"/>
      <c r="L27" s="15"/>
      <c r="M27" s="15"/>
      <c r="N27" s="15"/>
      <c r="O27" s="31"/>
      <c r="P27" s="35">
        <f t="shared" ref="P27:BB27" si="1">IF(P$5&lt;=op_years,$I22 * P$11*P16,0)</f>
        <v>28.734467479622875</v>
      </c>
      <c r="Q27" s="35">
        <f t="shared" si="1"/>
        <v>44.671271660003896</v>
      </c>
      <c r="R27" s="35">
        <f t="shared" si="1"/>
        <v>46.583202087052065</v>
      </c>
      <c r="S27" s="35">
        <f t="shared" si="1"/>
        <v>48.576963136377884</v>
      </c>
      <c r="T27" s="35">
        <f t="shared" si="1"/>
        <v>50.656057158614857</v>
      </c>
      <c r="U27" s="35">
        <f t="shared" si="1"/>
        <v>52.824136405003571</v>
      </c>
      <c r="V27" s="35">
        <f t="shared" si="1"/>
        <v>55.085009443137722</v>
      </c>
      <c r="W27" s="35">
        <f t="shared" si="1"/>
        <v>57.442647847304016</v>
      </c>
      <c r="X27" s="35">
        <f t="shared" si="1"/>
        <v>59.901193175168629</v>
      </c>
      <c r="Y27" s="35">
        <f t="shared" si="1"/>
        <v>62.464964243065836</v>
      </c>
      <c r="Z27" s="35">
        <f t="shared" si="1"/>
        <v>65.138464712669048</v>
      </c>
      <c r="AA27" s="35">
        <f t="shared" si="1"/>
        <v>67.926391002371275</v>
      </c>
      <c r="AB27" s="35">
        <f t="shared" si="1"/>
        <v>70.833640537272771</v>
      </c>
      <c r="AC27" s="35">
        <f t="shared" si="1"/>
        <v>73.865320352268043</v>
      </c>
      <c r="AD27" s="35">
        <f t="shared" si="1"/>
        <v>77.026756063345104</v>
      </c>
      <c r="AE27" s="35">
        <f t="shared" si="1"/>
        <v>80.323501222856279</v>
      </c>
      <c r="AF27" s="35">
        <f t="shared" si="1"/>
        <v>83.761347075194521</v>
      </c>
      <c r="AG27" s="35">
        <f t="shared" si="1"/>
        <v>87.346332730012847</v>
      </c>
      <c r="AH27" s="35">
        <f t="shared" si="1"/>
        <v>91.084755770857385</v>
      </c>
      <c r="AI27" s="35">
        <f t="shared" si="1"/>
        <v>94.983183317850077</v>
      </c>
      <c r="AJ27" s="35">
        <f t="shared" si="1"/>
        <v>99.048463563854071</v>
      </c>
      <c r="AK27" s="35">
        <f t="shared" si="1"/>
        <v>103.28773780438701</v>
      </c>
      <c r="AL27" s="35">
        <f t="shared" si="1"/>
        <v>107.70845298241478</v>
      </c>
      <c r="AM27" s="35">
        <f t="shared" si="1"/>
        <v>112.31837477006212</v>
      </c>
      <c r="AN27" s="35">
        <f t="shared" si="1"/>
        <v>117.12560121022078</v>
      </c>
      <c r="AO27" s="35">
        <f t="shared" si="1"/>
        <v>40.211263182142893</v>
      </c>
      <c r="AP27" s="35">
        <f t="shared" si="1"/>
        <v>0</v>
      </c>
      <c r="AQ27" s="35">
        <f t="shared" si="1"/>
        <v>0</v>
      </c>
      <c r="AR27" s="35">
        <f t="shared" si="1"/>
        <v>0</v>
      </c>
      <c r="AS27" s="35">
        <f t="shared" si="1"/>
        <v>0</v>
      </c>
      <c r="AT27" s="35">
        <f t="shared" si="1"/>
        <v>0</v>
      </c>
      <c r="AU27" s="35">
        <f t="shared" si="1"/>
        <v>0</v>
      </c>
      <c r="AV27" s="35">
        <f t="shared" si="1"/>
        <v>0</v>
      </c>
      <c r="AW27" s="35">
        <f t="shared" si="1"/>
        <v>0</v>
      </c>
      <c r="AX27" s="35">
        <f t="shared" si="1"/>
        <v>0</v>
      </c>
      <c r="AY27" s="35">
        <f t="shared" si="1"/>
        <v>0</v>
      </c>
      <c r="AZ27" s="35">
        <f t="shared" si="1"/>
        <v>0</v>
      </c>
      <c r="BA27" s="35">
        <f t="shared" si="1"/>
        <v>0</v>
      </c>
      <c r="BB27" s="35">
        <f t="shared" si="1"/>
        <v>0</v>
      </c>
    </row>
    <row r="28" spans="1:55" ht="15" customHeight="1">
      <c r="A28" s="5"/>
      <c r="B28" s="5"/>
      <c r="C28" s="5"/>
      <c r="D28" s="5"/>
      <c r="E28" s="19" t="s">
        <v>423</v>
      </c>
      <c r="G28" s="5" t="s">
        <v>248</v>
      </c>
      <c r="I28" s="35"/>
      <c r="J28" s="15"/>
      <c r="K28" s="15"/>
      <c r="L28" s="15"/>
      <c r="M28" s="15"/>
      <c r="N28" s="15"/>
      <c r="O28" s="31"/>
      <c r="P28" s="35">
        <f t="shared" ref="P28:BB28" si="2">IF(P$5&lt;=op_years,$I23 * P$11 * P17,0)</f>
        <v>0</v>
      </c>
      <c r="Q28" s="35">
        <f t="shared" si="2"/>
        <v>0</v>
      </c>
      <c r="R28" s="35">
        <f t="shared" si="2"/>
        <v>0</v>
      </c>
      <c r="S28" s="35">
        <f t="shared" si="2"/>
        <v>24.205308577085852</v>
      </c>
      <c r="T28" s="35">
        <f t="shared" si="2"/>
        <v>25.258584342941415</v>
      </c>
      <c r="U28" s="35">
        <f t="shared" si="2"/>
        <v>26.339651752819307</v>
      </c>
      <c r="V28" s="35">
        <f t="shared" si="2"/>
        <v>27.466988847839971</v>
      </c>
      <c r="W28" s="35">
        <f t="shared" si="2"/>
        <v>28.642575970527524</v>
      </c>
      <c r="X28" s="35">
        <f t="shared" si="2"/>
        <v>29.868478222066098</v>
      </c>
      <c r="Y28" s="35">
        <f t="shared" si="2"/>
        <v>31.146849089970527</v>
      </c>
      <c r="Z28" s="35">
        <f t="shared" si="2"/>
        <v>32.479934231021261</v>
      </c>
      <c r="AA28" s="35">
        <f t="shared" si="2"/>
        <v>33.870075416108968</v>
      </c>
      <c r="AB28" s="35">
        <f t="shared" si="2"/>
        <v>35.319714643918431</v>
      </c>
      <c r="AC28" s="35">
        <f t="shared" si="2"/>
        <v>36.831398430678135</v>
      </c>
      <c r="AD28" s="35">
        <f t="shared" si="2"/>
        <v>38.40778228351116</v>
      </c>
      <c r="AE28" s="35">
        <f t="shared" si="2"/>
        <v>40.051635365245438</v>
      </c>
      <c r="AF28" s="35">
        <f t="shared" si="2"/>
        <v>41.765845358877947</v>
      </c>
      <c r="AG28" s="35">
        <f t="shared" si="2"/>
        <v>43.553423540237915</v>
      </c>
      <c r="AH28" s="35">
        <f t="shared" si="2"/>
        <v>45.417510067760098</v>
      </c>
      <c r="AI28" s="35">
        <f t="shared" si="2"/>
        <v>47.36137949866022</v>
      </c>
      <c r="AJ28" s="35">
        <f t="shared" si="2"/>
        <v>49.388446541202882</v>
      </c>
      <c r="AK28" s="35">
        <f t="shared" si="2"/>
        <v>51.502272053166365</v>
      </c>
      <c r="AL28" s="35">
        <f t="shared" si="2"/>
        <v>53.706569297041881</v>
      </c>
      <c r="AM28" s="35">
        <f t="shared" si="2"/>
        <v>56.005210462955276</v>
      </c>
      <c r="AN28" s="35">
        <f t="shared" si="2"/>
        <v>58.402233470769758</v>
      </c>
      <c r="AO28" s="35">
        <f t="shared" si="2"/>
        <v>20.050506091345852</v>
      </c>
      <c r="AP28" s="35">
        <f t="shared" si="2"/>
        <v>0</v>
      </c>
      <c r="AQ28" s="35">
        <f t="shared" si="2"/>
        <v>0</v>
      </c>
      <c r="AR28" s="35">
        <f t="shared" si="2"/>
        <v>0</v>
      </c>
      <c r="AS28" s="35">
        <f t="shared" si="2"/>
        <v>0</v>
      </c>
      <c r="AT28" s="35">
        <f t="shared" si="2"/>
        <v>0</v>
      </c>
      <c r="AU28" s="35">
        <f t="shared" si="2"/>
        <v>0</v>
      </c>
      <c r="AV28" s="35">
        <f t="shared" si="2"/>
        <v>0</v>
      </c>
      <c r="AW28" s="35">
        <f t="shared" si="2"/>
        <v>0</v>
      </c>
      <c r="AX28" s="35">
        <f t="shared" si="2"/>
        <v>0</v>
      </c>
      <c r="AY28" s="35">
        <f t="shared" si="2"/>
        <v>0</v>
      </c>
      <c r="AZ28" s="35">
        <f t="shared" si="2"/>
        <v>0</v>
      </c>
      <c r="BA28" s="35">
        <f t="shared" si="2"/>
        <v>0</v>
      </c>
      <c r="BB28" s="35">
        <f t="shared" si="2"/>
        <v>0</v>
      </c>
    </row>
    <row r="29" spans="1:55" ht="15" customHeight="1">
      <c r="A29" s="5"/>
      <c r="B29" s="5"/>
      <c r="C29" s="5"/>
      <c r="D29" s="5"/>
      <c r="E29" s="19" t="s">
        <v>424</v>
      </c>
      <c r="G29" s="5" t="s">
        <v>248</v>
      </c>
      <c r="I29" s="35"/>
      <c r="J29" s="15"/>
      <c r="K29" s="15"/>
      <c r="L29" s="15"/>
      <c r="M29" s="15"/>
      <c r="N29" s="15"/>
      <c r="O29" s="31"/>
      <c r="P29" s="35">
        <f>IF(P$5&lt;=op_years,$I24 * P$11 * P17 + $I25 * P12 * P18,0)</f>
        <v>0</v>
      </c>
      <c r="Q29" s="35">
        <f t="shared" ref="Q29:BB29" si="3">IF(Q$5&lt;=op_years,$I24 * Q$11 * Q17 + $I25 * Q12 * Q18,0)</f>
        <v>0</v>
      </c>
      <c r="R29" s="35">
        <f t="shared" si="3"/>
        <v>0</v>
      </c>
      <c r="S29" s="35">
        <f t="shared" si="3"/>
        <v>24.996499711583155</v>
      </c>
      <c r="T29" s="35">
        <f t="shared" si="3"/>
        <v>25.750324165384065</v>
      </c>
      <c r="U29" s="35">
        <f t="shared" si="3"/>
        <v>26.512882691724229</v>
      </c>
      <c r="V29" s="35">
        <f t="shared" si="3"/>
        <v>27.302306282076799</v>
      </c>
      <c r="W29" s="35">
        <f t="shared" si="3"/>
        <v>28.119646629685953</v>
      </c>
      <c r="X29" s="35">
        <f t="shared" si="3"/>
        <v>28.965998772031295</v>
      </c>
      <c r="Y29" s="35">
        <f t="shared" si="3"/>
        <v>29.842502917601127</v>
      </c>
      <c r="Z29" s="35">
        <f t="shared" si="3"/>
        <v>30.750346350369504</v>
      </c>
      <c r="AA29" s="35">
        <f t="shared" si="3"/>
        <v>31.690765415294589</v>
      </c>
      <c r="AB29" s="35">
        <f t="shared" si="3"/>
        <v>32.665047588297668</v>
      </c>
      <c r="AC29" s="35">
        <f t="shared" si="3"/>
        <v>33.674533634330153</v>
      </c>
      <c r="AD29" s="35">
        <f t="shared" si="3"/>
        <v>34.720619857290146</v>
      </c>
      <c r="AE29" s="35">
        <f t="shared" si="3"/>
        <v>35.804760445710798</v>
      </c>
      <c r="AF29" s="35">
        <f t="shared" si="3"/>
        <v>36.928469918310853</v>
      </c>
      <c r="AG29" s="35">
        <f t="shared" si="3"/>
        <v>38.093325673672084</v>
      </c>
      <c r="AH29" s="35">
        <f t="shared" si="3"/>
        <v>39.300970648491344</v>
      </c>
      <c r="AI29" s="35">
        <f t="shared" si="3"/>
        <v>40.553116089044643</v>
      </c>
      <c r="AJ29" s="35">
        <f t="shared" si="3"/>
        <v>41.851544440699193</v>
      </c>
      <c r="AK29" s="35">
        <f t="shared" si="3"/>
        <v>43.198112360516291</v>
      </c>
      <c r="AL29" s="35">
        <f t="shared" si="3"/>
        <v>43.118356783757889</v>
      </c>
      <c r="AM29" s="35">
        <f t="shared" si="3"/>
        <v>27.913852166742537</v>
      </c>
      <c r="AN29" s="35">
        <f t="shared" si="3"/>
        <v>29.108565039479114</v>
      </c>
      <c r="AO29" s="35">
        <f t="shared" si="3"/>
        <v>9.9934784330898037</v>
      </c>
      <c r="AP29" s="35">
        <f t="shared" si="3"/>
        <v>0</v>
      </c>
      <c r="AQ29" s="35">
        <f t="shared" si="3"/>
        <v>0</v>
      </c>
      <c r="AR29" s="35">
        <f t="shared" si="3"/>
        <v>0</v>
      </c>
      <c r="AS29" s="35">
        <f t="shared" si="3"/>
        <v>0</v>
      </c>
      <c r="AT29" s="35">
        <f t="shared" si="3"/>
        <v>0</v>
      </c>
      <c r="AU29" s="35">
        <f t="shared" si="3"/>
        <v>0</v>
      </c>
      <c r="AV29" s="35">
        <f t="shared" si="3"/>
        <v>0</v>
      </c>
      <c r="AW29" s="35">
        <f t="shared" si="3"/>
        <v>0</v>
      </c>
      <c r="AX29" s="35">
        <f t="shared" si="3"/>
        <v>0</v>
      </c>
      <c r="AY29" s="35">
        <f t="shared" si="3"/>
        <v>0</v>
      </c>
      <c r="AZ29" s="35">
        <f t="shared" si="3"/>
        <v>0</v>
      </c>
      <c r="BA29" s="35">
        <f t="shared" si="3"/>
        <v>0</v>
      </c>
      <c r="BB29" s="35">
        <f t="shared" si="3"/>
        <v>0</v>
      </c>
      <c r="BC29" s="35"/>
    </row>
    <row r="30" spans="1:55" ht="15" customHeight="1">
      <c r="A30" s="5"/>
      <c r="B30" s="5"/>
      <c r="C30" s="5"/>
      <c r="D30" s="5"/>
      <c r="G30" s="5"/>
      <c r="I30" s="35"/>
      <c r="J30" s="15"/>
      <c r="K30" s="15"/>
      <c r="L30" s="15"/>
      <c r="M30" s="15"/>
      <c r="N30" s="15"/>
      <c r="O30" s="64"/>
      <c r="P30" s="64"/>
      <c r="Q30" s="64"/>
      <c r="R30" s="64"/>
      <c r="S30" s="64"/>
      <c r="T30" s="64"/>
      <c r="U30" s="64"/>
      <c r="V30" s="64"/>
      <c r="W30" s="64"/>
      <c r="X30" s="64"/>
      <c r="Y30" s="64"/>
      <c r="Z30" s="64"/>
      <c r="AA30" s="64"/>
      <c r="AB30" s="64"/>
      <c r="AC30" s="64"/>
      <c r="AD30" s="64"/>
      <c r="AE30" s="64"/>
      <c r="AF30" s="64"/>
      <c r="AG30" s="64"/>
      <c r="AH30" s="64"/>
      <c r="AI30" s="64"/>
      <c r="AJ30" s="64"/>
      <c r="AK30" s="64"/>
      <c r="AL30" s="64"/>
      <c r="AM30" s="64"/>
      <c r="AN30" s="64"/>
      <c r="AO30" s="64"/>
      <c r="AP30" s="64"/>
      <c r="AQ30" s="64"/>
      <c r="AR30" s="64"/>
      <c r="AS30" s="64"/>
      <c r="AT30" s="64"/>
      <c r="AU30" s="64"/>
      <c r="AV30" s="64"/>
      <c r="AW30" s="64"/>
      <c r="AX30" s="64"/>
      <c r="AY30" s="64"/>
      <c r="AZ30" s="64"/>
      <c r="BA30" s="64"/>
      <c r="BB30" s="64"/>
    </row>
    <row r="31" spans="1:55" ht="15" customHeight="1">
      <c r="A31" s="5"/>
      <c r="B31" s="5"/>
      <c r="C31" s="5"/>
      <c r="D31" s="5"/>
      <c r="E31" s="19" t="s">
        <v>425</v>
      </c>
      <c r="G31" s="5" t="str">
        <f t="shared" si="0"/>
        <v>£m 2020</v>
      </c>
      <c r="H31" s="19" t="s">
        <v>158</v>
      </c>
      <c r="I31" s="184">
        <f>PCAC_Adj</f>
        <v>0.21404524999999999</v>
      </c>
      <c r="J31" s="15"/>
      <c r="K31" s="15"/>
      <c r="L31" s="15"/>
      <c r="M31" s="15"/>
      <c r="N31" s="15"/>
      <c r="O31" s="15"/>
      <c r="P31" s="15"/>
      <c r="Q31" s="15"/>
      <c r="R31" s="15"/>
      <c r="S31" s="15"/>
      <c r="T31" s="15"/>
      <c r="U31" s="15"/>
      <c r="V31" s="15"/>
      <c r="W31" s="15"/>
      <c r="X31" s="15"/>
      <c r="Y31" s="15"/>
      <c r="Z31" s="15"/>
      <c r="AA31" s="15"/>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row>
    <row r="32" spans="1:55" ht="15" customHeight="1">
      <c r="A32" s="5"/>
      <c r="B32" s="5"/>
      <c r="C32" s="5"/>
      <c r="D32" s="5"/>
      <c r="E32" s="19" t="s">
        <v>426</v>
      </c>
      <c r="G32" s="5" t="str">
        <f t="shared" si="0"/>
        <v>£m 2020</v>
      </c>
      <c r="H32" s="19" t="s">
        <v>160</v>
      </c>
      <c r="I32" s="184">
        <f>PCANF_Adj</f>
        <v>0.583640253</v>
      </c>
      <c r="J32" s="15"/>
      <c r="K32" s="15"/>
      <c r="L32" s="15"/>
      <c r="M32" s="15"/>
      <c r="N32" s="15"/>
      <c r="O32" s="15"/>
      <c r="P32" s="15"/>
      <c r="Q32" s="15"/>
      <c r="R32" s="15"/>
      <c r="S32" s="15"/>
      <c r="T32" s="15"/>
      <c r="U32" s="15"/>
      <c r="V32" s="15"/>
      <c r="W32" s="15"/>
      <c r="X32" s="15"/>
      <c r="Y32" s="15"/>
      <c r="Z32" s="15"/>
      <c r="AA32" s="15"/>
      <c r="AB32" s="64"/>
      <c r="AC32" s="64"/>
      <c r="AD32" s="64"/>
      <c r="AE32" s="64"/>
      <c r="AF32" s="64"/>
      <c r="AG32" s="64"/>
      <c r="AH32" s="64"/>
      <c r="AI32" s="64"/>
      <c r="AJ32" s="64"/>
      <c r="AK32" s="64"/>
      <c r="AL32" s="64"/>
      <c r="AM32" s="64"/>
      <c r="AN32" s="64"/>
      <c r="AO32" s="64"/>
      <c r="AP32" s="64"/>
      <c r="AQ32" s="64"/>
      <c r="AR32" s="64"/>
      <c r="AS32" s="64"/>
      <c r="AT32" s="64"/>
      <c r="AU32" s="64"/>
      <c r="AV32" s="64"/>
      <c r="AW32" s="64"/>
      <c r="AX32" s="64"/>
      <c r="AY32" s="64"/>
      <c r="AZ32" s="64"/>
      <c r="BA32" s="64"/>
      <c r="BB32" s="64"/>
    </row>
    <row r="33" spans="1:54" ht="15" customHeight="1">
      <c r="A33" s="5"/>
      <c r="B33" s="5"/>
      <c r="C33" s="5"/>
      <c r="D33" s="5"/>
      <c r="E33" s="19" t="s">
        <v>427</v>
      </c>
      <c r="G33" s="5" t="str">
        <f t="shared" si="0"/>
        <v>£m 2020</v>
      </c>
      <c r="H33" s="19" t="s">
        <v>162</v>
      </c>
      <c r="I33" s="184">
        <f>PCAAF_Adj</f>
        <v>-1.2566136189999999</v>
      </c>
      <c r="J33" s="15"/>
      <c r="K33" s="15"/>
      <c r="L33" s="15"/>
      <c r="M33" s="15"/>
      <c r="N33" s="15"/>
      <c r="O33" s="15"/>
      <c r="P33" s="15"/>
      <c r="Q33" s="15"/>
      <c r="R33" s="15"/>
      <c r="S33" s="15"/>
      <c r="T33" s="15"/>
      <c r="U33" s="15"/>
      <c r="V33" s="15"/>
      <c r="W33" s="15"/>
      <c r="X33" s="15"/>
      <c r="Y33" s="15"/>
      <c r="Z33" s="15"/>
      <c r="AA33" s="15"/>
      <c r="AB33" s="64"/>
      <c r="AC33" s="64"/>
      <c r="AD33" s="64"/>
      <c r="AE33" s="64"/>
      <c r="AF33" s="64"/>
      <c r="AG33" s="64"/>
      <c r="AH33" s="64"/>
      <c r="AI33" s="64"/>
      <c r="AJ33" s="64"/>
      <c r="AK33" s="64"/>
      <c r="AL33" s="64"/>
      <c r="AM33" s="64"/>
      <c r="AN33" s="64"/>
      <c r="AO33" s="64"/>
      <c r="AP33" s="64"/>
      <c r="AQ33" s="64"/>
      <c r="AR33" s="64"/>
      <c r="AS33" s="64"/>
      <c r="AT33" s="64"/>
      <c r="AU33" s="64"/>
      <c r="AV33" s="64"/>
      <c r="AW33" s="64"/>
      <c r="AX33" s="64"/>
      <c r="AY33" s="64"/>
      <c r="AZ33" s="64"/>
      <c r="BA33" s="64"/>
      <c r="BB33" s="64"/>
    </row>
    <row r="34" spans="1:54" ht="15" customHeight="1">
      <c r="A34" s="5"/>
      <c r="B34" s="5"/>
      <c r="C34" s="5"/>
      <c r="D34" s="5"/>
      <c r="E34" s="19" t="s">
        <v>428</v>
      </c>
      <c r="G34" s="5" t="str">
        <f t="shared" si="0"/>
        <v>£m 2020</v>
      </c>
      <c r="I34" s="184">
        <f>PCAAFDS_Adj</f>
        <v>0</v>
      </c>
      <c r="J34" s="15"/>
      <c r="K34" s="15"/>
      <c r="L34" s="15"/>
      <c r="M34" s="15"/>
      <c r="N34" s="15"/>
      <c r="O34" s="15"/>
      <c r="P34" s="15"/>
      <c r="Q34" s="15"/>
      <c r="R34" s="15"/>
      <c r="S34" s="15"/>
      <c r="T34" s="15"/>
      <c r="U34" s="15"/>
      <c r="V34" s="15"/>
      <c r="W34" s="15"/>
      <c r="X34" s="15"/>
      <c r="Y34" s="15"/>
      <c r="Z34" s="15"/>
      <c r="AA34" s="15"/>
      <c r="AB34" s="64"/>
      <c r="AC34" s="64"/>
      <c r="AD34" s="64"/>
      <c r="AE34" s="64"/>
      <c r="AF34" s="64"/>
      <c r="AG34" s="64"/>
      <c r="AH34" s="64"/>
      <c r="AI34" s="64"/>
      <c r="AJ34" s="64"/>
      <c r="AK34" s="64"/>
      <c r="AL34" s="64"/>
      <c r="AM34" s="64"/>
      <c r="AN34" s="64"/>
      <c r="AO34" s="64"/>
      <c r="AP34" s="64"/>
      <c r="AQ34" s="64"/>
      <c r="AR34" s="64"/>
      <c r="AS34" s="64"/>
      <c r="AT34" s="64"/>
      <c r="AU34" s="64"/>
      <c r="AV34" s="64"/>
      <c r="AW34" s="64"/>
      <c r="AX34" s="64"/>
      <c r="AY34" s="64"/>
      <c r="AZ34" s="64"/>
      <c r="BA34" s="64"/>
      <c r="BB34" s="64"/>
    </row>
    <row r="35" spans="1:54" ht="15" customHeight="1">
      <c r="A35" s="5"/>
      <c r="B35" s="5"/>
      <c r="C35" s="5"/>
      <c r="D35" s="5"/>
      <c r="E35" s="19" t="s">
        <v>429</v>
      </c>
      <c r="G35" s="5" t="str">
        <f t="shared" si="0"/>
        <v>£m 2020</v>
      </c>
      <c r="H35" s="19" t="s">
        <v>314</v>
      </c>
      <c r="I35" s="184">
        <f>ORAC_Adj</f>
        <v>-4.2855260390855774</v>
      </c>
      <c r="J35" s="15"/>
      <c r="K35" s="15"/>
      <c r="L35" s="15"/>
      <c r="M35" s="15"/>
      <c r="N35" s="15"/>
      <c r="O35" s="15"/>
      <c r="P35" s="15"/>
      <c r="Q35" s="15"/>
      <c r="R35" s="15"/>
      <c r="S35" s="15"/>
      <c r="T35" s="15"/>
      <c r="U35" s="15"/>
      <c r="V35" s="15"/>
      <c r="W35" s="15"/>
      <c r="X35" s="15"/>
      <c r="Y35" s="15"/>
      <c r="Z35" s="15"/>
      <c r="AA35" s="15"/>
      <c r="AB35" s="64"/>
      <c r="AC35" s="64"/>
      <c r="AD35" s="64"/>
      <c r="AE35" s="64"/>
      <c r="AF35" s="64"/>
      <c r="AG35" s="64"/>
      <c r="AH35" s="64"/>
      <c r="AI35" s="64"/>
      <c r="AJ35" s="64"/>
      <c r="AK35" s="64"/>
      <c r="AL35" s="64"/>
      <c r="AM35" s="64"/>
      <c r="AN35" s="64"/>
      <c r="AO35" s="64"/>
      <c r="AP35" s="64"/>
      <c r="AQ35" s="64"/>
      <c r="AR35" s="64"/>
      <c r="AS35" s="64"/>
      <c r="AT35" s="64"/>
      <c r="AU35" s="64"/>
      <c r="AV35" s="64"/>
      <c r="AW35" s="64"/>
      <c r="AX35" s="64"/>
      <c r="AY35" s="64"/>
      <c r="AZ35" s="64"/>
      <c r="BA35" s="64"/>
      <c r="BB35" s="64"/>
    </row>
    <row r="36" spans="1:54" ht="15" customHeight="1">
      <c r="A36" s="5"/>
      <c r="B36" s="5"/>
      <c r="C36" s="5"/>
      <c r="D36" s="5"/>
      <c r="E36" s="19" t="s">
        <v>430</v>
      </c>
      <c r="G36" s="5" t="str">
        <f t="shared" si="0"/>
        <v>£m 2020</v>
      </c>
      <c r="H36" s="19" t="s">
        <v>316</v>
      </c>
      <c r="I36" s="184">
        <f>ORANF_Adj</f>
        <v>-4.187678381962769</v>
      </c>
      <c r="J36" s="15"/>
      <c r="K36" s="15"/>
      <c r="L36" s="15"/>
      <c r="M36" s="15"/>
      <c r="N36" s="15"/>
      <c r="O36" s="15"/>
      <c r="P36" s="15"/>
      <c r="Q36" s="15"/>
      <c r="R36" s="15"/>
      <c r="S36" s="15"/>
      <c r="T36" s="15"/>
      <c r="U36" s="15"/>
      <c r="V36" s="15"/>
      <c r="W36" s="15"/>
      <c r="X36" s="15"/>
      <c r="Y36" s="15"/>
      <c r="Z36" s="15"/>
      <c r="AA36" s="15"/>
      <c r="AB36" s="64"/>
      <c r="AC36" s="64"/>
      <c r="AD36" s="64"/>
      <c r="AE36" s="64"/>
      <c r="AF36" s="64"/>
      <c r="AG36" s="64"/>
      <c r="AH36" s="64"/>
      <c r="AI36" s="64"/>
      <c r="AJ36" s="64"/>
      <c r="AK36" s="64"/>
      <c r="AL36" s="64"/>
      <c r="AM36" s="64"/>
      <c r="AN36" s="64"/>
      <c r="AO36" s="64"/>
      <c r="AP36" s="64"/>
      <c r="AQ36" s="64"/>
      <c r="AR36" s="64"/>
      <c r="AS36" s="64"/>
      <c r="AT36" s="64"/>
      <c r="AU36" s="64"/>
      <c r="AV36" s="64"/>
      <c r="AW36" s="64"/>
      <c r="AX36" s="64"/>
      <c r="AY36" s="64"/>
      <c r="AZ36" s="64"/>
      <c r="BA36" s="64"/>
      <c r="BB36" s="64"/>
    </row>
    <row r="37" spans="1:54" ht="15" customHeight="1">
      <c r="A37" s="5"/>
      <c r="B37" s="5"/>
      <c r="C37" s="5"/>
      <c r="D37" s="5"/>
      <c r="E37" s="19" t="s">
        <v>431</v>
      </c>
      <c r="G37" s="5" t="str">
        <f t="shared" si="0"/>
        <v>£m 2020</v>
      </c>
      <c r="H37" s="19" t="s">
        <v>318</v>
      </c>
      <c r="I37" s="184">
        <f>ORAAF_Adj</f>
        <v>-4.1840731663332367</v>
      </c>
      <c r="J37" s="15"/>
      <c r="K37" s="15"/>
      <c r="L37" s="15"/>
      <c r="M37" s="15"/>
      <c r="N37" s="15"/>
      <c r="O37" s="15"/>
      <c r="P37" s="15"/>
      <c r="Q37" s="15"/>
      <c r="R37" s="15"/>
      <c r="S37" s="15"/>
      <c r="T37" s="15"/>
      <c r="U37" s="15"/>
      <c r="V37" s="15"/>
      <c r="W37" s="15"/>
      <c r="X37" s="15"/>
      <c r="Y37" s="15"/>
      <c r="Z37" s="15"/>
      <c r="AA37" s="15"/>
      <c r="AB37" s="64"/>
      <c r="AC37" s="64"/>
      <c r="AD37" s="64"/>
      <c r="AE37" s="64"/>
      <c r="AF37" s="64"/>
      <c r="AG37" s="64"/>
      <c r="AH37" s="64"/>
      <c r="AI37" s="64"/>
      <c r="AJ37" s="64"/>
      <c r="AK37" s="64"/>
      <c r="AL37" s="64"/>
      <c r="AM37" s="64"/>
      <c r="AN37" s="64"/>
      <c r="AO37" s="64"/>
      <c r="AP37" s="64"/>
      <c r="AQ37" s="64"/>
      <c r="AR37" s="64"/>
      <c r="AS37" s="64"/>
      <c r="AT37" s="64"/>
      <c r="AU37" s="64"/>
      <c r="AV37" s="64"/>
      <c r="AW37" s="64"/>
      <c r="AX37" s="64"/>
      <c r="AY37" s="64"/>
      <c r="AZ37" s="64"/>
      <c r="BA37" s="64"/>
      <c r="BB37" s="64"/>
    </row>
    <row r="38" spans="1:54" ht="15" customHeight="1">
      <c r="A38" s="5"/>
      <c r="B38" s="5"/>
      <c r="C38" s="5"/>
      <c r="D38" s="5"/>
      <c r="E38" s="19" t="s">
        <v>432</v>
      </c>
      <c r="G38" s="5" t="str">
        <f t="shared" si="0"/>
        <v>£m 2020</v>
      </c>
      <c r="H38" s="19" t="s">
        <v>326</v>
      </c>
      <c r="I38" s="184">
        <f>DCC_Adj_Latest</f>
        <v>-4.8651501771587446E-2</v>
      </c>
      <c r="J38" s="15"/>
      <c r="K38" s="15"/>
      <c r="L38" s="15"/>
      <c r="M38" s="15"/>
      <c r="N38" s="15"/>
      <c r="O38" s="15"/>
      <c r="P38" s="15"/>
      <c r="Q38" s="15"/>
      <c r="R38" s="15"/>
      <c r="S38" s="15"/>
      <c r="T38" s="15"/>
      <c r="U38" s="15"/>
      <c r="V38" s="15"/>
      <c r="W38" s="15"/>
      <c r="X38" s="15"/>
      <c r="Y38" s="15"/>
      <c r="Z38" s="15"/>
      <c r="AA38" s="15"/>
      <c r="AB38" s="64"/>
      <c r="AC38" s="64"/>
      <c r="AD38" s="64"/>
      <c r="AE38" s="64"/>
      <c r="AF38" s="64"/>
      <c r="AG38" s="64"/>
      <c r="AH38" s="64"/>
      <c r="AI38" s="64"/>
      <c r="AJ38" s="64"/>
      <c r="AK38" s="64"/>
      <c r="AL38" s="64"/>
      <c r="AM38" s="64"/>
      <c r="AN38" s="64"/>
      <c r="AO38" s="64"/>
      <c r="AP38" s="64"/>
      <c r="AQ38" s="64"/>
      <c r="AR38" s="64"/>
      <c r="AS38" s="64"/>
      <c r="AT38" s="64"/>
      <c r="AU38" s="64"/>
      <c r="AV38" s="64"/>
      <c r="AW38" s="64"/>
      <c r="AX38" s="64"/>
      <c r="AY38" s="64"/>
      <c r="AZ38" s="64"/>
      <c r="BA38" s="64"/>
      <c r="BB38" s="64"/>
    </row>
    <row r="39" spans="1:54" ht="15" customHeight="1">
      <c r="A39" s="5"/>
      <c r="B39" s="5"/>
      <c r="C39" s="5"/>
      <c r="D39" s="5"/>
      <c r="E39" s="19" t="s">
        <v>433</v>
      </c>
      <c r="G39" s="5" t="str">
        <f t="shared" si="0"/>
        <v>£m 2020</v>
      </c>
      <c r="H39" s="19" t="s">
        <v>328</v>
      </c>
      <c r="I39" s="184">
        <f>DCF_Adj_Latest</f>
        <v>-0.15508095307810627</v>
      </c>
      <c r="J39" s="15"/>
      <c r="K39" s="15"/>
      <c r="L39" s="15"/>
      <c r="M39" s="15"/>
      <c r="N39" s="15"/>
      <c r="O39" s="15"/>
      <c r="P39" s="15"/>
      <c r="Q39" s="15"/>
      <c r="R39" s="15"/>
      <c r="S39" s="15"/>
      <c r="T39" s="15"/>
      <c r="U39" s="15"/>
      <c r="V39" s="15"/>
      <c r="W39" s="15"/>
      <c r="X39" s="15"/>
      <c r="Y39" s="15"/>
      <c r="Z39" s="15"/>
      <c r="AA39" s="15"/>
      <c r="AB39" s="64"/>
      <c r="AC39" s="64"/>
      <c r="AD39" s="64"/>
      <c r="AE39" s="64"/>
      <c r="AF39" s="64"/>
      <c r="AG39" s="64"/>
      <c r="AH39" s="64"/>
      <c r="AI39" s="64"/>
      <c r="AJ39" s="64"/>
      <c r="AK39" s="64"/>
      <c r="AL39" s="64"/>
      <c r="AM39" s="64"/>
      <c r="AN39" s="64"/>
      <c r="AO39" s="64"/>
      <c r="AP39" s="64"/>
      <c r="AQ39" s="64"/>
      <c r="AR39" s="64"/>
      <c r="AS39" s="64"/>
      <c r="AT39" s="64"/>
      <c r="AU39" s="64"/>
      <c r="AV39" s="64"/>
      <c r="AW39" s="64"/>
      <c r="AX39" s="64"/>
      <c r="AY39" s="64"/>
      <c r="AZ39" s="64"/>
      <c r="BA39" s="64"/>
      <c r="BB39" s="64"/>
    </row>
    <row r="40" spans="1:54" ht="15" customHeight="1">
      <c r="A40" s="5"/>
      <c r="B40" s="5"/>
      <c r="C40" s="5"/>
      <c r="D40" s="5"/>
      <c r="E40" s="19" t="s">
        <v>434</v>
      </c>
      <c r="G40" s="5" t="str">
        <f t="shared" si="0"/>
        <v>£m 2020</v>
      </c>
      <c r="H40" s="19" t="s">
        <v>330</v>
      </c>
      <c r="I40" s="184">
        <f>Inputs!I208</f>
        <v>-0.16041061662676345</v>
      </c>
      <c r="J40" s="15"/>
      <c r="K40" s="15"/>
      <c r="L40" s="15"/>
      <c r="M40" s="15"/>
      <c r="N40" s="15"/>
      <c r="O40" s="15"/>
      <c r="P40" s="15"/>
      <c r="Q40" s="15"/>
      <c r="R40" s="15"/>
      <c r="S40" s="15"/>
      <c r="T40" s="15"/>
      <c r="U40" s="15"/>
      <c r="V40" s="15"/>
      <c r="W40" s="15"/>
      <c r="X40" s="15"/>
      <c r="Y40" s="15"/>
      <c r="Z40" s="15"/>
      <c r="AA40" s="15"/>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row>
    <row r="41" spans="1:54" ht="15" customHeight="1">
      <c r="A41" s="5"/>
      <c r="B41" s="5"/>
      <c r="C41" s="5"/>
      <c r="D41" s="5"/>
      <c r="E41" s="19" t="s">
        <v>435</v>
      </c>
      <c r="G41" s="5" t="str">
        <f t="shared" si="0"/>
        <v>£m 2020</v>
      </c>
      <c r="H41" s="19" t="s">
        <v>326</v>
      </c>
      <c r="I41" s="190">
        <f>DCC_Adj_1st</f>
        <v>0</v>
      </c>
      <c r="J41" s="15"/>
      <c r="K41" s="15"/>
      <c r="L41" s="15"/>
      <c r="M41" s="15"/>
      <c r="N41" s="15"/>
      <c r="O41" s="15"/>
      <c r="P41" s="15"/>
      <c r="Q41" s="15"/>
      <c r="R41" s="15"/>
      <c r="S41" s="15"/>
      <c r="T41" s="15"/>
      <c r="U41" s="15"/>
      <c r="V41" s="15"/>
      <c r="W41" s="15"/>
      <c r="X41" s="15"/>
      <c r="Y41" s="15"/>
      <c r="Z41" s="15"/>
      <c r="AA41" s="15"/>
      <c r="AB41" s="64"/>
      <c r="AC41" s="64"/>
      <c r="AD41" s="64"/>
      <c r="AE41" s="64"/>
      <c r="AF41" s="64"/>
      <c r="AG41" s="64"/>
      <c r="AH41" s="64"/>
      <c r="AI41" s="64"/>
      <c r="AJ41" s="64"/>
      <c r="AK41" s="64"/>
      <c r="AL41" s="64"/>
      <c r="AM41" s="64"/>
      <c r="AN41" s="64"/>
      <c r="AO41" s="64"/>
      <c r="AP41" s="64"/>
      <c r="AQ41" s="64"/>
      <c r="AR41" s="64"/>
      <c r="AS41" s="64"/>
      <c r="AT41" s="64"/>
      <c r="AU41" s="64"/>
      <c r="AV41" s="64"/>
      <c r="AW41" s="64"/>
      <c r="AX41" s="64"/>
      <c r="AY41" s="64"/>
      <c r="AZ41" s="64"/>
      <c r="BA41" s="64"/>
      <c r="BB41" s="64"/>
    </row>
    <row r="42" spans="1:54" ht="15" customHeight="1">
      <c r="A42" s="5"/>
      <c r="B42" s="5"/>
      <c r="C42" s="5"/>
      <c r="D42" s="5"/>
      <c r="E42" s="19" t="s">
        <v>436</v>
      </c>
      <c r="G42" s="5" t="str">
        <f t="shared" si="0"/>
        <v>£m 2020</v>
      </c>
      <c r="H42" s="19" t="s">
        <v>328</v>
      </c>
      <c r="I42" s="190">
        <f>DCF_Adj_1st</f>
        <v>0</v>
      </c>
      <c r="J42" s="15"/>
      <c r="K42" s="15"/>
      <c r="L42" s="15"/>
      <c r="M42" s="15"/>
      <c r="N42" s="15"/>
      <c r="O42" s="15"/>
      <c r="P42" s="15"/>
      <c r="Q42" s="15"/>
      <c r="R42" s="15"/>
      <c r="S42" s="15"/>
      <c r="T42" s="15"/>
      <c r="U42" s="15"/>
      <c r="V42" s="15"/>
      <c r="W42" s="15"/>
      <c r="X42" s="15"/>
      <c r="Y42" s="15"/>
      <c r="Z42" s="15"/>
      <c r="AA42" s="15"/>
      <c r="AB42" s="64"/>
      <c r="AC42" s="64"/>
      <c r="AD42" s="64"/>
      <c r="AE42" s="64"/>
      <c r="AF42" s="64"/>
      <c r="AG42" s="64"/>
      <c r="AH42" s="64"/>
      <c r="AI42" s="64"/>
      <c r="AJ42" s="64"/>
      <c r="AK42" s="64"/>
      <c r="AL42" s="64"/>
      <c r="AM42" s="64"/>
      <c r="AN42" s="64"/>
      <c r="AO42" s="64"/>
      <c r="AP42" s="64"/>
      <c r="AQ42" s="64"/>
      <c r="AR42" s="64"/>
      <c r="AS42" s="64"/>
      <c r="AT42" s="64"/>
      <c r="AU42" s="64"/>
      <c r="AV42" s="64"/>
      <c r="AW42" s="64"/>
      <c r="AX42" s="64"/>
      <c r="AY42" s="64"/>
      <c r="AZ42" s="64"/>
      <c r="BA42" s="64"/>
      <c r="BB42" s="64"/>
    </row>
    <row r="43" spans="1:54" ht="15" customHeight="1">
      <c r="A43" s="5"/>
      <c r="B43" s="5"/>
      <c r="C43" s="5"/>
      <c r="D43" s="5"/>
      <c r="E43" s="19" t="s">
        <v>437</v>
      </c>
      <c r="G43" s="5" t="str">
        <f t="shared" si="0"/>
        <v>£m 2020</v>
      </c>
      <c r="H43" s="19" t="s">
        <v>330</v>
      </c>
      <c r="I43" s="190">
        <f>Inputs!I216</f>
        <v>0</v>
      </c>
      <c r="J43" s="15"/>
      <c r="K43" s="15"/>
      <c r="L43" s="15"/>
      <c r="M43" s="15"/>
      <c r="N43" s="15"/>
      <c r="O43" s="15"/>
      <c r="P43" s="15"/>
      <c r="Q43" s="15"/>
      <c r="R43" s="15"/>
      <c r="S43" s="15"/>
      <c r="T43" s="15"/>
      <c r="U43" s="15"/>
      <c r="V43" s="15"/>
      <c r="W43" s="15"/>
      <c r="X43" s="15"/>
      <c r="Y43" s="15"/>
      <c r="Z43" s="15"/>
      <c r="AA43" s="15"/>
      <c r="AB43" s="64"/>
      <c r="AC43" s="64"/>
      <c r="AD43" s="64"/>
      <c r="AE43" s="64"/>
      <c r="AF43" s="64"/>
      <c r="AG43" s="64"/>
      <c r="AH43" s="64"/>
      <c r="AI43" s="64"/>
      <c r="AJ43" s="64"/>
      <c r="AK43" s="64"/>
      <c r="AL43" s="64"/>
      <c r="AM43" s="64"/>
      <c r="AN43" s="64"/>
      <c r="AO43" s="64"/>
      <c r="AP43" s="64"/>
      <c r="AQ43" s="64"/>
      <c r="AR43" s="64"/>
      <c r="AS43" s="64"/>
      <c r="AT43" s="64"/>
      <c r="AU43" s="64"/>
      <c r="AV43" s="64"/>
      <c r="AW43" s="64"/>
      <c r="AX43" s="64"/>
      <c r="AY43" s="64"/>
      <c r="AZ43" s="64"/>
      <c r="BA43" s="64"/>
      <c r="BB43" s="64"/>
    </row>
    <row r="44" spans="1:54" ht="15" customHeight="1">
      <c r="A44" s="5"/>
      <c r="B44" s="5"/>
      <c r="C44" s="5"/>
      <c r="D44" s="5"/>
      <c r="E44" s="19" t="s">
        <v>438</v>
      </c>
      <c r="G44" s="5" t="str">
        <f t="shared" si="0"/>
        <v>£m 2020</v>
      </c>
      <c r="H44" s="19" t="s">
        <v>326</v>
      </c>
      <c r="I44" s="190">
        <f>DCC_Adj_2nd</f>
        <v>0</v>
      </c>
      <c r="J44" s="15"/>
      <c r="K44" s="15"/>
      <c r="L44" s="15"/>
      <c r="M44" s="15"/>
      <c r="N44" s="15"/>
      <c r="O44" s="15"/>
      <c r="P44" s="15"/>
      <c r="Q44" s="15"/>
      <c r="R44" s="15"/>
      <c r="S44" s="15"/>
      <c r="T44" s="15"/>
      <c r="U44" s="15"/>
      <c r="V44" s="15"/>
      <c r="W44" s="15"/>
      <c r="X44" s="15"/>
      <c r="Y44" s="15"/>
      <c r="Z44" s="15"/>
      <c r="AA44" s="15"/>
      <c r="AB44" s="64"/>
      <c r="AC44" s="64"/>
      <c r="AD44" s="64"/>
      <c r="AE44" s="64"/>
      <c r="AF44" s="64"/>
      <c r="AG44" s="64"/>
      <c r="AH44" s="64"/>
      <c r="AI44" s="64"/>
      <c r="AJ44" s="64"/>
      <c r="AK44" s="64"/>
      <c r="AL44" s="64"/>
      <c r="AM44" s="64"/>
      <c r="AN44" s="64"/>
      <c r="AO44" s="64"/>
      <c r="AP44" s="64"/>
      <c r="AQ44" s="64"/>
      <c r="AR44" s="64"/>
      <c r="AS44" s="64"/>
      <c r="AT44" s="64"/>
      <c r="AU44" s="64"/>
      <c r="AV44" s="64"/>
      <c r="AW44" s="64"/>
      <c r="AX44" s="64"/>
      <c r="AY44" s="64"/>
      <c r="AZ44" s="64"/>
      <c r="BA44" s="64"/>
      <c r="BB44" s="64"/>
    </row>
    <row r="45" spans="1:54" ht="15" customHeight="1">
      <c r="A45" s="5"/>
      <c r="B45" s="5"/>
      <c r="C45" s="5"/>
      <c r="D45" s="5"/>
      <c r="E45" s="19" t="s">
        <v>439</v>
      </c>
      <c r="G45" s="5" t="str">
        <f t="shared" si="0"/>
        <v>£m 2020</v>
      </c>
      <c r="H45" s="19" t="s">
        <v>328</v>
      </c>
      <c r="I45" s="190">
        <f>DCF_Adj_2nd</f>
        <v>0</v>
      </c>
      <c r="J45" s="15"/>
      <c r="K45" s="15"/>
      <c r="L45" s="15"/>
      <c r="M45" s="15"/>
      <c r="N45" s="15"/>
      <c r="O45" s="15"/>
      <c r="P45" s="15"/>
      <c r="Q45" s="15"/>
      <c r="R45" s="15"/>
      <c r="S45" s="15"/>
      <c r="T45" s="15"/>
      <c r="U45" s="15"/>
      <c r="V45" s="15"/>
      <c r="W45" s="15"/>
      <c r="X45" s="15"/>
      <c r="Y45" s="15"/>
      <c r="Z45" s="15"/>
      <c r="AA45" s="15"/>
      <c r="AB45" s="64"/>
      <c r="AC45" s="64"/>
      <c r="AD45" s="64"/>
      <c r="AE45" s="64"/>
      <c r="AF45" s="64"/>
      <c r="AG45" s="64"/>
      <c r="AH45" s="64"/>
      <c r="AI45" s="64"/>
      <c r="AJ45" s="64"/>
      <c r="AK45" s="64"/>
      <c r="AL45" s="64"/>
      <c r="AM45" s="64"/>
      <c r="AN45" s="64"/>
      <c r="AO45" s="64"/>
      <c r="AP45" s="64"/>
      <c r="AQ45" s="64"/>
      <c r="AR45" s="64"/>
      <c r="AS45" s="64"/>
      <c r="AT45" s="64"/>
      <c r="AU45" s="64"/>
      <c r="AV45" s="64"/>
      <c r="AW45" s="64"/>
      <c r="AX45" s="64"/>
      <c r="AY45" s="64"/>
      <c r="AZ45" s="64"/>
      <c r="BA45" s="64"/>
      <c r="BB45" s="64"/>
    </row>
    <row r="46" spans="1:54" ht="15" customHeight="1">
      <c r="A46" s="5"/>
      <c r="B46" s="5"/>
      <c r="C46" s="5"/>
      <c r="D46" s="5"/>
      <c r="E46" s="19" t="s">
        <v>440</v>
      </c>
      <c r="G46" s="5" t="str">
        <f t="shared" si="0"/>
        <v>£m 2020</v>
      </c>
      <c r="H46" s="19" t="s">
        <v>330</v>
      </c>
      <c r="I46" s="190">
        <f>Inputs!I222</f>
        <v>0</v>
      </c>
      <c r="J46" s="15"/>
      <c r="K46" s="15"/>
      <c r="L46" s="15"/>
      <c r="M46" s="15"/>
      <c r="N46" s="15"/>
      <c r="O46" s="15"/>
      <c r="P46" s="15"/>
      <c r="Q46" s="15"/>
      <c r="R46" s="15"/>
      <c r="S46" s="15"/>
      <c r="T46" s="15"/>
      <c r="U46" s="15"/>
      <c r="V46" s="15"/>
      <c r="W46" s="15"/>
      <c r="X46" s="15"/>
      <c r="Y46" s="15"/>
      <c r="Z46" s="15"/>
      <c r="AA46" s="15"/>
      <c r="AB46" s="64"/>
      <c r="AC46" s="64"/>
      <c r="AD46" s="64"/>
      <c r="AE46" s="64"/>
      <c r="AF46" s="64"/>
      <c r="AG46" s="64"/>
      <c r="AH46" s="64"/>
      <c r="AI46" s="64"/>
      <c r="AJ46" s="64"/>
      <c r="AK46" s="64"/>
      <c r="AL46" s="64"/>
      <c r="AM46" s="64"/>
      <c r="AN46" s="64"/>
      <c r="AO46" s="64"/>
      <c r="AP46" s="64"/>
      <c r="AQ46" s="64"/>
      <c r="AR46" s="64"/>
      <c r="AS46" s="64"/>
      <c r="AT46" s="64"/>
      <c r="AU46" s="64"/>
      <c r="AV46" s="64"/>
      <c r="AW46" s="64"/>
      <c r="AX46" s="64"/>
      <c r="AY46" s="64"/>
      <c r="AZ46" s="64"/>
      <c r="BA46" s="64"/>
      <c r="BB46" s="64"/>
    </row>
    <row r="47" spans="1:54" ht="15" customHeight="1">
      <c r="A47" s="5"/>
      <c r="B47" s="5"/>
      <c r="C47" s="5"/>
      <c r="D47" s="5"/>
      <c r="E47" s="19" t="s">
        <v>441</v>
      </c>
      <c r="G47" s="5" t="str">
        <f t="shared" si="0"/>
        <v>£m 2020</v>
      </c>
      <c r="H47" s="19" t="s">
        <v>326</v>
      </c>
      <c r="I47" s="190">
        <f>DCC_Adj_3rd</f>
        <v>0</v>
      </c>
      <c r="J47" s="15"/>
      <c r="K47" s="15"/>
      <c r="L47" s="15"/>
      <c r="M47" s="15"/>
      <c r="N47" s="15"/>
      <c r="O47" s="15"/>
      <c r="P47" s="15"/>
      <c r="Q47" s="15"/>
      <c r="R47" s="15"/>
      <c r="S47" s="15"/>
      <c r="T47" s="15"/>
      <c r="U47" s="15"/>
      <c r="V47" s="15"/>
      <c r="W47" s="15"/>
      <c r="X47" s="15"/>
      <c r="Y47" s="15"/>
      <c r="Z47" s="15"/>
      <c r="AA47" s="15"/>
      <c r="AB47" s="64"/>
      <c r="AC47" s="64"/>
      <c r="AD47" s="64"/>
      <c r="AE47" s="64"/>
      <c r="AF47" s="64"/>
      <c r="AG47" s="64"/>
      <c r="AH47" s="64"/>
      <c r="AI47" s="64"/>
      <c r="AJ47" s="64"/>
      <c r="AK47" s="64"/>
      <c r="AL47" s="64"/>
      <c r="AM47" s="64"/>
      <c r="AN47" s="64"/>
      <c r="AO47" s="64"/>
      <c r="AP47" s="64"/>
      <c r="AQ47" s="64"/>
      <c r="AR47" s="64"/>
      <c r="AS47" s="64"/>
      <c r="AT47" s="64"/>
      <c r="AU47" s="64"/>
      <c r="AV47" s="64"/>
      <c r="AW47" s="64"/>
      <c r="AX47" s="64"/>
      <c r="AY47" s="64"/>
      <c r="AZ47" s="64"/>
      <c r="BA47" s="64"/>
      <c r="BB47" s="64"/>
    </row>
    <row r="48" spans="1:54" ht="15" customHeight="1">
      <c r="A48" s="5"/>
      <c r="B48" s="5"/>
      <c r="C48" s="5"/>
      <c r="D48" s="5"/>
      <c r="E48" s="19" t="s">
        <v>442</v>
      </c>
      <c r="G48" s="5" t="str">
        <f t="shared" si="0"/>
        <v>£m 2020</v>
      </c>
      <c r="H48" s="19" t="s">
        <v>328</v>
      </c>
      <c r="I48" s="190">
        <f>DCF_Adj_3rd</f>
        <v>0</v>
      </c>
      <c r="J48" s="15"/>
      <c r="K48" s="15"/>
      <c r="L48" s="15"/>
      <c r="M48" s="15"/>
      <c r="N48" s="15"/>
      <c r="O48" s="15"/>
      <c r="P48" s="15"/>
      <c r="Q48" s="15"/>
      <c r="R48" s="15"/>
      <c r="S48" s="15"/>
      <c r="T48" s="15"/>
      <c r="U48" s="15"/>
      <c r="V48" s="15"/>
      <c r="W48" s="15"/>
      <c r="X48" s="15"/>
      <c r="Y48" s="15"/>
      <c r="Z48" s="15"/>
      <c r="AA48" s="15"/>
      <c r="AB48" s="64"/>
      <c r="AC48" s="64"/>
      <c r="AD48" s="64"/>
      <c r="AE48" s="64"/>
      <c r="AF48" s="64"/>
      <c r="AG48" s="64"/>
      <c r="AH48" s="64"/>
      <c r="AI48" s="64"/>
      <c r="AJ48" s="64"/>
      <c r="AK48" s="64"/>
      <c r="AL48" s="64"/>
      <c r="AM48" s="64"/>
      <c r="AN48" s="64"/>
      <c r="AO48" s="64"/>
      <c r="AP48" s="64"/>
      <c r="AQ48" s="64"/>
      <c r="AR48" s="64"/>
      <c r="AS48" s="64"/>
      <c r="AT48" s="64"/>
      <c r="AU48" s="64"/>
      <c r="AV48" s="64"/>
      <c r="AW48" s="64"/>
      <c r="AX48" s="64"/>
      <c r="AY48" s="64"/>
      <c r="AZ48" s="64"/>
      <c r="BA48" s="64"/>
      <c r="BB48" s="64"/>
    </row>
    <row r="49" spans="1:54" ht="15" customHeight="1">
      <c r="A49" s="5"/>
      <c r="B49" s="5"/>
      <c r="C49" s="5"/>
      <c r="D49" s="5"/>
      <c r="E49" s="19" t="s">
        <v>443</v>
      </c>
      <c r="G49" s="5" t="str">
        <f t="shared" si="0"/>
        <v>£m 2020</v>
      </c>
      <c r="H49" s="19" t="s">
        <v>330</v>
      </c>
      <c r="I49" s="190">
        <f>Inputs!I228</f>
        <v>0</v>
      </c>
      <c r="J49" s="15"/>
      <c r="K49" s="15"/>
      <c r="L49" s="15"/>
      <c r="M49" s="15"/>
      <c r="N49" s="15"/>
      <c r="O49" s="15"/>
      <c r="P49" s="15"/>
      <c r="Q49" s="15"/>
      <c r="R49" s="15"/>
      <c r="S49" s="15"/>
      <c r="T49" s="15"/>
      <c r="U49" s="15"/>
      <c r="V49" s="15"/>
      <c r="W49" s="15"/>
      <c r="X49" s="15"/>
      <c r="Y49" s="15"/>
      <c r="Z49" s="15"/>
      <c r="AA49" s="15"/>
      <c r="AB49" s="64"/>
      <c r="AC49" s="64"/>
      <c r="AD49" s="64"/>
      <c r="AE49" s="64"/>
      <c r="AF49" s="64"/>
      <c r="AG49" s="64"/>
      <c r="AH49" s="64"/>
      <c r="AI49" s="64"/>
      <c r="AJ49" s="64"/>
      <c r="AK49" s="64"/>
      <c r="AL49" s="64"/>
      <c r="AM49" s="64"/>
      <c r="AN49" s="64"/>
      <c r="AO49" s="64"/>
      <c r="AP49" s="64"/>
      <c r="AQ49" s="64"/>
      <c r="AR49" s="64"/>
      <c r="AS49" s="64"/>
      <c r="AT49" s="64"/>
      <c r="AU49" s="64"/>
      <c r="AV49" s="64"/>
      <c r="AW49" s="64"/>
      <c r="AX49" s="64"/>
      <c r="AY49" s="64"/>
      <c r="AZ49" s="64"/>
      <c r="BA49" s="64"/>
      <c r="BB49" s="64"/>
    </row>
    <row r="50" spans="1:54" ht="15" customHeight="1">
      <c r="A50" s="5"/>
      <c r="B50" s="5"/>
      <c r="C50" s="5"/>
      <c r="D50" s="5"/>
      <c r="E50" s="19" t="s">
        <v>444</v>
      </c>
      <c r="G50" s="5" t="str">
        <f t="shared" si="0"/>
        <v>£m 2020</v>
      </c>
      <c r="H50" s="19" t="s">
        <v>326</v>
      </c>
      <c r="I50" s="190">
        <f>DCC_Adj_4th</f>
        <v>0</v>
      </c>
      <c r="J50" s="15"/>
      <c r="K50" s="15"/>
      <c r="L50" s="15"/>
      <c r="M50" s="15"/>
      <c r="N50" s="15"/>
      <c r="O50" s="15"/>
      <c r="P50" s="15"/>
      <c r="Q50" s="15"/>
      <c r="R50" s="15"/>
      <c r="S50" s="15"/>
      <c r="T50" s="15"/>
      <c r="U50" s="15"/>
      <c r="V50" s="15"/>
      <c r="W50" s="15"/>
      <c r="X50" s="15"/>
      <c r="Y50" s="15"/>
      <c r="Z50" s="15"/>
      <c r="AA50" s="15"/>
      <c r="AB50" s="64"/>
      <c r="AC50" s="64"/>
      <c r="AD50" s="64"/>
      <c r="AE50" s="64"/>
      <c r="AF50" s="64"/>
      <c r="AG50" s="64"/>
      <c r="AH50" s="64"/>
      <c r="AI50" s="64"/>
      <c r="AJ50" s="64"/>
      <c r="AK50" s="64"/>
      <c r="AL50" s="64"/>
      <c r="AM50" s="64"/>
      <c r="AN50" s="64"/>
      <c r="AO50" s="64"/>
      <c r="AP50" s="64"/>
      <c r="AQ50" s="64"/>
      <c r="AR50" s="64"/>
      <c r="AS50" s="64"/>
      <c r="AT50" s="64"/>
      <c r="AU50" s="64"/>
      <c r="AV50" s="64"/>
      <c r="AW50" s="64"/>
      <c r="AX50" s="64"/>
      <c r="AY50" s="64"/>
      <c r="AZ50" s="64"/>
      <c r="BA50" s="64"/>
      <c r="BB50" s="64"/>
    </row>
    <row r="51" spans="1:54" ht="15" customHeight="1">
      <c r="A51" s="5"/>
      <c r="B51" s="5"/>
      <c r="C51" s="5"/>
      <c r="D51" s="5"/>
      <c r="E51" s="19" t="s">
        <v>445</v>
      </c>
      <c r="G51" s="5" t="str">
        <f t="shared" si="0"/>
        <v>£m 2020</v>
      </c>
      <c r="H51" s="19" t="s">
        <v>328</v>
      </c>
      <c r="I51" s="190">
        <f>DCF_Adj_4th</f>
        <v>0</v>
      </c>
      <c r="J51" s="15"/>
      <c r="K51" s="15"/>
      <c r="L51" s="15"/>
      <c r="M51" s="15"/>
      <c r="N51" s="15"/>
      <c r="O51" s="15"/>
      <c r="P51" s="15"/>
      <c r="Q51" s="15"/>
      <c r="R51" s="15"/>
      <c r="S51" s="15"/>
      <c r="T51" s="15"/>
      <c r="U51" s="15"/>
      <c r="V51" s="15"/>
      <c r="W51" s="15"/>
      <c r="X51" s="15"/>
      <c r="Y51" s="15"/>
      <c r="Z51" s="15"/>
      <c r="AA51" s="15"/>
      <c r="AB51" s="64"/>
      <c r="AC51" s="64"/>
      <c r="AD51" s="64"/>
      <c r="AE51" s="64"/>
      <c r="AF51" s="64"/>
      <c r="AG51" s="64"/>
      <c r="AH51" s="64"/>
      <c r="AI51" s="64"/>
      <c r="AJ51" s="64"/>
      <c r="AK51" s="64"/>
      <c r="AL51" s="64"/>
      <c r="AM51" s="64"/>
      <c r="AN51" s="64"/>
      <c r="AO51" s="64"/>
      <c r="AP51" s="64"/>
      <c r="AQ51" s="64"/>
      <c r="AR51" s="64"/>
      <c r="AS51" s="64"/>
      <c r="AT51" s="64"/>
      <c r="AU51" s="64"/>
      <c r="AV51" s="64"/>
      <c r="AW51" s="64"/>
      <c r="AX51" s="64"/>
      <c r="AY51" s="64"/>
      <c r="AZ51" s="64"/>
      <c r="BA51" s="64"/>
      <c r="BB51" s="64"/>
    </row>
    <row r="52" spans="1:54" ht="15" customHeight="1">
      <c r="A52" s="5"/>
      <c r="B52" s="5"/>
      <c r="C52" s="5"/>
      <c r="D52" s="5"/>
      <c r="E52" s="19" t="s">
        <v>446</v>
      </c>
      <c r="G52" s="5" t="str">
        <f t="shared" si="0"/>
        <v>£m 2020</v>
      </c>
      <c r="H52" s="19" t="s">
        <v>330</v>
      </c>
      <c r="I52" s="190">
        <f>Inputs!I234</f>
        <v>0</v>
      </c>
      <c r="J52" s="15"/>
      <c r="K52" s="15"/>
      <c r="L52" s="15"/>
      <c r="M52" s="15"/>
      <c r="N52" s="15"/>
      <c r="O52" s="15"/>
      <c r="P52" s="15"/>
      <c r="Q52" s="15"/>
      <c r="R52" s="15"/>
      <c r="S52" s="15"/>
      <c r="T52" s="15"/>
      <c r="U52" s="15"/>
      <c r="V52" s="15"/>
      <c r="W52" s="15"/>
      <c r="X52" s="15"/>
      <c r="Y52" s="15"/>
      <c r="Z52" s="15"/>
      <c r="AA52" s="15"/>
      <c r="AB52" s="64"/>
      <c r="AC52" s="64"/>
      <c r="AD52" s="64"/>
      <c r="AE52" s="64"/>
      <c r="AF52" s="64"/>
      <c r="AG52" s="64"/>
      <c r="AH52" s="64"/>
      <c r="AI52" s="64"/>
      <c r="AJ52" s="64"/>
      <c r="AK52" s="64"/>
      <c r="AL52" s="64"/>
      <c r="AM52" s="64"/>
      <c r="AN52" s="64"/>
      <c r="AO52" s="64"/>
      <c r="AP52" s="64"/>
      <c r="AQ52" s="64"/>
      <c r="AR52" s="64"/>
      <c r="AS52" s="64"/>
      <c r="AT52" s="64"/>
      <c r="AU52" s="64"/>
      <c r="AV52" s="64"/>
      <c r="AW52" s="64"/>
      <c r="AX52" s="64"/>
      <c r="AY52" s="64"/>
      <c r="AZ52" s="64"/>
      <c r="BA52" s="64"/>
      <c r="BB52" s="64"/>
    </row>
    <row r="53" spans="1:54" ht="15" customHeight="1">
      <c r="A53" s="5"/>
      <c r="B53" s="5"/>
      <c r="C53" s="5"/>
      <c r="D53" s="5"/>
      <c r="J53" s="15"/>
      <c r="K53" s="15"/>
      <c r="L53" s="15"/>
      <c r="M53" s="15"/>
      <c r="N53" s="15"/>
      <c r="O53" s="15"/>
      <c r="P53" s="15"/>
      <c r="Q53" s="15"/>
      <c r="R53" s="15"/>
      <c r="S53" s="15"/>
      <c r="T53" s="15"/>
      <c r="U53" s="15"/>
      <c r="V53" s="15"/>
      <c r="W53" s="15"/>
      <c r="X53" s="15"/>
      <c r="Y53" s="15"/>
      <c r="Z53" s="15"/>
      <c r="AA53" s="15"/>
      <c r="AB53" s="15"/>
      <c r="AC53" s="15"/>
      <c r="AD53" s="15"/>
      <c r="AE53" s="15"/>
      <c r="AF53" s="15"/>
      <c r="AG53" s="15"/>
      <c r="AH53" s="15"/>
      <c r="AI53" s="15"/>
      <c r="AJ53" s="15"/>
      <c r="AK53" s="15"/>
      <c r="AL53" s="15"/>
      <c r="AM53" s="15"/>
      <c r="AN53" s="15"/>
      <c r="AO53" s="15"/>
      <c r="AP53" s="15"/>
      <c r="AQ53" s="15"/>
      <c r="AR53" s="15"/>
      <c r="AS53" s="15"/>
      <c r="AT53" s="15"/>
      <c r="AU53" s="15"/>
      <c r="AV53" s="15"/>
      <c r="AW53" s="15"/>
      <c r="AX53" s="15"/>
      <c r="AY53" s="15"/>
      <c r="AZ53" s="15"/>
      <c r="BA53" s="15"/>
      <c r="BB53" s="15"/>
    </row>
    <row r="54" spans="1:54" ht="15" customHeight="1">
      <c r="A54" s="5"/>
      <c r="B54" s="5"/>
      <c r="C54" s="5"/>
      <c r="D54" s="5"/>
      <c r="E54" s="19" t="s">
        <v>302</v>
      </c>
      <c r="G54" s="5" t="s">
        <v>188</v>
      </c>
      <c r="I54" s="191">
        <f>IF(Inputs!I177="Yes",1,0)</f>
        <v>1</v>
      </c>
      <c r="J54" s="15"/>
      <c r="K54" s="15"/>
      <c r="L54" s="15"/>
      <c r="M54" s="15"/>
      <c r="N54" s="15"/>
      <c r="O54" s="64"/>
      <c r="P54" s="64"/>
      <c r="Q54" s="64"/>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c r="AQ54" s="64"/>
      <c r="AR54" s="64"/>
      <c r="AS54" s="64"/>
      <c r="AT54" s="64"/>
      <c r="AU54" s="64"/>
      <c r="AV54" s="64"/>
      <c r="AW54" s="64"/>
      <c r="AX54" s="64"/>
      <c r="AY54" s="64"/>
      <c r="AZ54" s="64"/>
      <c r="BA54" s="64"/>
      <c r="BB54" s="64"/>
    </row>
    <row r="55" spans="1:54" ht="15" customHeight="1">
      <c r="A55" s="5"/>
      <c r="B55" s="5"/>
      <c r="C55" s="5"/>
      <c r="D55" s="5"/>
      <c r="E55" s="19" t="s">
        <v>447</v>
      </c>
      <c r="G55" s="5" t="s">
        <v>188</v>
      </c>
      <c r="J55" s="15"/>
      <c r="K55" s="15"/>
      <c r="L55" s="15"/>
      <c r="M55" s="15"/>
      <c r="N55" s="15"/>
      <c r="O55" s="31"/>
      <c r="P55" s="184">
        <f>Inputs!P178</f>
        <v>0</v>
      </c>
      <c r="Q55" s="184">
        <f>Inputs!Q178</f>
        <v>0</v>
      </c>
      <c r="R55" s="184">
        <f>Inputs!R178</f>
        <v>0</v>
      </c>
      <c r="S55" s="184">
        <f>Inputs!S178</f>
        <v>0</v>
      </c>
      <c r="T55" s="184">
        <f>Inputs!T178</f>
        <v>8.4873374401095145E-2</v>
      </c>
      <c r="U55" s="184">
        <f>Inputs!U178</f>
        <v>1</v>
      </c>
      <c r="V55" s="184">
        <f>Inputs!V178</f>
        <v>1</v>
      </c>
      <c r="W55" s="184">
        <f>Inputs!W178</f>
        <v>1</v>
      </c>
      <c r="X55" s="184">
        <f>Inputs!X178</f>
        <v>1</v>
      </c>
      <c r="Y55" s="184">
        <f>Inputs!Y178</f>
        <v>1</v>
      </c>
      <c r="Z55" s="184">
        <f>Inputs!Z178</f>
        <v>1</v>
      </c>
      <c r="AA55" s="184">
        <f>Inputs!AA178</f>
        <v>1</v>
      </c>
      <c r="AB55" s="184">
        <f>Inputs!AB178</f>
        <v>1</v>
      </c>
      <c r="AC55" s="184">
        <f>Inputs!AC178</f>
        <v>1</v>
      </c>
      <c r="AD55" s="184">
        <f>Inputs!AD178</f>
        <v>1</v>
      </c>
      <c r="AE55" s="184">
        <f>Inputs!AE178</f>
        <v>1</v>
      </c>
      <c r="AF55" s="184">
        <f>Inputs!AF178</f>
        <v>1</v>
      </c>
      <c r="AG55" s="184">
        <f>Inputs!AG178</f>
        <v>1</v>
      </c>
      <c r="AH55" s="184">
        <f>Inputs!AH178</f>
        <v>1</v>
      </c>
      <c r="AI55" s="184">
        <f>Inputs!AI178</f>
        <v>1</v>
      </c>
      <c r="AJ55" s="184">
        <f>Inputs!AJ178</f>
        <v>1</v>
      </c>
      <c r="AK55" s="184">
        <f>Inputs!AK178</f>
        <v>1</v>
      </c>
      <c r="AL55" s="184">
        <f>Inputs!AL178</f>
        <v>1</v>
      </c>
      <c r="AM55" s="184">
        <f>Inputs!AM178</f>
        <v>1</v>
      </c>
      <c r="AN55" s="184">
        <f>Inputs!AN178</f>
        <v>1</v>
      </c>
      <c r="AO55" s="184">
        <f>Inputs!AO178</f>
        <v>0.32922655715263516</v>
      </c>
      <c r="AP55" s="184">
        <f>Inputs!AP178</f>
        <v>0</v>
      </c>
      <c r="AQ55" s="184">
        <f>Inputs!AQ178</f>
        <v>0</v>
      </c>
      <c r="AR55" s="184">
        <f>Inputs!AR178</f>
        <v>0</v>
      </c>
      <c r="AS55" s="184">
        <f>Inputs!AS178</f>
        <v>0</v>
      </c>
      <c r="AT55" s="184">
        <f>Inputs!AT178</f>
        <v>0</v>
      </c>
      <c r="AU55" s="184">
        <f>Inputs!AU178</f>
        <v>0</v>
      </c>
      <c r="AV55" s="184">
        <f>Inputs!AV178</f>
        <v>0</v>
      </c>
      <c r="AW55" s="184">
        <f>Inputs!AW178</f>
        <v>0</v>
      </c>
      <c r="AX55" s="184">
        <f>Inputs!AX178</f>
        <v>0</v>
      </c>
      <c r="AY55" s="184">
        <f>Inputs!AY178</f>
        <v>0</v>
      </c>
      <c r="AZ55" s="184">
        <f>Inputs!AZ178</f>
        <v>0</v>
      </c>
      <c r="BA55" s="184">
        <f>Inputs!BA178</f>
        <v>0</v>
      </c>
      <c r="BB55" s="184">
        <f>Inputs!BB178</f>
        <v>0</v>
      </c>
    </row>
    <row r="56" spans="1:54" ht="15" customHeight="1">
      <c r="A56" s="5"/>
      <c r="B56" s="5"/>
      <c r="C56" s="5"/>
      <c r="D56" s="5"/>
      <c r="E56" s="19" t="s">
        <v>448</v>
      </c>
      <c r="G56" s="5" t="s">
        <v>188</v>
      </c>
      <c r="J56" s="15"/>
      <c r="K56" s="15"/>
      <c r="L56" s="15"/>
      <c r="M56" s="15"/>
      <c r="N56" s="15"/>
      <c r="O56" s="31"/>
      <c r="P56" s="184">
        <f>Inputs!P179</f>
        <v>0</v>
      </c>
      <c r="Q56" s="184">
        <f>Inputs!Q179</f>
        <v>0</v>
      </c>
      <c r="R56" s="184">
        <f>Inputs!R179</f>
        <v>0</v>
      </c>
      <c r="S56" s="184">
        <f>Inputs!S179</f>
        <v>0</v>
      </c>
      <c r="T56" s="184">
        <f>Inputs!T179</f>
        <v>8.4873374401095145E-2</v>
      </c>
      <c r="U56" s="184">
        <f>Inputs!U179</f>
        <v>1</v>
      </c>
      <c r="V56" s="184">
        <f>Inputs!V179</f>
        <v>1</v>
      </c>
      <c r="W56" s="184">
        <f>Inputs!W179</f>
        <v>1</v>
      </c>
      <c r="X56" s="184">
        <f>Inputs!X179</f>
        <v>1</v>
      </c>
      <c r="Y56" s="184">
        <f>Inputs!Y179</f>
        <v>1</v>
      </c>
      <c r="Z56" s="184">
        <f>Inputs!Z179</f>
        <v>1</v>
      </c>
      <c r="AA56" s="184">
        <f>Inputs!AA179</f>
        <v>1</v>
      </c>
      <c r="AB56" s="184">
        <f>Inputs!AB179</f>
        <v>1</v>
      </c>
      <c r="AC56" s="184">
        <f>Inputs!AC179</f>
        <v>1</v>
      </c>
      <c r="AD56" s="184">
        <f>Inputs!AD179</f>
        <v>1</v>
      </c>
      <c r="AE56" s="184">
        <f>Inputs!AE179</f>
        <v>1</v>
      </c>
      <c r="AF56" s="184">
        <f>Inputs!AF179</f>
        <v>1</v>
      </c>
      <c r="AG56" s="184">
        <f>Inputs!AG179</f>
        <v>1</v>
      </c>
      <c r="AH56" s="184">
        <f>Inputs!AH179</f>
        <v>1</v>
      </c>
      <c r="AI56" s="184">
        <f>Inputs!AI179</f>
        <v>1</v>
      </c>
      <c r="AJ56" s="184">
        <f>Inputs!AJ179</f>
        <v>1</v>
      </c>
      <c r="AK56" s="184">
        <f>Inputs!AK179</f>
        <v>1</v>
      </c>
      <c r="AL56" s="184">
        <f>Inputs!AL179</f>
        <v>1</v>
      </c>
      <c r="AM56" s="184">
        <f>Inputs!AM179</f>
        <v>1</v>
      </c>
      <c r="AN56" s="184">
        <f>Inputs!AN179</f>
        <v>1</v>
      </c>
      <c r="AO56" s="184">
        <f>Inputs!AO179</f>
        <v>0.32922655715263516</v>
      </c>
      <c r="AP56" s="184">
        <f>Inputs!AP179</f>
        <v>0</v>
      </c>
      <c r="AQ56" s="184">
        <f>Inputs!AQ179</f>
        <v>0</v>
      </c>
      <c r="AR56" s="184">
        <f>Inputs!AR179</f>
        <v>0</v>
      </c>
      <c r="AS56" s="184">
        <f>Inputs!AS179</f>
        <v>0</v>
      </c>
      <c r="AT56" s="184">
        <f>Inputs!AT179</f>
        <v>0</v>
      </c>
      <c r="AU56" s="184">
        <f>Inputs!AU179</f>
        <v>0</v>
      </c>
      <c r="AV56" s="184">
        <f>Inputs!AV179</f>
        <v>0</v>
      </c>
      <c r="AW56" s="184">
        <f>Inputs!AW179</f>
        <v>0</v>
      </c>
      <c r="AX56" s="184">
        <f>Inputs!AX179</f>
        <v>0</v>
      </c>
      <c r="AY56" s="184">
        <f>Inputs!AY179</f>
        <v>0</v>
      </c>
      <c r="AZ56" s="184">
        <f>Inputs!AZ179</f>
        <v>0</v>
      </c>
      <c r="BA56" s="184">
        <f>Inputs!BA179</f>
        <v>0</v>
      </c>
      <c r="BB56" s="184">
        <f>Inputs!BB179</f>
        <v>0</v>
      </c>
    </row>
    <row r="57" spans="1:54" ht="15" customHeight="1">
      <c r="A57" s="5"/>
      <c r="B57" s="5"/>
      <c r="C57" s="5"/>
      <c r="D57" s="5"/>
      <c r="G57" s="5"/>
      <c r="J57" s="15"/>
      <c r="K57" s="15"/>
      <c r="L57" s="15"/>
      <c r="M57" s="15"/>
      <c r="N57" s="15"/>
      <c r="O57" s="64"/>
      <c r="P57" s="64"/>
      <c r="Q57" s="64"/>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c r="AQ57" s="64"/>
      <c r="AR57" s="64"/>
      <c r="AS57" s="64"/>
      <c r="AT57" s="64"/>
      <c r="AU57" s="64"/>
      <c r="AV57" s="64"/>
      <c r="AW57" s="64"/>
      <c r="AX57" s="64"/>
      <c r="AY57" s="64"/>
      <c r="AZ57" s="64"/>
      <c r="BA57" s="64"/>
      <c r="BB57" s="64"/>
    </row>
    <row r="58" spans="1:54" ht="15" customHeight="1">
      <c r="A58" s="5"/>
      <c r="B58" s="5"/>
      <c r="C58" s="5"/>
      <c r="D58" s="5"/>
      <c r="E58" s="19" t="s">
        <v>308</v>
      </c>
      <c r="G58" s="5" t="s">
        <v>188</v>
      </c>
      <c r="I58" s="191">
        <f>IF(Inputs!I183="Yes",1,0)</f>
        <v>0</v>
      </c>
      <c r="J58" s="15"/>
      <c r="K58" s="15"/>
      <c r="L58" s="15"/>
      <c r="M58" s="15"/>
      <c r="N58" s="15"/>
      <c r="O58" s="64"/>
      <c r="P58" s="64"/>
      <c r="Q58" s="64"/>
      <c r="R58" s="64"/>
      <c r="S58" s="64"/>
      <c r="T58" s="64"/>
      <c r="U58" s="64"/>
      <c r="V58" s="64"/>
      <c r="W58" s="64"/>
      <c r="X58" s="64"/>
      <c r="Y58" s="64"/>
      <c r="Z58" s="64"/>
      <c r="AA58" s="64"/>
      <c r="AB58" s="64"/>
      <c r="AC58" s="64"/>
      <c r="AD58" s="64"/>
      <c r="AE58" s="64"/>
      <c r="AF58" s="64"/>
      <c r="AG58" s="64"/>
      <c r="AH58" s="64"/>
      <c r="AI58" s="64"/>
      <c r="AJ58" s="64"/>
      <c r="AK58" s="64"/>
      <c r="AL58" s="64"/>
      <c r="AM58" s="64"/>
      <c r="AN58" s="64"/>
      <c r="AO58" s="64"/>
      <c r="AP58" s="64"/>
      <c r="AQ58" s="64"/>
      <c r="AR58" s="64"/>
      <c r="AS58" s="64"/>
      <c r="AT58" s="64"/>
      <c r="AU58" s="64"/>
      <c r="AV58" s="64"/>
      <c r="AW58" s="64"/>
      <c r="AX58" s="64"/>
      <c r="AY58" s="64"/>
      <c r="AZ58" s="64"/>
      <c r="BA58" s="64"/>
      <c r="BB58" s="64"/>
    </row>
    <row r="59" spans="1:54" ht="15" customHeight="1">
      <c r="A59" s="5"/>
      <c r="B59" s="5"/>
      <c r="C59" s="5"/>
      <c r="D59" s="5"/>
      <c r="E59" s="19" t="s">
        <v>449</v>
      </c>
      <c r="G59" s="5" t="s">
        <v>188</v>
      </c>
      <c r="J59" s="15"/>
      <c r="K59" s="15"/>
      <c r="L59" s="15"/>
      <c r="M59" s="15"/>
      <c r="N59" s="15"/>
      <c r="O59" s="31"/>
      <c r="P59" s="184">
        <f>Inputs!P186</f>
        <v>0</v>
      </c>
      <c r="Q59" s="184">
        <f>Inputs!Q186</f>
        <v>0</v>
      </c>
      <c r="R59" s="184">
        <f>Inputs!R186</f>
        <v>0</v>
      </c>
      <c r="S59" s="184">
        <f>Inputs!S186</f>
        <v>0</v>
      </c>
      <c r="T59" s="184">
        <f>Inputs!T186</f>
        <v>0</v>
      </c>
      <c r="U59" s="184">
        <f>Inputs!U186</f>
        <v>0</v>
      </c>
      <c r="V59" s="184">
        <f>Inputs!V186</f>
        <v>0</v>
      </c>
      <c r="W59" s="184">
        <f>Inputs!W186</f>
        <v>0</v>
      </c>
      <c r="X59" s="184">
        <f>Inputs!X186</f>
        <v>0</v>
      </c>
      <c r="Y59" s="184">
        <f>Inputs!Y186</f>
        <v>0</v>
      </c>
      <c r="Z59" s="184">
        <f>Inputs!Z186</f>
        <v>0</v>
      </c>
      <c r="AA59" s="184">
        <f>Inputs!AA186</f>
        <v>0</v>
      </c>
      <c r="AB59" s="184">
        <f>Inputs!AB186</f>
        <v>0</v>
      </c>
      <c r="AC59" s="184">
        <f>Inputs!AC186</f>
        <v>0.99931553730321698</v>
      </c>
      <c r="AD59" s="184">
        <f>Inputs!AD186</f>
        <v>1</v>
      </c>
      <c r="AE59" s="184">
        <f>Inputs!AE186</f>
        <v>1</v>
      </c>
      <c r="AF59" s="184">
        <f>Inputs!AF186</f>
        <v>1</v>
      </c>
      <c r="AG59" s="184">
        <f>Inputs!AG186</f>
        <v>1</v>
      </c>
      <c r="AH59" s="184">
        <f>Inputs!AH186</f>
        <v>1</v>
      </c>
      <c r="AI59" s="184">
        <f>Inputs!AI186</f>
        <v>1</v>
      </c>
      <c r="AJ59" s="184">
        <f>Inputs!AJ186</f>
        <v>1</v>
      </c>
      <c r="AK59" s="184">
        <f>Inputs!AK186</f>
        <v>1</v>
      </c>
      <c r="AL59" s="184">
        <f>Inputs!AL186</f>
        <v>1</v>
      </c>
      <c r="AM59" s="184">
        <f>Inputs!AM186</f>
        <v>1</v>
      </c>
      <c r="AN59" s="184">
        <f>Inputs!AN186</f>
        <v>1</v>
      </c>
      <c r="AO59" s="184">
        <f>Inputs!AO186</f>
        <v>0.32922655715263516</v>
      </c>
      <c r="AP59" s="184">
        <f>Inputs!AP186</f>
        <v>0</v>
      </c>
      <c r="AQ59" s="184">
        <f>Inputs!AQ186</f>
        <v>0</v>
      </c>
      <c r="AR59" s="184">
        <f>Inputs!AR186</f>
        <v>0</v>
      </c>
      <c r="AS59" s="184">
        <f>Inputs!AS186</f>
        <v>0</v>
      </c>
      <c r="AT59" s="184">
        <f>Inputs!AT186</f>
        <v>0</v>
      </c>
      <c r="AU59" s="184">
        <f>Inputs!AU186</f>
        <v>0</v>
      </c>
      <c r="AV59" s="184">
        <f>Inputs!AV186</f>
        <v>0</v>
      </c>
      <c r="AW59" s="184">
        <f>Inputs!AW186</f>
        <v>0</v>
      </c>
      <c r="AX59" s="184">
        <f>Inputs!AX186</f>
        <v>0</v>
      </c>
      <c r="AY59" s="184">
        <f>Inputs!AY186</f>
        <v>0</v>
      </c>
      <c r="AZ59" s="184">
        <f>Inputs!AZ186</f>
        <v>0</v>
      </c>
      <c r="BA59" s="184">
        <f>Inputs!BA186</f>
        <v>0</v>
      </c>
      <c r="BB59" s="184">
        <f>Inputs!BB186</f>
        <v>0</v>
      </c>
    </row>
    <row r="60" spans="1:54" ht="15" customHeight="1">
      <c r="A60" s="5"/>
      <c r="B60" s="5"/>
      <c r="C60" s="5"/>
      <c r="D60" s="5"/>
      <c r="E60" s="19" t="s">
        <v>450</v>
      </c>
      <c r="G60" s="5" t="s">
        <v>188</v>
      </c>
      <c r="J60" s="15"/>
      <c r="K60" s="15"/>
      <c r="L60" s="15"/>
      <c r="M60" s="15"/>
      <c r="N60" s="15"/>
      <c r="O60" s="31"/>
      <c r="P60" s="184">
        <f>Inputs!P187</f>
        <v>0</v>
      </c>
      <c r="Q60" s="184">
        <f>Inputs!Q187</f>
        <v>0</v>
      </c>
      <c r="R60" s="184">
        <f>Inputs!R187</f>
        <v>0</v>
      </c>
      <c r="S60" s="184">
        <f>Inputs!S187</f>
        <v>0</v>
      </c>
      <c r="T60" s="184">
        <f>Inputs!T187</f>
        <v>0</v>
      </c>
      <c r="U60" s="184">
        <f>Inputs!U187</f>
        <v>0</v>
      </c>
      <c r="V60" s="184">
        <f>Inputs!V187</f>
        <v>0</v>
      </c>
      <c r="W60" s="184">
        <f>Inputs!W187</f>
        <v>0</v>
      </c>
      <c r="X60" s="184">
        <f>Inputs!X187</f>
        <v>0</v>
      </c>
      <c r="Y60" s="184">
        <f>Inputs!Y187</f>
        <v>0</v>
      </c>
      <c r="Z60" s="184">
        <f>Inputs!Z187</f>
        <v>0</v>
      </c>
      <c r="AA60" s="184">
        <f>Inputs!AA187</f>
        <v>0</v>
      </c>
      <c r="AB60" s="184">
        <f>Inputs!AB187</f>
        <v>0</v>
      </c>
      <c r="AC60" s="184">
        <f>Inputs!AC187</f>
        <v>0.99931553730321698</v>
      </c>
      <c r="AD60" s="184">
        <f>Inputs!AD187</f>
        <v>1</v>
      </c>
      <c r="AE60" s="184">
        <f>Inputs!AE187</f>
        <v>1</v>
      </c>
      <c r="AF60" s="184">
        <f>Inputs!AF187</f>
        <v>1</v>
      </c>
      <c r="AG60" s="184">
        <f>Inputs!AG187</f>
        <v>1</v>
      </c>
      <c r="AH60" s="184">
        <f>Inputs!AH187</f>
        <v>1</v>
      </c>
      <c r="AI60" s="184">
        <f>Inputs!AI187</f>
        <v>1</v>
      </c>
      <c r="AJ60" s="184">
        <f>Inputs!AJ187</f>
        <v>1</v>
      </c>
      <c r="AK60" s="184">
        <f>Inputs!AK187</f>
        <v>1</v>
      </c>
      <c r="AL60" s="184">
        <f>Inputs!AL187</f>
        <v>1</v>
      </c>
      <c r="AM60" s="184">
        <f>Inputs!AM187</f>
        <v>1</v>
      </c>
      <c r="AN60" s="184">
        <f>Inputs!AN187</f>
        <v>1</v>
      </c>
      <c r="AO60" s="184">
        <f>Inputs!AO187</f>
        <v>0.32922655715263516</v>
      </c>
      <c r="AP60" s="184">
        <f>Inputs!AP187</f>
        <v>0</v>
      </c>
      <c r="AQ60" s="184">
        <f>Inputs!AQ187</f>
        <v>0</v>
      </c>
      <c r="AR60" s="184">
        <f>Inputs!AR187</f>
        <v>0</v>
      </c>
      <c r="AS60" s="184">
        <f>Inputs!AS187</f>
        <v>0</v>
      </c>
      <c r="AT60" s="184">
        <f>Inputs!AT187</f>
        <v>0</v>
      </c>
      <c r="AU60" s="184">
        <f>Inputs!AU187</f>
        <v>0</v>
      </c>
      <c r="AV60" s="184">
        <f>Inputs!AV187</f>
        <v>0</v>
      </c>
      <c r="AW60" s="184">
        <f>Inputs!AW187</f>
        <v>0</v>
      </c>
      <c r="AX60" s="184">
        <f>Inputs!AX187</f>
        <v>0</v>
      </c>
      <c r="AY60" s="184">
        <f>Inputs!AY187</f>
        <v>0</v>
      </c>
      <c r="AZ60" s="184">
        <f>Inputs!AZ187</f>
        <v>0</v>
      </c>
      <c r="BA60" s="184">
        <f>Inputs!BA187</f>
        <v>0</v>
      </c>
      <c r="BB60" s="184">
        <f>Inputs!BB187</f>
        <v>0</v>
      </c>
    </row>
    <row r="61" spans="1:54" ht="15" customHeight="1">
      <c r="A61" s="5"/>
      <c r="B61" s="5"/>
      <c r="C61" s="5"/>
      <c r="D61" s="5"/>
      <c r="G61" s="5"/>
      <c r="J61" s="15"/>
      <c r="K61" s="15"/>
      <c r="L61" s="15"/>
      <c r="M61" s="15"/>
      <c r="N61" s="15"/>
      <c r="O61" s="64"/>
      <c r="P61" s="64"/>
      <c r="Q61" s="64"/>
      <c r="R61" s="64"/>
      <c r="S61" s="64"/>
      <c r="T61" s="64"/>
      <c r="U61" s="64"/>
      <c r="V61" s="64"/>
      <c r="W61" s="64"/>
      <c r="X61" s="64"/>
      <c r="Y61" s="64"/>
      <c r="Z61" s="64"/>
      <c r="AA61" s="64"/>
      <c r="AB61" s="64"/>
      <c r="AC61" s="64"/>
      <c r="AD61" s="64"/>
      <c r="AE61" s="64"/>
      <c r="AF61" s="64"/>
      <c r="AG61" s="64"/>
      <c r="AH61" s="64"/>
      <c r="AI61" s="64"/>
      <c r="AJ61" s="64"/>
      <c r="AK61" s="64"/>
      <c r="AL61" s="64"/>
      <c r="AM61" s="64"/>
      <c r="AN61" s="64"/>
      <c r="AO61" s="64"/>
      <c r="AP61" s="64"/>
      <c r="AQ61" s="64"/>
      <c r="AR61" s="64"/>
      <c r="AS61" s="64"/>
      <c r="AT61" s="64"/>
      <c r="AU61" s="64"/>
      <c r="AV61" s="64"/>
      <c r="AW61" s="64"/>
      <c r="AX61" s="64"/>
      <c r="AY61" s="64"/>
      <c r="AZ61" s="64"/>
      <c r="BA61" s="64"/>
      <c r="BB61" s="64"/>
    </row>
    <row r="62" spans="1:54" ht="15" customHeight="1">
      <c r="A62" s="5"/>
      <c r="B62" s="5"/>
      <c r="C62" s="5"/>
      <c r="D62" s="5"/>
      <c r="E62" s="19" t="s">
        <v>320</v>
      </c>
      <c r="G62" s="5" t="s">
        <v>188</v>
      </c>
      <c r="I62" s="191">
        <f>IF(Inputs!I197="Yes",1,0)</f>
        <v>0</v>
      </c>
      <c r="J62" s="15"/>
      <c r="K62" s="15"/>
      <c r="L62" s="15"/>
      <c r="M62" s="15"/>
      <c r="N62" s="15"/>
      <c r="O62" s="64"/>
      <c r="P62" s="64"/>
      <c r="Q62" s="64"/>
      <c r="R62" s="64"/>
      <c r="S62" s="64"/>
      <c r="T62" s="64"/>
      <c r="U62" s="64"/>
      <c r="V62" s="64"/>
      <c r="W62" s="64"/>
      <c r="X62" s="64"/>
      <c r="Y62" s="64"/>
      <c r="Z62" s="64"/>
      <c r="AA62" s="64"/>
      <c r="AB62" s="64"/>
      <c r="AC62" s="64"/>
      <c r="AD62" s="64"/>
      <c r="AE62" s="64"/>
      <c r="AF62" s="64"/>
      <c r="AG62" s="64"/>
      <c r="AH62" s="64"/>
      <c r="AI62" s="64"/>
      <c r="AJ62" s="64"/>
      <c r="AK62" s="64"/>
      <c r="AL62" s="64"/>
      <c r="AM62" s="64"/>
      <c r="AN62" s="64"/>
      <c r="AO62" s="64"/>
      <c r="AP62" s="64"/>
      <c r="AQ62" s="64"/>
      <c r="AR62" s="64"/>
      <c r="AS62" s="64"/>
      <c r="AT62" s="64"/>
      <c r="AU62" s="64"/>
      <c r="AV62" s="64"/>
      <c r="AW62" s="64"/>
      <c r="AX62" s="64"/>
      <c r="AY62" s="64"/>
      <c r="AZ62" s="64"/>
      <c r="BA62" s="64"/>
      <c r="BB62" s="64"/>
    </row>
    <row r="63" spans="1:54" ht="15" customHeight="1">
      <c r="A63" s="5"/>
      <c r="B63" s="5"/>
      <c r="C63" s="5"/>
      <c r="D63" s="5"/>
      <c r="E63" s="19" t="s">
        <v>451</v>
      </c>
      <c r="G63" s="5" t="s">
        <v>188</v>
      </c>
      <c r="J63" s="15"/>
      <c r="K63" s="15"/>
      <c r="L63" s="15"/>
      <c r="M63" s="15"/>
      <c r="N63" s="15"/>
      <c r="O63" s="31"/>
      <c r="P63" s="184">
        <f>Inputs!P202</f>
        <v>0.67077344284736484</v>
      </c>
      <c r="Q63" s="184">
        <f>Inputs!Q202</f>
        <v>1</v>
      </c>
      <c r="R63" s="184">
        <f>Inputs!R202</f>
        <v>1</v>
      </c>
      <c r="S63" s="184">
        <f>Inputs!S202</f>
        <v>1</v>
      </c>
      <c r="T63" s="184">
        <f>Inputs!T202</f>
        <v>1</v>
      </c>
      <c r="U63" s="184">
        <f>Inputs!U202</f>
        <v>1</v>
      </c>
      <c r="V63" s="184">
        <f>Inputs!V202</f>
        <v>1</v>
      </c>
      <c r="W63" s="184">
        <f>Inputs!W202</f>
        <v>1</v>
      </c>
      <c r="X63" s="184">
        <f>Inputs!X202</f>
        <v>1</v>
      </c>
      <c r="Y63" s="184">
        <f>Inputs!Y202</f>
        <v>1</v>
      </c>
      <c r="Z63" s="184">
        <f>Inputs!Z202</f>
        <v>1</v>
      </c>
      <c r="AA63" s="184">
        <f>Inputs!AA202</f>
        <v>1</v>
      </c>
      <c r="AB63" s="184">
        <f>Inputs!AB202</f>
        <v>1</v>
      </c>
      <c r="AC63" s="184">
        <f>Inputs!AC202</f>
        <v>1</v>
      </c>
      <c r="AD63" s="184">
        <f>Inputs!AD202</f>
        <v>1</v>
      </c>
      <c r="AE63" s="184">
        <f>Inputs!AE202</f>
        <v>1</v>
      </c>
      <c r="AF63" s="184">
        <f>Inputs!AF202</f>
        <v>1</v>
      </c>
      <c r="AG63" s="184">
        <f>Inputs!AG202</f>
        <v>1</v>
      </c>
      <c r="AH63" s="184">
        <f>Inputs!AH202</f>
        <v>1</v>
      </c>
      <c r="AI63" s="184">
        <f>Inputs!AI202</f>
        <v>1</v>
      </c>
      <c r="AJ63" s="184">
        <f>Inputs!AJ202</f>
        <v>1</v>
      </c>
      <c r="AK63" s="184">
        <f>Inputs!AK202</f>
        <v>1</v>
      </c>
      <c r="AL63" s="184">
        <f>Inputs!AL202</f>
        <v>1</v>
      </c>
      <c r="AM63" s="184">
        <f>Inputs!AM202</f>
        <v>1</v>
      </c>
      <c r="AN63" s="184">
        <f>Inputs!AN202</f>
        <v>1</v>
      </c>
      <c r="AO63" s="184">
        <f>Inputs!AO202</f>
        <v>0.32922655715263516</v>
      </c>
      <c r="AP63" s="184">
        <f>Inputs!AP202</f>
        <v>0</v>
      </c>
      <c r="AQ63" s="184">
        <f>Inputs!AQ202</f>
        <v>0</v>
      </c>
      <c r="AR63" s="184">
        <f>Inputs!AR202</f>
        <v>0</v>
      </c>
      <c r="AS63" s="184">
        <f>Inputs!AS202</f>
        <v>0</v>
      </c>
      <c r="AT63" s="184">
        <f>Inputs!AT202</f>
        <v>0</v>
      </c>
      <c r="AU63" s="184">
        <f>Inputs!AU202</f>
        <v>0</v>
      </c>
      <c r="AV63" s="184">
        <f>Inputs!AV202</f>
        <v>0</v>
      </c>
      <c r="AW63" s="184">
        <f>Inputs!AW202</f>
        <v>0</v>
      </c>
      <c r="AX63" s="184">
        <f>Inputs!AX202</f>
        <v>0</v>
      </c>
      <c r="AY63" s="184">
        <f>Inputs!AY202</f>
        <v>0</v>
      </c>
      <c r="AZ63" s="184">
        <f>Inputs!AZ202</f>
        <v>0</v>
      </c>
      <c r="BA63" s="184">
        <f>Inputs!BA202</f>
        <v>0</v>
      </c>
      <c r="BB63" s="184">
        <f>Inputs!BB202</f>
        <v>0</v>
      </c>
    </row>
    <row r="64" spans="1:54" ht="15" customHeight="1">
      <c r="A64" s="5"/>
      <c r="B64" s="5"/>
      <c r="C64" s="5"/>
      <c r="D64" s="5"/>
      <c r="E64" s="19" t="s">
        <v>452</v>
      </c>
      <c r="G64" s="5" t="s">
        <v>188</v>
      </c>
      <c r="J64" s="15"/>
      <c r="K64" s="15"/>
      <c r="L64" s="15"/>
      <c r="M64" s="15"/>
      <c r="N64" s="15"/>
      <c r="O64" s="31"/>
      <c r="P64" s="184">
        <f>Inputs!P239</f>
        <v>0</v>
      </c>
      <c r="Q64" s="184">
        <f>Inputs!Q239</f>
        <v>0</v>
      </c>
      <c r="R64" s="184">
        <f>Inputs!R239</f>
        <v>0</v>
      </c>
      <c r="S64" s="184">
        <f>Inputs!S239</f>
        <v>0</v>
      </c>
      <c r="T64" s="184">
        <f>Inputs!T239</f>
        <v>0</v>
      </c>
      <c r="U64" s="184">
        <f>Inputs!U239</f>
        <v>0</v>
      </c>
      <c r="V64" s="184">
        <f>Inputs!V239</f>
        <v>0</v>
      </c>
      <c r="W64" s="184">
        <f>Inputs!W239</f>
        <v>0</v>
      </c>
      <c r="X64" s="184">
        <f>Inputs!X239</f>
        <v>0</v>
      </c>
      <c r="Y64" s="184">
        <f>Inputs!Y239</f>
        <v>0</v>
      </c>
      <c r="Z64" s="184">
        <f>Inputs!Z239</f>
        <v>0</v>
      </c>
      <c r="AA64" s="184">
        <f>Inputs!AA239</f>
        <v>0</v>
      </c>
      <c r="AB64" s="184">
        <f>Inputs!AB239</f>
        <v>0</v>
      </c>
      <c r="AC64" s="184">
        <f>Inputs!AC239</f>
        <v>0</v>
      </c>
      <c r="AD64" s="184">
        <f>Inputs!AD239</f>
        <v>0</v>
      </c>
      <c r="AE64" s="184">
        <f>Inputs!AE239</f>
        <v>0</v>
      </c>
      <c r="AF64" s="184">
        <f>Inputs!AF239</f>
        <v>0</v>
      </c>
      <c r="AG64" s="184">
        <f>Inputs!AG239</f>
        <v>0</v>
      </c>
      <c r="AH64" s="184">
        <f>Inputs!AH239</f>
        <v>0</v>
      </c>
      <c r="AI64" s="184">
        <f>Inputs!AI239</f>
        <v>0</v>
      </c>
      <c r="AJ64" s="184">
        <f>Inputs!AJ239</f>
        <v>0</v>
      </c>
      <c r="AK64" s="184">
        <f>Inputs!AK239</f>
        <v>0</v>
      </c>
      <c r="AL64" s="184">
        <f>Inputs!AL239</f>
        <v>0</v>
      </c>
      <c r="AM64" s="184">
        <f>Inputs!AM239</f>
        <v>0</v>
      </c>
      <c r="AN64" s="184">
        <f>Inputs!AN239</f>
        <v>0</v>
      </c>
      <c r="AO64" s="184">
        <f>Inputs!AO239</f>
        <v>0</v>
      </c>
      <c r="AP64" s="184">
        <f>Inputs!AP239</f>
        <v>0</v>
      </c>
      <c r="AQ64" s="184">
        <f>Inputs!AQ239</f>
        <v>0</v>
      </c>
      <c r="AR64" s="184">
        <f>Inputs!AR239</f>
        <v>0</v>
      </c>
      <c r="AS64" s="184">
        <f>Inputs!AS239</f>
        <v>0</v>
      </c>
      <c r="AT64" s="184">
        <f>Inputs!AT239</f>
        <v>0</v>
      </c>
      <c r="AU64" s="184">
        <f>Inputs!AU239</f>
        <v>0</v>
      </c>
      <c r="AV64" s="184">
        <f>Inputs!AV239</f>
        <v>0</v>
      </c>
      <c r="AW64" s="184">
        <f>Inputs!AW239</f>
        <v>0</v>
      </c>
      <c r="AX64" s="184">
        <f>Inputs!AX239</f>
        <v>0</v>
      </c>
      <c r="AY64" s="184">
        <f>Inputs!AY239</f>
        <v>0</v>
      </c>
      <c r="AZ64" s="184">
        <f>Inputs!AZ239</f>
        <v>0</v>
      </c>
      <c r="BA64" s="184">
        <f>Inputs!BA239</f>
        <v>0</v>
      </c>
      <c r="BB64" s="184">
        <f>Inputs!BB239</f>
        <v>0</v>
      </c>
    </row>
    <row r="65" spans="1:54" ht="15" customHeight="1">
      <c r="A65" s="5"/>
      <c r="B65" s="5"/>
      <c r="C65" s="5"/>
      <c r="D65" s="5"/>
      <c r="E65" s="19" t="s">
        <v>453</v>
      </c>
      <c r="G65" s="5" t="s">
        <v>188</v>
      </c>
      <c r="J65" s="15"/>
      <c r="K65" s="15"/>
      <c r="L65" s="15"/>
      <c r="M65" s="15"/>
      <c r="N65" s="15"/>
      <c r="O65" s="31"/>
      <c r="P65" s="184">
        <f>Inputs!P240</f>
        <v>0</v>
      </c>
      <c r="Q65" s="184">
        <f>Inputs!Q240</f>
        <v>0</v>
      </c>
      <c r="R65" s="184">
        <f>Inputs!R240</f>
        <v>0</v>
      </c>
      <c r="S65" s="184">
        <f>Inputs!S240</f>
        <v>0</v>
      </c>
      <c r="T65" s="184">
        <f>Inputs!T240</f>
        <v>0</v>
      </c>
      <c r="U65" s="184">
        <f>Inputs!U240</f>
        <v>0</v>
      </c>
      <c r="V65" s="184">
        <f>Inputs!V240</f>
        <v>0</v>
      </c>
      <c r="W65" s="184">
        <f>Inputs!W240</f>
        <v>0</v>
      </c>
      <c r="X65" s="184">
        <f>Inputs!X240</f>
        <v>0</v>
      </c>
      <c r="Y65" s="184">
        <f>Inputs!Y240</f>
        <v>0</v>
      </c>
      <c r="Z65" s="184">
        <f>Inputs!Z240</f>
        <v>0</v>
      </c>
      <c r="AA65" s="184">
        <f>Inputs!AA240</f>
        <v>0</v>
      </c>
      <c r="AB65" s="184">
        <f>Inputs!AB240</f>
        <v>0</v>
      </c>
      <c r="AC65" s="184">
        <f>Inputs!AC240</f>
        <v>0</v>
      </c>
      <c r="AD65" s="184">
        <f>Inputs!AD240</f>
        <v>0</v>
      </c>
      <c r="AE65" s="184">
        <f>Inputs!AE240</f>
        <v>0</v>
      </c>
      <c r="AF65" s="184">
        <f>Inputs!AF240</f>
        <v>0</v>
      </c>
      <c r="AG65" s="184">
        <f>Inputs!AG240</f>
        <v>0</v>
      </c>
      <c r="AH65" s="184">
        <f>Inputs!AH240</f>
        <v>0</v>
      </c>
      <c r="AI65" s="184">
        <f>Inputs!AI240</f>
        <v>0</v>
      </c>
      <c r="AJ65" s="184">
        <f>Inputs!AJ240</f>
        <v>0</v>
      </c>
      <c r="AK65" s="184">
        <f>Inputs!AK240</f>
        <v>0</v>
      </c>
      <c r="AL65" s="184">
        <f>Inputs!AL240</f>
        <v>0</v>
      </c>
      <c r="AM65" s="184">
        <f>Inputs!AM240</f>
        <v>0</v>
      </c>
      <c r="AN65" s="184">
        <f>Inputs!AN240</f>
        <v>0</v>
      </c>
      <c r="AO65" s="184">
        <f>Inputs!AO240</f>
        <v>0</v>
      </c>
      <c r="AP65" s="184">
        <f>Inputs!AP240</f>
        <v>0</v>
      </c>
      <c r="AQ65" s="184">
        <f>Inputs!AQ240</f>
        <v>0</v>
      </c>
      <c r="AR65" s="184">
        <f>Inputs!AR240</f>
        <v>0</v>
      </c>
      <c r="AS65" s="184">
        <f>Inputs!AS240</f>
        <v>0</v>
      </c>
      <c r="AT65" s="184">
        <f>Inputs!AT240</f>
        <v>0</v>
      </c>
      <c r="AU65" s="184">
        <f>Inputs!AU240</f>
        <v>0</v>
      </c>
      <c r="AV65" s="184">
        <f>Inputs!AV240</f>
        <v>0</v>
      </c>
      <c r="AW65" s="184">
        <f>Inputs!AW240</f>
        <v>0</v>
      </c>
      <c r="AX65" s="184">
        <f>Inputs!AX240</f>
        <v>0</v>
      </c>
      <c r="AY65" s="184">
        <f>Inputs!AY240</f>
        <v>0</v>
      </c>
      <c r="AZ65" s="184">
        <f>Inputs!AZ240</f>
        <v>0</v>
      </c>
      <c r="BA65" s="184">
        <f>Inputs!BA240</f>
        <v>0</v>
      </c>
      <c r="BB65" s="184">
        <f>Inputs!BB240</f>
        <v>0</v>
      </c>
    </row>
    <row r="66" spans="1:54" ht="15" customHeight="1">
      <c r="A66" s="5"/>
      <c r="B66" s="5"/>
      <c r="C66" s="5"/>
      <c r="D66" s="5"/>
      <c r="E66" s="19" t="s">
        <v>454</v>
      </c>
      <c r="G66" s="5" t="s">
        <v>188</v>
      </c>
      <c r="J66" s="15"/>
      <c r="K66" s="15"/>
      <c r="L66" s="15"/>
      <c r="M66" s="15"/>
      <c r="N66" s="15"/>
      <c r="O66" s="31"/>
      <c r="P66" s="184">
        <f>Inputs!P241</f>
        <v>0</v>
      </c>
      <c r="Q66" s="184">
        <f>Inputs!Q241</f>
        <v>0</v>
      </c>
      <c r="R66" s="184">
        <f>Inputs!R241</f>
        <v>0</v>
      </c>
      <c r="S66" s="184">
        <f>Inputs!S241</f>
        <v>0</v>
      </c>
      <c r="T66" s="184">
        <f>Inputs!T241</f>
        <v>0</v>
      </c>
      <c r="U66" s="184">
        <f>Inputs!U241</f>
        <v>0</v>
      </c>
      <c r="V66" s="184">
        <f>Inputs!V241</f>
        <v>0</v>
      </c>
      <c r="W66" s="184">
        <f>Inputs!W241</f>
        <v>0</v>
      </c>
      <c r="X66" s="184">
        <f>Inputs!X241</f>
        <v>0</v>
      </c>
      <c r="Y66" s="184">
        <f>Inputs!Y241</f>
        <v>0</v>
      </c>
      <c r="Z66" s="184">
        <f>Inputs!Z241</f>
        <v>0</v>
      </c>
      <c r="AA66" s="184">
        <f>Inputs!AA241</f>
        <v>0</v>
      </c>
      <c r="AB66" s="184">
        <f>Inputs!AB241</f>
        <v>0</v>
      </c>
      <c r="AC66" s="184">
        <f>Inputs!AC241</f>
        <v>0</v>
      </c>
      <c r="AD66" s="184">
        <f>Inputs!AD241</f>
        <v>0</v>
      </c>
      <c r="AE66" s="184">
        <f>Inputs!AE241</f>
        <v>0</v>
      </c>
      <c r="AF66" s="184">
        <f>Inputs!AF241</f>
        <v>0</v>
      </c>
      <c r="AG66" s="184">
        <f>Inputs!AG241</f>
        <v>0</v>
      </c>
      <c r="AH66" s="184">
        <f>Inputs!AH241</f>
        <v>0</v>
      </c>
      <c r="AI66" s="184">
        <f>Inputs!AI241</f>
        <v>0</v>
      </c>
      <c r="AJ66" s="184">
        <f>Inputs!AJ241</f>
        <v>0</v>
      </c>
      <c r="AK66" s="184">
        <f>Inputs!AK241</f>
        <v>0</v>
      </c>
      <c r="AL66" s="184">
        <f>Inputs!AL241</f>
        <v>0</v>
      </c>
      <c r="AM66" s="184">
        <f>Inputs!AM241</f>
        <v>0</v>
      </c>
      <c r="AN66" s="184">
        <f>Inputs!AN241</f>
        <v>0</v>
      </c>
      <c r="AO66" s="184">
        <f>Inputs!AO241</f>
        <v>0</v>
      </c>
      <c r="AP66" s="184">
        <f>Inputs!AP241</f>
        <v>0</v>
      </c>
      <c r="AQ66" s="184">
        <f>Inputs!AQ241</f>
        <v>0</v>
      </c>
      <c r="AR66" s="184">
        <f>Inputs!AR241</f>
        <v>0</v>
      </c>
      <c r="AS66" s="184">
        <f>Inputs!AS241</f>
        <v>0</v>
      </c>
      <c r="AT66" s="184">
        <f>Inputs!AT241</f>
        <v>0</v>
      </c>
      <c r="AU66" s="184">
        <f>Inputs!AU241</f>
        <v>0</v>
      </c>
      <c r="AV66" s="184">
        <f>Inputs!AV241</f>
        <v>0</v>
      </c>
      <c r="AW66" s="184">
        <f>Inputs!AW241</f>
        <v>0</v>
      </c>
      <c r="AX66" s="184">
        <f>Inputs!AX241</f>
        <v>0</v>
      </c>
      <c r="AY66" s="184">
        <f>Inputs!AY241</f>
        <v>0</v>
      </c>
      <c r="AZ66" s="184">
        <f>Inputs!AZ241</f>
        <v>0</v>
      </c>
      <c r="BA66" s="184">
        <f>Inputs!BA241</f>
        <v>0</v>
      </c>
      <c r="BB66" s="184">
        <f>Inputs!BB241</f>
        <v>0</v>
      </c>
    </row>
    <row r="67" spans="1:54" ht="15" customHeight="1">
      <c r="A67" s="5"/>
      <c r="B67" s="5"/>
      <c r="C67" s="5"/>
      <c r="D67" s="5"/>
      <c r="E67" s="19" t="s">
        <v>455</v>
      </c>
      <c r="G67" s="5" t="s">
        <v>188</v>
      </c>
      <c r="J67" s="15"/>
      <c r="K67" s="15"/>
      <c r="L67" s="15"/>
      <c r="M67" s="15"/>
      <c r="N67" s="15"/>
      <c r="O67" s="31"/>
      <c r="P67" s="184">
        <f>Inputs!P242</f>
        <v>0</v>
      </c>
      <c r="Q67" s="184">
        <f>Inputs!Q242</f>
        <v>0</v>
      </c>
      <c r="R67" s="184">
        <f>Inputs!R242</f>
        <v>0</v>
      </c>
      <c r="S67" s="184">
        <f>Inputs!S242</f>
        <v>0</v>
      </c>
      <c r="T67" s="184">
        <f>Inputs!T242</f>
        <v>0</v>
      </c>
      <c r="U67" s="184">
        <f>Inputs!U242</f>
        <v>0</v>
      </c>
      <c r="V67" s="184">
        <f>Inputs!V242</f>
        <v>0</v>
      </c>
      <c r="W67" s="184">
        <f>Inputs!W242</f>
        <v>0</v>
      </c>
      <c r="X67" s="184">
        <f>Inputs!X242</f>
        <v>0</v>
      </c>
      <c r="Y67" s="184">
        <f>Inputs!Y242</f>
        <v>0</v>
      </c>
      <c r="Z67" s="184">
        <f>Inputs!Z242</f>
        <v>0</v>
      </c>
      <c r="AA67" s="184">
        <f>Inputs!AA242</f>
        <v>0</v>
      </c>
      <c r="AB67" s="184">
        <f>Inputs!AB242</f>
        <v>0</v>
      </c>
      <c r="AC67" s="184">
        <f>Inputs!AC242</f>
        <v>0</v>
      </c>
      <c r="AD67" s="184">
        <f>Inputs!AD242</f>
        <v>0</v>
      </c>
      <c r="AE67" s="184">
        <f>Inputs!AE242</f>
        <v>0</v>
      </c>
      <c r="AF67" s="184">
        <f>Inputs!AF242</f>
        <v>0</v>
      </c>
      <c r="AG67" s="184">
        <f>Inputs!AG242</f>
        <v>0</v>
      </c>
      <c r="AH67" s="184">
        <f>Inputs!AH242</f>
        <v>0</v>
      </c>
      <c r="AI67" s="184">
        <f>Inputs!AI242</f>
        <v>0</v>
      </c>
      <c r="AJ67" s="184">
        <f>Inputs!AJ242</f>
        <v>0</v>
      </c>
      <c r="AK67" s="184">
        <f>Inputs!AK242</f>
        <v>0</v>
      </c>
      <c r="AL67" s="184">
        <f>Inputs!AL242</f>
        <v>0</v>
      </c>
      <c r="AM67" s="184">
        <f>Inputs!AM242</f>
        <v>0</v>
      </c>
      <c r="AN67" s="184">
        <f>Inputs!AN242</f>
        <v>0</v>
      </c>
      <c r="AO67" s="184">
        <f>Inputs!AO242</f>
        <v>0</v>
      </c>
      <c r="AP67" s="184">
        <f>Inputs!AP242</f>
        <v>0</v>
      </c>
      <c r="AQ67" s="184">
        <f>Inputs!AQ242</f>
        <v>0</v>
      </c>
      <c r="AR67" s="184">
        <f>Inputs!AR242</f>
        <v>0</v>
      </c>
      <c r="AS67" s="184">
        <f>Inputs!AS242</f>
        <v>0</v>
      </c>
      <c r="AT67" s="184">
        <f>Inputs!AT242</f>
        <v>0</v>
      </c>
      <c r="AU67" s="184">
        <f>Inputs!AU242</f>
        <v>0</v>
      </c>
      <c r="AV67" s="184">
        <f>Inputs!AV242</f>
        <v>0</v>
      </c>
      <c r="AW67" s="184">
        <f>Inputs!AW242</f>
        <v>0</v>
      </c>
      <c r="AX67" s="184">
        <f>Inputs!AX242</f>
        <v>0</v>
      </c>
      <c r="AY67" s="184">
        <f>Inputs!AY242</f>
        <v>0</v>
      </c>
      <c r="AZ67" s="184">
        <f>Inputs!AZ242</f>
        <v>0</v>
      </c>
      <c r="BA67" s="184">
        <f>Inputs!BA242</f>
        <v>0</v>
      </c>
      <c r="BB67" s="184">
        <f>Inputs!BB242</f>
        <v>0</v>
      </c>
    </row>
    <row r="68" spans="1:54" ht="15" customHeight="1">
      <c r="A68" s="5"/>
      <c r="B68" s="5"/>
      <c r="C68" s="5"/>
      <c r="D68" s="5"/>
      <c r="G68" s="5"/>
      <c r="J68" s="15"/>
      <c r="K68" s="15"/>
      <c r="L68" s="15"/>
      <c r="M68" s="15"/>
      <c r="N68" s="15"/>
      <c r="O68" s="64"/>
      <c r="P68" s="64"/>
      <c r="Q68" s="64"/>
      <c r="R68" s="64"/>
      <c r="S68" s="64"/>
      <c r="T68" s="64"/>
      <c r="U68" s="64"/>
      <c r="V68" s="64"/>
      <c r="W68" s="64"/>
      <c r="X68" s="64"/>
      <c r="Y68" s="64"/>
      <c r="Z68" s="64"/>
      <c r="AA68" s="64"/>
      <c r="AB68" s="64"/>
      <c r="AC68" s="64"/>
      <c r="AD68" s="64"/>
      <c r="AE68" s="64"/>
      <c r="AF68" s="64"/>
      <c r="AG68" s="64"/>
      <c r="AH68" s="64"/>
      <c r="AI68" s="64"/>
      <c r="AJ68" s="64"/>
      <c r="AK68" s="64"/>
      <c r="AL68" s="64"/>
      <c r="AM68" s="64"/>
      <c r="AN68" s="64"/>
      <c r="AO68" s="64"/>
      <c r="AP68" s="64"/>
      <c r="AQ68" s="64"/>
      <c r="AR68" s="64"/>
      <c r="AS68" s="64"/>
      <c r="AT68" s="64"/>
      <c r="AU68" s="64"/>
      <c r="AV68" s="64"/>
      <c r="AW68" s="64"/>
      <c r="AX68" s="64"/>
      <c r="AY68" s="64"/>
      <c r="AZ68" s="64"/>
      <c r="BA68" s="64"/>
      <c r="BB68" s="64"/>
    </row>
    <row r="69" spans="1:54" ht="15" customHeight="1">
      <c r="A69" s="5"/>
      <c r="B69" s="5"/>
      <c r="C69" s="5"/>
      <c r="D69" s="5"/>
      <c r="E69" s="19" t="s">
        <v>456</v>
      </c>
      <c r="G69" s="5" t="s">
        <v>248</v>
      </c>
      <c r="J69" s="15"/>
      <c r="K69" s="15"/>
      <c r="L69" s="15"/>
      <c r="M69" s="15"/>
      <c r="N69" s="15"/>
      <c r="O69" s="31"/>
      <c r="P69" s="186">
        <f>P27+($I31*P55*$I$54+$I35*P59*$I$58+$I38*P$63*$I$62+$I41*P$64*$I$62+$I44*P$65*$I$62+$I47*P$66*$I$62+$I50*P$67*$I$62)*P$11</f>
        <v>28.734467479622875</v>
      </c>
      <c r="Q69" s="186">
        <f t="shared" ref="Q69:BB69" si="4">Q27+($I31*Q55*$I$54+$I35*Q59*$I$58+$I38*Q$63*$I$62+$I41*Q$64*$I$62+$I44*Q$65*$I$62+$I47*Q$66*$I$62+$I50*Q$67*$I$62)*Q$11</f>
        <v>44.671271660003896</v>
      </c>
      <c r="R69" s="186">
        <f t="shared" si="4"/>
        <v>46.583202087052065</v>
      </c>
      <c r="S69" s="186">
        <f t="shared" si="4"/>
        <v>48.576963136377884</v>
      </c>
      <c r="T69" s="186">
        <f t="shared" si="4"/>
        <v>50.685572442517433</v>
      </c>
      <c r="U69" s="186">
        <f>U27+($I31*U55*$I$54+$I35*U59*$I$58+$I38*U$63*$I$62+$I41*U$64*$I$62+$I44*U$65*$I$62+$I47*U$66*$I$62+$I50*U$67*$I$62)*U$11</f>
        <v>53.186777083199715</v>
      </c>
      <c r="V69" s="186">
        <f t="shared" si="4"/>
        <v>55.463171142360657</v>
      </c>
      <c r="W69" s="186">
        <f t="shared" si="4"/>
        <v>57.836994867253694</v>
      </c>
      <c r="X69" s="186">
        <f t="shared" si="4"/>
        <v>60.312418247572154</v>
      </c>
      <c r="Y69" s="186">
        <f t="shared" si="4"/>
        <v>62.893789748568231</v>
      </c>
      <c r="Z69" s="186">
        <f t="shared" si="4"/>
        <v>65.585643949806951</v>
      </c>
      <c r="AA69" s="186">
        <f t="shared" si="4"/>
        <v>68.39270951085868</v>
      </c>
      <c r="AB69" s="186">
        <f t="shared" si="4"/>
        <v>71.31991747792344</v>
      </c>
      <c r="AC69" s="186">
        <f t="shared" si="4"/>
        <v>74.372409945978561</v>
      </c>
      <c r="AD69" s="186">
        <f t="shared" si="4"/>
        <v>77.555549091666421</v>
      </c>
      <c r="AE69" s="186">
        <f t="shared" si="4"/>
        <v>80.874926592789748</v>
      </c>
      <c r="AF69" s="186">
        <f t="shared" si="4"/>
        <v>84.336373450961148</v>
      </c>
      <c r="AG69" s="186">
        <f t="shared" si="4"/>
        <v>87.945970234662283</v>
      </c>
      <c r="AH69" s="186">
        <f t="shared" si="4"/>
        <v>91.710057760705823</v>
      </c>
      <c r="AI69" s="186">
        <f t="shared" si="4"/>
        <v>95.635248232864029</v>
      </c>
      <c r="AJ69" s="186">
        <f t="shared" si="4"/>
        <v>99.728436857230619</v>
      </c>
      <c r="AK69" s="186">
        <f t="shared" si="4"/>
        <v>103.99681395472007</v>
      </c>
      <c r="AL69" s="186">
        <f t="shared" si="4"/>
        <v>108.44787759198209</v>
      </c>
      <c r="AM69" s="186">
        <f t="shared" si="4"/>
        <v>113.08944675291892</v>
      </c>
      <c r="AN69" s="186">
        <f t="shared" si="4"/>
        <v>117.92967507394384</v>
      </c>
      <c r="AO69" s="186">
        <f t="shared" si="4"/>
        <v>40.487315773702434</v>
      </c>
      <c r="AP69" s="186">
        <f t="shared" si="4"/>
        <v>0</v>
      </c>
      <c r="AQ69" s="186">
        <f t="shared" si="4"/>
        <v>0</v>
      </c>
      <c r="AR69" s="186">
        <f t="shared" si="4"/>
        <v>0</v>
      </c>
      <c r="AS69" s="186">
        <f t="shared" si="4"/>
        <v>0</v>
      </c>
      <c r="AT69" s="186">
        <f t="shared" si="4"/>
        <v>0</v>
      </c>
      <c r="AU69" s="186">
        <f t="shared" si="4"/>
        <v>0</v>
      </c>
      <c r="AV69" s="186">
        <f t="shared" si="4"/>
        <v>0</v>
      </c>
      <c r="AW69" s="186">
        <f t="shared" si="4"/>
        <v>0</v>
      </c>
      <c r="AX69" s="186">
        <f t="shared" si="4"/>
        <v>0</v>
      </c>
      <c r="AY69" s="186">
        <f t="shared" si="4"/>
        <v>0</v>
      </c>
      <c r="AZ69" s="186">
        <f t="shared" si="4"/>
        <v>0</v>
      </c>
      <c r="BA69" s="186">
        <f t="shared" si="4"/>
        <v>0</v>
      </c>
      <c r="BB69" s="186">
        <f t="shared" si="4"/>
        <v>0</v>
      </c>
    </row>
    <row r="70" spans="1:54" ht="15" customHeight="1">
      <c r="A70" s="5"/>
      <c r="B70" s="5"/>
      <c r="C70" s="5"/>
      <c r="D70" s="5"/>
      <c r="E70" s="19" t="s">
        <v>457</v>
      </c>
      <c r="G70" s="5" t="s">
        <v>248</v>
      </c>
      <c r="H70" s="19" t="s">
        <v>458</v>
      </c>
      <c r="J70" s="15"/>
      <c r="K70" s="15"/>
      <c r="L70" s="15"/>
      <c r="M70" s="15"/>
      <c r="N70" s="15"/>
      <c r="O70" s="31"/>
      <c r="P70" s="186">
        <f>P28+($I32*P56*$I$54+$I36*P60*$I$58+$I39*P$63*$I$62+$I42*P$64*$I$62+$I45*P$65*$I$62+$I48*P$66*$I$62+$I51*P$67*$I$62)*P$11</f>
        <v>0</v>
      </c>
      <c r="Q70" s="186">
        <f t="shared" ref="Q70:BB70" si="5">Q28+($I32*Q56*$I$54+$I36*Q60*$I$58+$I39*Q$63*$I$62+$I42*Q$64*$I$62+$I45*Q$65*$I$62+$I48*Q$66*$I$62+$I51*Q$67*$I$62)*Q$11</f>
        <v>0</v>
      </c>
      <c r="R70" s="186">
        <f t="shared" si="5"/>
        <v>0</v>
      </c>
      <c r="S70" s="186">
        <f t="shared" si="5"/>
        <v>24.205308577085852</v>
      </c>
      <c r="T70" s="186">
        <f t="shared" si="5"/>
        <v>25.339064090865126</v>
      </c>
      <c r="U70" s="186">
        <f t="shared" si="5"/>
        <v>27.328469291029048</v>
      </c>
      <c r="V70" s="186">
        <f t="shared" si="5"/>
        <v>28.498127776685092</v>
      </c>
      <c r="W70" s="186">
        <f t="shared" si="5"/>
        <v>29.717847645527215</v>
      </c>
      <c r="X70" s="186">
        <f t="shared" si="5"/>
        <v>30.989771524755774</v>
      </c>
      <c r="Y70" s="186">
        <f t="shared" si="5"/>
        <v>32.316133746015318</v>
      </c>
      <c r="Z70" s="186">
        <f t="shared" si="5"/>
        <v>33.69926427034477</v>
      </c>
      <c r="AA70" s="186">
        <f t="shared" si="5"/>
        <v>35.141592781115527</v>
      </c>
      <c r="AB70" s="186">
        <f t="shared" si="5"/>
        <v>36.645652952147266</v>
      </c>
      <c r="AC70" s="186">
        <f t="shared" si="5"/>
        <v>38.214086898499168</v>
      </c>
      <c r="AD70" s="186">
        <f t="shared" si="5"/>
        <v>39.84964981775493</v>
      </c>
      <c r="AE70" s="186">
        <f t="shared" si="5"/>
        <v>41.555214829954842</v>
      </c>
      <c r="AF70" s="186">
        <f t="shared" si="5"/>
        <v>43.333778024676917</v>
      </c>
      <c r="AG70" s="186">
        <f t="shared" si="5"/>
        <v>45.188463724133079</v>
      </c>
      <c r="AH70" s="186">
        <f t="shared" si="5"/>
        <v>47.122529971525978</v>
      </c>
      <c r="AI70" s="186">
        <f t="shared" si="5"/>
        <v>49.139374254307278</v>
      </c>
      <c r="AJ70" s="186">
        <f t="shared" si="5"/>
        <v>51.242539472391634</v>
      </c>
      <c r="AK70" s="186">
        <f t="shared" si="5"/>
        <v>53.435720161809996</v>
      </c>
      <c r="AL70" s="186">
        <f t="shared" si="5"/>
        <v>55.72276898473546</v>
      </c>
      <c r="AM70" s="186">
        <f t="shared" si="5"/>
        <v>58.107703497282138</v>
      </c>
      <c r="AN70" s="186">
        <f t="shared" si="5"/>
        <v>60.594713206965807</v>
      </c>
      <c r="AO70" s="186">
        <f t="shared" si="5"/>
        <v>20.803222651882074</v>
      </c>
      <c r="AP70" s="186">
        <f t="shared" si="5"/>
        <v>0</v>
      </c>
      <c r="AQ70" s="186">
        <f t="shared" si="5"/>
        <v>0</v>
      </c>
      <c r="AR70" s="186">
        <f t="shared" si="5"/>
        <v>0</v>
      </c>
      <c r="AS70" s="186">
        <f t="shared" si="5"/>
        <v>0</v>
      </c>
      <c r="AT70" s="186">
        <f t="shared" si="5"/>
        <v>0</v>
      </c>
      <c r="AU70" s="186">
        <f t="shared" si="5"/>
        <v>0</v>
      </c>
      <c r="AV70" s="186">
        <f t="shared" si="5"/>
        <v>0</v>
      </c>
      <c r="AW70" s="186">
        <f t="shared" si="5"/>
        <v>0</v>
      </c>
      <c r="AX70" s="186">
        <f t="shared" si="5"/>
        <v>0</v>
      </c>
      <c r="AY70" s="186">
        <f t="shared" si="5"/>
        <v>0</v>
      </c>
      <c r="AZ70" s="186">
        <f t="shared" si="5"/>
        <v>0</v>
      </c>
      <c r="BA70" s="186">
        <f t="shared" si="5"/>
        <v>0</v>
      </c>
      <c r="BB70" s="186">
        <f t="shared" si="5"/>
        <v>0</v>
      </c>
    </row>
    <row r="71" spans="1:54" ht="15" customHeight="1">
      <c r="A71" s="5"/>
      <c r="B71" s="5"/>
      <c r="C71" s="5"/>
      <c r="D71" s="5"/>
      <c r="E71" s="19" t="s">
        <v>459</v>
      </c>
      <c r="G71" s="5" t="s">
        <v>248</v>
      </c>
      <c r="H71" s="19" t="s">
        <v>460</v>
      </c>
      <c r="J71" s="15"/>
      <c r="K71" s="15"/>
      <c r="L71" s="15"/>
      <c r="M71" s="15"/>
      <c r="N71" s="15"/>
      <c r="O71" s="31"/>
      <c r="P71" s="186">
        <f>P29+($I33*P56*$I$54+$I37*P60*$I$58+$I40*P$63*$I$62+$I43*P$64*$I$62+$I46*P$65*$I$62+$I49*P$66*$I$62+$I52*P$67*$I$62)*P$11 + $I34*P56*$I$54*P$12</f>
        <v>0</v>
      </c>
      <c r="Q71" s="186">
        <f t="shared" ref="Q71:BB71" si="6">Q29+($I33*Q56*$I$54+$I37*Q60*$I$58+$I40*Q$63*$I$62+$I43*Q$64*$I$62+$I46*Q$65*$I$62+$I49*Q$66*$I$62+$I52*Q$67*$I$62)*Q$11 + $I34*Q56*$I$54*Q$12</f>
        <v>0</v>
      </c>
      <c r="R71" s="186">
        <f t="shared" si="6"/>
        <v>0</v>
      </c>
      <c r="S71" s="186">
        <f>S29+($I33*S56*$I$54+$I37*S60*$I$58+$I40*S$63*$I$62+$I43*S$64*$I$62+$I46*S$65*$I$62+$I49*S$66*$I$62+$I52*S$67*$I$62)*S$11 + $I34*S56*$I$54*S$12</f>
        <v>24.996499711583155</v>
      </c>
      <c r="T71" s="186">
        <f t="shared" si="6"/>
        <v>25.577046282690425</v>
      </c>
      <c r="U71" s="186">
        <f t="shared" si="6"/>
        <v>24.383897278477871</v>
      </c>
      <c r="V71" s="186">
        <f t="shared" si="6"/>
        <v>25.082200293143497</v>
      </c>
      <c r="W71" s="186">
        <f t="shared" si="6"/>
        <v>25.804520104426306</v>
      </c>
      <c r="X71" s="186">
        <f t="shared" si="6"/>
        <v>26.551784831490533</v>
      </c>
      <c r="Y71" s="186">
        <f t="shared" si="6"/>
        <v>27.324960620405221</v>
      </c>
      <c r="Z71" s="186">
        <f t="shared" si="6"/>
        <v>28.125053242853614</v>
      </c>
      <c r="AA71" s="186">
        <f t="shared" si="6"/>
        <v>28.953109762777018</v>
      </c>
      <c r="AB71" s="186">
        <f t="shared" si="6"/>
        <v>29.810220273852348</v>
      </c>
      <c r="AC71" s="186">
        <f t="shared" si="6"/>
        <v>30.697519710826572</v>
      </c>
      <c r="AD71" s="186">
        <f t="shared" si="6"/>
        <v>31.616189737860612</v>
      </c>
      <c r="AE71" s="186">
        <f t="shared" si="6"/>
        <v>32.567460717169681</v>
      </c>
      <c r="AF71" s="186">
        <f t="shared" si="6"/>
        <v>33.552613761388173</v>
      </c>
      <c r="AG71" s="186">
        <f t="shared" si="6"/>
        <v>34.572982873233116</v>
      </c>
      <c r="AH71" s="186">
        <f t="shared" si="6"/>
        <v>35.629957176193585</v>
      </c>
      <c r="AI71" s="186">
        <f t="shared" si="6"/>
        <v>36.724983240132545</v>
      </c>
      <c r="AJ71" s="186">
        <f t="shared" si="6"/>
        <v>37.859567505853654</v>
      </c>
      <c r="AK71" s="186">
        <f t="shared" si="6"/>
        <v>39.035278812859367</v>
      </c>
      <c r="AL71" s="186">
        <f t="shared" si="6"/>
        <v>38.777353960261244</v>
      </c>
      <c r="AM71" s="186">
        <f t="shared" si="6"/>
        <v>23.38705442240024</v>
      </c>
      <c r="AN71" s="186">
        <f t="shared" si="6"/>
        <v>24.388020351678964</v>
      </c>
      <c r="AO71" s="186">
        <f t="shared" si="6"/>
        <v>8.3728330503309571</v>
      </c>
      <c r="AP71" s="186">
        <f t="shared" si="6"/>
        <v>0</v>
      </c>
      <c r="AQ71" s="186">
        <f t="shared" si="6"/>
        <v>0</v>
      </c>
      <c r="AR71" s="186">
        <f t="shared" si="6"/>
        <v>0</v>
      </c>
      <c r="AS71" s="186">
        <f t="shared" si="6"/>
        <v>0</v>
      </c>
      <c r="AT71" s="186">
        <f t="shared" si="6"/>
        <v>0</v>
      </c>
      <c r="AU71" s="186">
        <f t="shared" si="6"/>
        <v>0</v>
      </c>
      <c r="AV71" s="186">
        <f t="shared" si="6"/>
        <v>0</v>
      </c>
      <c r="AW71" s="186">
        <f t="shared" si="6"/>
        <v>0</v>
      </c>
      <c r="AX71" s="186">
        <f t="shared" si="6"/>
        <v>0</v>
      </c>
      <c r="AY71" s="186">
        <f t="shared" si="6"/>
        <v>0</v>
      </c>
      <c r="AZ71" s="186">
        <f t="shared" si="6"/>
        <v>0</v>
      </c>
      <c r="BA71" s="186">
        <f t="shared" si="6"/>
        <v>0</v>
      </c>
      <c r="BB71" s="186">
        <f t="shared" si="6"/>
        <v>0</v>
      </c>
    </row>
    <row r="72" spans="1:54" ht="15" customHeight="1">
      <c r="A72" s="5"/>
      <c r="B72" s="5"/>
      <c r="C72" s="5"/>
      <c r="D72" s="5"/>
      <c r="J72" s="15"/>
      <c r="K72" s="15"/>
      <c r="L72" s="15"/>
      <c r="M72" s="15"/>
      <c r="N72" s="15"/>
      <c r="O72" s="15"/>
      <c r="P72" s="15"/>
      <c r="Q72" s="15"/>
      <c r="R72" s="15"/>
      <c r="S72" s="15"/>
      <c r="T72" s="15"/>
      <c r="U72" s="15"/>
      <c r="V72" s="15"/>
      <c r="W72" s="15"/>
      <c r="X72" s="15"/>
      <c r="Y72" s="15"/>
      <c r="Z72" s="15"/>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c r="AY72" s="16"/>
      <c r="AZ72" s="16"/>
      <c r="BA72" s="16"/>
      <c r="BB72" s="16"/>
    </row>
    <row r="73" spans="1:54" s="4" customFormat="1" ht="15" customHeight="1">
      <c r="B73" s="166" t="s">
        <v>46</v>
      </c>
      <c r="C73" s="8"/>
      <c r="D73" s="8"/>
      <c r="E73" s="8"/>
      <c r="F73" s="8"/>
      <c r="G73" s="8"/>
      <c r="H73" s="8"/>
      <c r="I73" s="8"/>
      <c r="J73" s="8"/>
      <c r="K73" s="8"/>
      <c r="L73" s="8"/>
      <c r="M73" s="8"/>
      <c r="N73" s="8"/>
      <c r="O73" s="8"/>
      <c r="P73" s="8"/>
      <c r="Q73" s="8"/>
      <c r="R73" s="8"/>
      <c r="S73" s="8"/>
      <c r="T73" s="8"/>
      <c r="U73" s="8"/>
      <c r="V73" s="8"/>
      <c r="W73" s="8"/>
      <c r="X73" s="8"/>
      <c r="Y73" s="8"/>
      <c r="Z73" s="8"/>
      <c r="AA73" s="8"/>
      <c r="AB73" s="8"/>
      <c r="AC73" s="8"/>
      <c r="AD73" s="8"/>
      <c r="AE73" s="8"/>
      <c r="AF73" s="8"/>
      <c r="AG73" s="8"/>
      <c r="AH73" s="8"/>
      <c r="AI73" s="8"/>
      <c r="AJ73" s="8"/>
      <c r="AK73" s="8"/>
      <c r="AL73" s="8"/>
      <c r="AM73" s="8"/>
      <c r="AN73" s="8"/>
      <c r="AO73" s="8"/>
      <c r="AP73" s="8"/>
      <c r="AQ73" s="8"/>
      <c r="AR73" s="8"/>
      <c r="AS73" s="8"/>
      <c r="AT73" s="8"/>
      <c r="AU73" s="8"/>
      <c r="AV73" s="8"/>
      <c r="AW73" s="8"/>
      <c r="AX73" s="8"/>
      <c r="AY73" s="8"/>
      <c r="AZ73" s="8"/>
      <c r="BA73" s="8"/>
      <c r="BB73" s="8"/>
    </row>
    <row r="74" spans="1:54" ht="15" customHeight="1"/>
    <row r="75" spans="1:54" ht="15" customHeight="1"/>
  </sheetData>
  <pageMargins left="0.23622047244094491" right="0.23622047244094491" top="0.74803149606299213" bottom="0.74803149606299213" header="0.31496062992125984" footer="0.31496062992125984"/>
  <pageSetup paperSize="8" scale="42" orientation="landscape" r:id="rId1"/>
  <headerFooter>
    <oddHeader>&amp;C&amp;"Aptos"&amp;10&amp;K000000 OFFICIAL&amp;1#_x000D_</oddHeader>
    <oddFooter>&amp;C_x000D_&amp;1#&amp;"Aptos"&amp;10&amp;K000000 OFFICIAL</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B18D3-ABC9-4BA1-99A6-6FAB63E1D582}">
  <sheetPr>
    <tabColor theme="7" tint="0.59999389629810485"/>
    <pageSetUpPr fitToPage="1"/>
  </sheetPr>
  <dimension ref="A1:BC64"/>
  <sheetViews>
    <sheetView zoomScale="120" zoomScaleNormal="120" workbookViewId="0">
      <pane xSplit="10" ySplit="5" topLeftCell="K6" activePane="bottomRight" state="frozen"/>
      <selection pane="bottomRight" activeCell="K6" sqref="K6"/>
      <selection pane="bottomLeft"/>
      <selection pane="topRight"/>
    </sheetView>
  </sheetViews>
  <sheetFormatPr defaultColWidth="0" defaultRowHeight="15" customHeight="1" zeroHeight="1"/>
  <cols>
    <col min="1" max="3" width="2.7109375" style="14" customWidth="1"/>
    <col min="4" max="4" width="2.7109375" style="19" customWidth="1"/>
    <col min="5" max="5" width="50.7109375" style="19" customWidth="1"/>
    <col min="6" max="6" width="1.7109375" style="19" customWidth="1"/>
    <col min="7" max="7" width="15.7109375" style="19" customWidth="1"/>
    <col min="8" max="8" width="14.42578125" style="19" bestFit="1" customWidth="1"/>
    <col min="9" max="9" width="10.7109375" style="19" customWidth="1"/>
    <col min="10" max="14" width="1.7109375" style="19" customWidth="1"/>
    <col min="15" max="54" width="10.7109375" style="19" customWidth="1"/>
    <col min="55" max="55" width="2.7109375" style="19" customWidth="1"/>
    <col min="56" max="16384" width="9" style="19" hidden="1"/>
  </cols>
  <sheetData>
    <row r="1" spans="1:55" s="10" customFormat="1" ht="15" customHeight="1">
      <c r="A1" s="117" t="s">
        <v>31</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row>
    <row r="7" spans="1:55" s="4" customFormat="1" ht="15" customHeight="1">
      <c r="B7" s="166" t="s">
        <v>461</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c r="A8" s="5"/>
      <c r="B8" s="5"/>
      <c r="C8" s="5"/>
      <c r="D8" s="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row>
    <row r="9" spans="1:55" s="59" customFormat="1" ht="15" customHeight="1">
      <c r="C9" s="38" t="s">
        <v>462</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c r="A10" s="5"/>
      <c r="B10" s="5"/>
      <c r="C10" s="5"/>
      <c r="D10" s="5"/>
      <c r="E10" s="15"/>
      <c r="F10" s="15"/>
      <c r="G10" s="15"/>
      <c r="I10" s="15"/>
      <c r="J10" s="15"/>
      <c r="K10" s="15"/>
      <c r="L10" s="15"/>
      <c r="M10" s="15"/>
      <c r="N10" s="15"/>
      <c r="O10" s="15"/>
      <c r="P10" s="15"/>
      <c r="Q10" s="15"/>
      <c r="R10" s="15"/>
      <c r="S10" s="15"/>
      <c r="T10" s="15"/>
      <c r="U10" s="15"/>
      <c r="V10" s="15"/>
      <c r="W10" s="15"/>
      <c r="X10" s="15"/>
      <c r="Y10" s="15"/>
      <c r="Z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row>
    <row r="11" spans="1:55" ht="15" customHeight="1">
      <c r="A11" s="5"/>
      <c r="B11" s="5"/>
      <c r="C11" s="5"/>
      <c r="D11" s="5"/>
      <c r="E11" s="19" t="s">
        <v>456</v>
      </c>
      <c r="G11" s="19" t="s">
        <v>248</v>
      </c>
      <c r="J11" s="15"/>
      <c r="K11" s="15"/>
      <c r="L11" s="15"/>
      <c r="M11" s="15"/>
      <c r="N11" s="15"/>
      <c r="O11" s="31"/>
      <c r="P11" s="184">
        <f>Indexation!P69</f>
        <v>28.734467479622875</v>
      </c>
      <c r="Q11" s="184">
        <f>Indexation!Q69</f>
        <v>44.671271660003896</v>
      </c>
      <c r="R11" s="184">
        <f>Indexation!R69</f>
        <v>46.583202087052065</v>
      </c>
      <c r="S11" s="184">
        <f>Indexation!S69</f>
        <v>48.576963136377884</v>
      </c>
      <c r="T11" s="184">
        <f>Indexation!T69</f>
        <v>50.685572442517433</v>
      </c>
      <c r="U11" s="184">
        <f>Indexation!U69</f>
        <v>53.186777083199715</v>
      </c>
      <c r="V11" s="184">
        <f>Indexation!V69</f>
        <v>55.463171142360657</v>
      </c>
      <c r="W11" s="184">
        <f>Indexation!W69</f>
        <v>57.836994867253694</v>
      </c>
      <c r="X11" s="184">
        <f>Indexation!X69</f>
        <v>60.312418247572154</v>
      </c>
      <c r="Y11" s="184">
        <f>Indexation!Y69</f>
        <v>62.893789748568231</v>
      </c>
      <c r="Z11" s="184">
        <f>Indexation!Z69</f>
        <v>65.585643949806951</v>
      </c>
      <c r="AA11" s="184">
        <f>Indexation!AA69</f>
        <v>68.39270951085868</v>
      </c>
      <c r="AB11" s="184">
        <f>Indexation!AB69</f>
        <v>71.31991747792344</v>
      </c>
      <c r="AC11" s="184">
        <f>Indexation!AC69</f>
        <v>74.372409945978561</v>
      </c>
      <c r="AD11" s="184">
        <f>Indexation!AD69</f>
        <v>77.555549091666421</v>
      </c>
      <c r="AE11" s="184">
        <f>Indexation!AE69</f>
        <v>80.874926592789748</v>
      </c>
      <c r="AF11" s="184">
        <f>Indexation!AF69</f>
        <v>84.336373450961148</v>
      </c>
      <c r="AG11" s="184">
        <f>Indexation!AG69</f>
        <v>87.945970234662283</v>
      </c>
      <c r="AH11" s="184">
        <f>Indexation!AH69</f>
        <v>91.710057760705823</v>
      </c>
      <c r="AI11" s="184">
        <f>Indexation!AI69</f>
        <v>95.635248232864029</v>
      </c>
      <c r="AJ11" s="184">
        <f>Indexation!AJ69</f>
        <v>99.728436857230619</v>
      </c>
      <c r="AK11" s="184">
        <f>Indexation!AK69</f>
        <v>103.99681395472007</v>
      </c>
      <c r="AL11" s="184">
        <f>Indexation!AL69</f>
        <v>108.44787759198209</v>
      </c>
      <c r="AM11" s="184">
        <f>Indexation!AM69</f>
        <v>113.08944675291892</v>
      </c>
      <c r="AN11" s="184">
        <f>Indexation!AN69</f>
        <v>117.92967507394384</v>
      </c>
      <c r="AO11" s="184">
        <f>Indexation!AO69</f>
        <v>40.487315773702434</v>
      </c>
      <c r="AP11" s="184">
        <f>Indexation!AP69</f>
        <v>0</v>
      </c>
      <c r="AQ11" s="184">
        <f>Indexation!AQ69</f>
        <v>0</v>
      </c>
      <c r="AR11" s="184">
        <f>Indexation!AR69</f>
        <v>0</v>
      </c>
      <c r="AS11" s="184">
        <f>Indexation!AS69</f>
        <v>0</v>
      </c>
      <c r="AT11" s="184">
        <f>Indexation!AT69</f>
        <v>0</v>
      </c>
      <c r="AU11" s="184">
        <f>Indexation!AU69</f>
        <v>0</v>
      </c>
      <c r="AV11" s="184">
        <f>Indexation!AV69</f>
        <v>0</v>
      </c>
      <c r="AW11" s="184">
        <f>Indexation!AW69</f>
        <v>0</v>
      </c>
      <c r="AX11" s="184">
        <f>Indexation!AX69</f>
        <v>0</v>
      </c>
      <c r="AY11" s="184">
        <f>Indexation!AY69</f>
        <v>0</v>
      </c>
      <c r="AZ11" s="184">
        <f>Indexation!AZ69</f>
        <v>0</v>
      </c>
      <c r="BA11" s="184">
        <f>Indexation!BA69</f>
        <v>0</v>
      </c>
      <c r="BB11" s="184">
        <f>Indexation!BB69</f>
        <v>0</v>
      </c>
    </row>
    <row r="12" spans="1:55" ht="15" customHeight="1">
      <c r="A12" s="5"/>
      <c r="B12" s="5"/>
      <c r="C12" s="5"/>
      <c r="D12" s="5"/>
      <c r="E12" s="19" t="s">
        <v>457</v>
      </c>
      <c r="G12" s="19" t="s">
        <v>248</v>
      </c>
      <c r="H12" s="19" t="s">
        <v>458</v>
      </c>
      <c r="J12" s="15"/>
      <c r="K12" s="15"/>
      <c r="L12" s="15"/>
      <c r="M12" s="15"/>
      <c r="N12" s="15"/>
      <c r="O12" s="31"/>
      <c r="P12" s="184">
        <f>Indexation!P70</f>
        <v>0</v>
      </c>
      <c r="Q12" s="184">
        <f>Indexation!Q70</f>
        <v>0</v>
      </c>
      <c r="R12" s="184">
        <f>Indexation!R70</f>
        <v>0</v>
      </c>
      <c r="S12" s="184">
        <f>Indexation!S70</f>
        <v>24.205308577085852</v>
      </c>
      <c r="T12" s="184">
        <f>Indexation!T70</f>
        <v>25.339064090865126</v>
      </c>
      <c r="U12" s="184">
        <f>Indexation!U70</f>
        <v>27.328469291029048</v>
      </c>
      <c r="V12" s="184">
        <f>Indexation!V70</f>
        <v>28.498127776685092</v>
      </c>
      <c r="W12" s="184">
        <f>Indexation!W70</f>
        <v>29.717847645527215</v>
      </c>
      <c r="X12" s="184">
        <f>Indexation!X70</f>
        <v>30.989771524755774</v>
      </c>
      <c r="Y12" s="184">
        <f>Indexation!Y70</f>
        <v>32.316133746015318</v>
      </c>
      <c r="Z12" s="184">
        <f>Indexation!Z70</f>
        <v>33.69926427034477</v>
      </c>
      <c r="AA12" s="184">
        <f>Indexation!AA70</f>
        <v>35.141592781115527</v>
      </c>
      <c r="AB12" s="184">
        <f>Indexation!AB70</f>
        <v>36.645652952147266</v>
      </c>
      <c r="AC12" s="184">
        <f>Indexation!AC70</f>
        <v>38.214086898499168</v>
      </c>
      <c r="AD12" s="184">
        <f>Indexation!AD70</f>
        <v>39.84964981775493</v>
      </c>
      <c r="AE12" s="184">
        <f>Indexation!AE70</f>
        <v>41.555214829954842</v>
      </c>
      <c r="AF12" s="184">
        <f>Indexation!AF70</f>
        <v>43.333778024676917</v>
      </c>
      <c r="AG12" s="184">
        <f>Indexation!AG70</f>
        <v>45.188463724133079</v>
      </c>
      <c r="AH12" s="184">
        <f>Indexation!AH70</f>
        <v>47.122529971525978</v>
      </c>
      <c r="AI12" s="184">
        <f>Indexation!AI70</f>
        <v>49.139374254307278</v>
      </c>
      <c r="AJ12" s="184">
        <f>Indexation!AJ70</f>
        <v>51.242539472391634</v>
      </c>
      <c r="AK12" s="184">
        <f>Indexation!AK70</f>
        <v>53.435720161809996</v>
      </c>
      <c r="AL12" s="184">
        <f>Indexation!AL70</f>
        <v>55.72276898473546</v>
      </c>
      <c r="AM12" s="184">
        <f>Indexation!AM70</f>
        <v>58.107703497282138</v>
      </c>
      <c r="AN12" s="184">
        <f>Indexation!AN70</f>
        <v>60.594713206965807</v>
      </c>
      <c r="AO12" s="184">
        <f>Indexation!AO70</f>
        <v>20.803222651882074</v>
      </c>
      <c r="AP12" s="184">
        <f>Indexation!AP70</f>
        <v>0</v>
      </c>
      <c r="AQ12" s="184">
        <f>Indexation!AQ70</f>
        <v>0</v>
      </c>
      <c r="AR12" s="184">
        <f>Indexation!AR70</f>
        <v>0</v>
      </c>
      <c r="AS12" s="184">
        <f>Indexation!AS70</f>
        <v>0</v>
      </c>
      <c r="AT12" s="184">
        <f>Indexation!AT70</f>
        <v>0</v>
      </c>
      <c r="AU12" s="184">
        <f>Indexation!AU70</f>
        <v>0</v>
      </c>
      <c r="AV12" s="184">
        <f>Indexation!AV70</f>
        <v>0</v>
      </c>
      <c r="AW12" s="184">
        <f>Indexation!AW70</f>
        <v>0</v>
      </c>
      <c r="AX12" s="184">
        <f>Indexation!AX70</f>
        <v>0</v>
      </c>
      <c r="AY12" s="184">
        <f>Indexation!AY70</f>
        <v>0</v>
      </c>
      <c r="AZ12" s="184">
        <f>Indexation!AZ70</f>
        <v>0</v>
      </c>
      <c r="BA12" s="184">
        <f>Indexation!BA70</f>
        <v>0</v>
      </c>
      <c r="BB12" s="184">
        <f>Indexation!BB70</f>
        <v>0</v>
      </c>
    </row>
    <row r="13" spans="1:55" ht="15" customHeight="1">
      <c r="A13" s="5"/>
      <c r="B13" s="5"/>
      <c r="C13" s="5"/>
      <c r="D13" s="5"/>
      <c r="E13" s="19" t="s">
        <v>459</v>
      </c>
      <c r="G13" s="19" t="s">
        <v>248</v>
      </c>
      <c r="H13" s="19" t="s">
        <v>460</v>
      </c>
      <c r="J13" s="15"/>
      <c r="K13" s="15"/>
      <c r="L13" s="15"/>
      <c r="M13" s="15"/>
      <c r="N13" s="15"/>
      <c r="O13" s="31"/>
      <c r="P13" s="200">
        <f>Indexation!P71</f>
        <v>0</v>
      </c>
      <c r="Q13" s="200">
        <f>Indexation!Q71</f>
        <v>0</v>
      </c>
      <c r="R13" s="200">
        <f>Indexation!R71</f>
        <v>0</v>
      </c>
      <c r="S13" s="200">
        <f>Indexation!S71</f>
        <v>24.996499711583155</v>
      </c>
      <c r="T13" s="200">
        <f>Indexation!T71</f>
        <v>25.577046282690425</v>
      </c>
      <c r="U13" s="200">
        <f>Indexation!U71</f>
        <v>24.383897278477871</v>
      </c>
      <c r="V13" s="200">
        <f>Indexation!V71</f>
        <v>25.082200293143497</v>
      </c>
      <c r="W13" s="200">
        <f>Indexation!W71</f>
        <v>25.804520104426306</v>
      </c>
      <c r="X13" s="200">
        <f>Indexation!X71</f>
        <v>26.551784831490533</v>
      </c>
      <c r="Y13" s="200">
        <f>Indexation!Y71</f>
        <v>27.324960620405221</v>
      </c>
      <c r="Z13" s="200">
        <f>Indexation!Z71</f>
        <v>28.125053242853614</v>
      </c>
      <c r="AA13" s="200">
        <f>Indexation!AA71</f>
        <v>28.953109762777018</v>
      </c>
      <c r="AB13" s="200">
        <f>Indexation!AB71</f>
        <v>29.810220273852348</v>
      </c>
      <c r="AC13" s="200">
        <f>Indexation!AC71</f>
        <v>30.697519710826572</v>
      </c>
      <c r="AD13" s="200">
        <f>Indexation!AD71</f>
        <v>31.616189737860612</v>
      </c>
      <c r="AE13" s="200">
        <f>Indexation!AE71</f>
        <v>32.567460717169681</v>
      </c>
      <c r="AF13" s="200">
        <f>Indexation!AF71</f>
        <v>33.552613761388173</v>
      </c>
      <c r="AG13" s="200">
        <f>Indexation!AG71</f>
        <v>34.572982873233116</v>
      </c>
      <c r="AH13" s="200">
        <f>Indexation!AH71</f>
        <v>35.629957176193585</v>
      </c>
      <c r="AI13" s="200">
        <f>Indexation!AI71</f>
        <v>36.724983240132545</v>
      </c>
      <c r="AJ13" s="200">
        <f>Indexation!AJ71</f>
        <v>37.859567505853654</v>
      </c>
      <c r="AK13" s="200">
        <f>Indexation!AK71</f>
        <v>39.035278812859367</v>
      </c>
      <c r="AL13" s="200">
        <f>Indexation!AL71</f>
        <v>38.777353960261244</v>
      </c>
      <c r="AM13" s="200">
        <f>Indexation!AM71</f>
        <v>23.38705442240024</v>
      </c>
      <c r="AN13" s="200">
        <f>Indexation!AN71</f>
        <v>24.388020351678964</v>
      </c>
      <c r="AO13" s="200">
        <f>Indexation!AO71</f>
        <v>8.3728330503309571</v>
      </c>
      <c r="AP13" s="200">
        <f>Indexation!AP71</f>
        <v>0</v>
      </c>
      <c r="AQ13" s="200">
        <f>Indexation!AQ71</f>
        <v>0</v>
      </c>
      <c r="AR13" s="200">
        <f>Indexation!AR71</f>
        <v>0</v>
      </c>
      <c r="AS13" s="200">
        <f>Indexation!AS71</f>
        <v>0</v>
      </c>
      <c r="AT13" s="200">
        <f>Indexation!AT71</f>
        <v>0</v>
      </c>
      <c r="AU13" s="200">
        <f>Indexation!AU71</f>
        <v>0</v>
      </c>
      <c r="AV13" s="200">
        <f>Indexation!AV71</f>
        <v>0</v>
      </c>
      <c r="AW13" s="200">
        <f>Indexation!AW71</f>
        <v>0</v>
      </c>
      <c r="AX13" s="200">
        <f>Indexation!AX71</f>
        <v>0</v>
      </c>
      <c r="AY13" s="200">
        <f>Indexation!AY71</f>
        <v>0</v>
      </c>
      <c r="AZ13" s="200">
        <f>Indexation!AZ71</f>
        <v>0</v>
      </c>
      <c r="BA13" s="200">
        <f>Indexation!BA71</f>
        <v>0</v>
      </c>
      <c r="BB13" s="200">
        <f>Indexation!BB71</f>
        <v>0</v>
      </c>
    </row>
    <row r="14" spans="1:55" ht="15" customHeight="1">
      <c r="A14" s="5"/>
      <c r="B14" s="5"/>
      <c r="C14" s="5"/>
      <c r="D14" s="5"/>
      <c r="J14" s="15"/>
      <c r="K14" s="15"/>
      <c r="L14" s="15"/>
      <c r="M14" s="15"/>
      <c r="N14" s="15"/>
      <c r="O14" s="15"/>
      <c r="P14" s="15"/>
      <c r="Q14" s="15"/>
      <c r="R14" s="15"/>
      <c r="S14" s="15"/>
      <c r="T14" s="15"/>
      <c r="U14" s="15"/>
      <c r="V14" s="15"/>
      <c r="W14" s="15"/>
      <c r="X14" s="15"/>
      <c r="Y14" s="15"/>
      <c r="Z14" s="15"/>
      <c r="AA14" s="15"/>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row>
    <row r="15" spans="1:55" s="59" customFormat="1" ht="15" customHeight="1">
      <c r="C15" s="38" t="s">
        <v>463</v>
      </c>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row>
    <row r="16" spans="1:55" ht="15" customHeight="1">
      <c r="A16" s="5"/>
      <c r="B16" s="5"/>
      <c r="C16" s="5"/>
      <c r="D16" s="5"/>
      <c r="J16" s="15"/>
      <c r="K16" s="15"/>
      <c r="L16" s="15"/>
      <c r="M16" s="15"/>
      <c r="N16" s="15"/>
      <c r="O16" s="15"/>
      <c r="P16" s="15"/>
      <c r="Q16" s="15"/>
      <c r="R16" s="15"/>
      <c r="S16" s="15"/>
      <c r="T16" s="15"/>
      <c r="U16" s="15"/>
      <c r="V16" s="15"/>
      <c r="W16" s="15"/>
      <c r="X16" s="15"/>
      <c r="Y16" s="15"/>
      <c r="Z16" s="15"/>
      <c r="AA16" s="15"/>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row>
    <row r="17" spans="1:54" ht="15" customHeight="1">
      <c r="A17" s="5"/>
      <c r="B17" s="5"/>
      <c r="C17" s="5"/>
      <c r="D17" s="5"/>
      <c r="E17" s="19" t="s">
        <v>206</v>
      </c>
      <c r="G17" s="5" t="s">
        <v>144</v>
      </c>
      <c r="I17" s="191">
        <f>op_years</f>
        <v>26</v>
      </c>
      <c r="J17" s="15"/>
      <c r="K17" s="15"/>
      <c r="L17" s="15"/>
      <c r="M17" s="15"/>
      <c r="N17" s="15"/>
      <c r="O17" s="15"/>
      <c r="P17" s="15"/>
      <c r="Q17" s="15"/>
      <c r="R17" s="15"/>
      <c r="S17" s="15"/>
      <c r="T17" s="15"/>
      <c r="U17" s="15"/>
      <c r="V17" s="15"/>
      <c r="W17" s="15"/>
      <c r="X17" s="15"/>
      <c r="Y17" s="15"/>
      <c r="Z17" s="15"/>
      <c r="AA17" s="15"/>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row>
    <row r="18" spans="1:54" ht="15" customHeight="1">
      <c r="A18" s="5"/>
      <c r="B18" s="5"/>
      <c r="C18" s="5"/>
      <c r="D18" s="5"/>
      <c r="E18" s="5" t="s">
        <v>464</v>
      </c>
      <c r="G18" s="5" t="s">
        <v>188</v>
      </c>
      <c r="H18" s="5"/>
      <c r="I18" s="92"/>
      <c r="J18" s="15"/>
      <c r="K18" s="15"/>
      <c r="L18" s="15"/>
      <c r="M18" s="15"/>
      <c r="N18" s="15"/>
      <c r="O18" s="31"/>
      <c r="P18" s="12" t="b">
        <f>AND(P$5&gt; 0,P$5&lt;= $I17)</f>
        <v>1</v>
      </c>
      <c r="Q18" s="12" t="b">
        <f t="shared" ref="Q18:Y18" si="0">AND(Q$5&gt; 0,Q$5&lt;= $I17)</f>
        <v>1</v>
      </c>
      <c r="R18" s="12" t="b">
        <f t="shared" si="0"/>
        <v>1</v>
      </c>
      <c r="S18" s="12" t="b">
        <f t="shared" si="0"/>
        <v>1</v>
      </c>
      <c r="T18" s="12" t="b">
        <f t="shared" si="0"/>
        <v>1</v>
      </c>
      <c r="U18" s="12" t="b">
        <f t="shared" si="0"/>
        <v>1</v>
      </c>
      <c r="V18" s="12" t="b">
        <f t="shared" si="0"/>
        <v>1</v>
      </c>
      <c r="W18" s="12" t="b">
        <f t="shared" si="0"/>
        <v>1</v>
      </c>
      <c r="X18" s="12" t="b">
        <f t="shared" si="0"/>
        <v>1</v>
      </c>
      <c r="Y18" s="12" t="b">
        <f t="shared" si="0"/>
        <v>1</v>
      </c>
      <c r="Z18" s="12" t="b">
        <f>AND(Z$5&gt; 0,Z$5&lt;= $I17)</f>
        <v>1</v>
      </c>
      <c r="AA18" s="12" t="b">
        <f t="shared" ref="AA18:BB18" si="1">AND(AA$5&gt; 0,AA$5&lt;= $I17)</f>
        <v>1</v>
      </c>
      <c r="AB18" s="12" t="b">
        <f t="shared" si="1"/>
        <v>1</v>
      </c>
      <c r="AC18" s="12" t="b">
        <f t="shared" si="1"/>
        <v>1</v>
      </c>
      <c r="AD18" s="12" t="b">
        <f t="shared" si="1"/>
        <v>1</v>
      </c>
      <c r="AE18" s="12" t="b">
        <f t="shared" si="1"/>
        <v>1</v>
      </c>
      <c r="AF18" s="12" t="b">
        <f t="shared" si="1"/>
        <v>1</v>
      </c>
      <c r="AG18" s="12" t="b">
        <f t="shared" si="1"/>
        <v>1</v>
      </c>
      <c r="AH18" s="12" t="b">
        <f t="shared" si="1"/>
        <v>1</v>
      </c>
      <c r="AI18" s="12" t="b">
        <f t="shared" si="1"/>
        <v>1</v>
      </c>
      <c r="AJ18" s="12" t="b">
        <f t="shared" si="1"/>
        <v>1</v>
      </c>
      <c r="AK18" s="12" t="b">
        <f t="shared" si="1"/>
        <v>1</v>
      </c>
      <c r="AL18" s="12" t="b">
        <f t="shared" si="1"/>
        <v>1</v>
      </c>
      <c r="AM18" s="12" t="b">
        <f t="shared" si="1"/>
        <v>1</v>
      </c>
      <c r="AN18" s="12" t="b">
        <f t="shared" si="1"/>
        <v>1</v>
      </c>
      <c r="AO18" s="12" t="b">
        <f t="shared" si="1"/>
        <v>1</v>
      </c>
      <c r="AP18" s="12" t="b">
        <f t="shared" si="1"/>
        <v>0</v>
      </c>
      <c r="AQ18" s="12" t="b">
        <f t="shared" si="1"/>
        <v>0</v>
      </c>
      <c r="AR18" s="12" t="b">
        <f t="shared" si="1"/>
        <v>0</v>
      </c>
      <c r="AS18" s="12" t="b">
        <f t="shared" si="1"/>
        <v>0</v>
      </c>
      <c r="AT18" s="12" t="b">
        <f t="shared" si="1"/>
        <v>0</v>
      </c>
      <c r="AU18" s="12" t="b">
        <f t="shared" si="1"/>
        <v>0</v>
      </c>
      <c r="AV18" s="12" t="b">
        <f t="shared" si="1"/>
        <v>0</v>
      </c>
      <c r="AW18" s="12" t="b">
        <f t="shared" si="1"/>
        <v>0</v>
      </c>
      <c r="AX18" s="12" t="b">
        <f t="shared" si="1"/>
        <v>0</v>
      </c>
      <c r="AY18" s="12" t="b">
        <f t="shared" si="1"/>
        <v>0</v>
      </c>
      <c r="AZ18" s="12" t="b">
        <f t="shared" si="1"/>
        <v>0</v>
      </c>
      <c r="BA18" s="12" t="b">
        <f t="shared" si="1"/>
        <v>0</v>
      </c>
      <c r="BB18" s="12" t="b">
        <f t="shared" si="1"/>
        <v>0</v>
      </c>
    </row>
    <row r="19" spans="1:54" ht="15" customHeight="1">
      <c r="A19" s="5"/>
      <c r="B19" s="5"/>
      <c r="C19" s="5"/>
      <c r="D19" s="5"/>
      <c r="E19" s="5"/>
      <c r="G19" s="5"/>
      <c r="H19" s="5"/>
      <c r="I19" s="92"/>
      <c r="J19" s="15"/>
      <c r="K19" s="15"/>
      <c r="L19" s="15"/>
      <c r="M19" s="15"/>
      <c r="N19" s="15"/>
      <c r="O19" s="15"/>
      <c r="P19" s="15"/>
      <c r="Q19" s="15"/>
      <c r="R19" s="15"/>
      <c r="S19" s="15"/>
      <c r="T19" s="15"/>
      <c r="U19" s="15"/>
      <c r="V19" s="15"/>
      <c r="W19" s="15"/>
      <c r="X19" s="15"/>
      <c r="Y19" s="15"/>
      <c r="Z19" s="15"/>
      <c r="AA19" s="15"/>
      <c r="AB19" s="15"/>
      <c r="AC19" s="15"/>
      <c r="AD19" s="15"/>
      <c r="AE19" s="15"/>
      <c r="AF19" s="15"/>
      <c r="AG19" s="15"/>
      <c r="AH19" s="15"/>
      <c r="AI19" s="15"/>
      <c r="AJ19" s="15"/>
      <c r="AK19" s="15"/>
      <c r="AL19" s="15"/>
      <c r="AM19" s="15"/>
      <c r="AN19" s="15"/>
      <c r="AO19" s="15"/>
      <c r="AP19" s="15"/>
      <c r="AQ19" s="15"/>
      <c r="AR19" s="15"/>
      <c r="AS19" s="15"/>
      <c r="AT19" s="15"/>
      <c r="AU19" s="15"/>
      <c r="AV19" s="15"/>
      <c r="AW19" s="15"/>
      <c r="AX19" s="15"/>
      <c r="AY19" s="15"/>
      <c r="AZ19" s="15"/>
      <c r="BA19" s="15"/>
      <c r="BB19" s="15"/>
    </row>
    <row r="20" spans="1:54" ht="15" customHeight="1">
      <c r="A20" s="5"/>
      <c r="B20" s="5"/>
      <c r="C20" s="5"/>
      <c r="D20" s="5"/>
      <c r="E20" s="19" t="s">
        <v>264</v>
      </c>
      <c r="G20" s="5" t="s">
        <v>265</v>
      </c>
      <c r="H20" s="19" t="s">
        <v>266</v>
      </c>
      <c r="I20" s="191">
        <f>Inputs!I136</f>
        <v>500</v>
      </c>
      <c r="J20" s="15"/>
      <c r="K20" s="15"/>
      <c r="L20" s="15"/>
      <c r="M20" s="15"/>
      <c r="N20" s="15"/>
      <c r="O20" s="15"/>
      <c r="P20" s="15"/>
      <c r="Q20" s="15"/>
      <c r="R20" s="15"/>
      <c r="S20" s="15"/>
      <c r="T20" s="15"/>
      <c r="U20" s="15"/>
      <c r="V20" s="15"/>
      <c r="W20" s="15"/>
      <c r="X20" s="15"/>
      <c r="Y20" s="15"/>
      <c r="Z20" s="15"/>
      <c r="AA20" s="15"/>
      <c r="AB20" s="15"/>
      <c r="AC20" s="15"/>
      <c r="AD20" s="15"/>
      <c r="AE20" s="15"/>
      <c r="AF20" s="15"/>
      <c r="AG20" s="15"/>
      <c r="AH20" s="15"/>
      <c r="AI20" s="15"/>
      <c r="AJ20" s="15"/>
      <c r="AK20" s="15"/>
      <c r="AL20" s="15"/>
      <c r="AM20" s="15"/>
      <c r="AN20" s="15"/>
      <c r="AO20" s="15"/>
      <c r="AP20" s="15"/>
      <c r="AQ20" s="15"/>
      <c r="AR20" s="15"/>
      <c r="AS20" s="15"/>
      <c r="AT20" s="15"/>
      <c r="AU20" s="15"/>
      <c r="AV20" s="15"/>
      <c r="AW20" s="15"/>
      <c r="AX20" s="15"/>
      <c r="AY20" s="15"/>
      <c r="AZ20" s="15"/>
      <c r="BA20" s="15"/>
      <c r="BB20" s="15"/>
    </row>
    <row r="21" spans="1:54" ht="15" customHeight="1">
      <c r="A21" s="5"/>
      <c r="B21" s="5"/>
      <c r="C21" s="5"/>
      <c r="D21" s="5"/>
      <c r="E21" s="19" t="s">
        <v>267</v>
      </c>
      <c r="G21" s="5" t="s">
        <v>268</v>
      </c>
      <c r="I21" s="191">
        <f>Inputs!I137</f>
        <v>8766</v>
      </c>
      <c r="J21" s="15"/>
      <c r="K21" s="15"/>
      <c r="L21" s="15"/>
      <c r="M21" s="15"/>
      <c r="N21" s="15"/>
      <c r="O21" s="15"/>
      <c r="P21" s="15"/>
      <c r="Q21" s="15"/>
      <c r="R21" s="15"/>
      <c r="S21" s="15"/>
      <c r="T21" s="15"/>
      <c r="U21" s="15"/>
      <c r="V21" s="15"/>
      <c r="W21" s="15"/>
      <c r="X21" s="15"/>
      <c r="Y21" s="15"/>
      <c r="Z21" s="15"/>
      <c r="AA21" s="15"/>
      <c r="AB21" s="15"/>
      <c r="AC21" s="15"/>
      <c r="AD21" s="15"/>
      <c r="AE21" s="15"/>
      <c r="AF21" s="15"/>
      <c r="AG21" s="15"/>
      <c r="AH21" s="15"/>
      <c r="AI21" s="15"/>
      <c r="AJ21" s="15"/>
      <c r="AK21" s="15"/>
      <c r="AL21" s="15"/>
      <c r="AM21" s="15"/>
      <c r="AN21" s="15"/>
      <c r="AO21" s="15"/>
      <c r="AP21" s="15"/>
      <c r="AQ21" s="15"/>
      <c r="AR21" s="15"/>
      <c r="AS21" s="15"/>
      <c r="AT21" s="15"/>
      <c r="AU21" s="15"/>
      <c r="AV21" s="15"/>
      <c r="AW21" s="15"/>
      <c r="AX21" s="15"/>
      <c r="AY21" s="15"/>
      <c r="AZ21" s="15"/>
      <c r="BA21" s="15"/>
      <c r="BB21" s="15"/>
    </row>
    <row r="22" spans="1:54" ht="15" customHeight="1">
      <c r="A22" s="5"/>
      <c r="B22" s="5"/>
      <c r="C22" s="5"/>
      <c r="D22" s="5"/>
      <c r="G22" s="5"/>
      <c r="I22" s="92"/>
      <c r="J22" s="15"/>
      <c r="K22" s="15"/>
      <c r="L22" s="15"/>
      <c r="M22" s="15"/>
      <c r="N22" s="15"/>
      <c r="O22" s="15"/>
      <c r="P22" s="15"/>
      <c r="Q22" s="15"/>
      <c r="R22" s="15"/>
      <c r="S22" s="15"/>
      <c r="T22" s="15"/>
      <c r="U22" s="15"/>
      <c r="V22" s="15"/>
      <c r="W22" s="15"/>
      <c r="X22" s="15"/>
      <c r="Y22" s="15"/>
      <c r="Z22" s="15"/>
      <c r="AA22" s="15"/>
      <c r="AB22" s="15"/>
      <c r="AC22" s="15"/>
      <c r="AD22" s="15"/>
      <c r="AE22" s="15"/>
      <c r="AF22" s="15"/>
      <c r="AG22" s="15"/>
      <c r="AH22" s="15"/>
      <c r="AI22" s="15"/>
      <c r="AJ22" s="15"/>
      <c r="AK22" s="15"/>
      <c r="AL22" s="15"/>
      <c r="AM22" s="15"/>
      <c r="AN22" s="15"/>
      <c r="AO22" s="15"/>
      <c r="AP22" s="15"/>
      <c r="AQ22" s="15"/>
      <c r="AR22" s="15"/>
      <c r="AS22" s="15"/>
      <c r="AT22" s="15"/>
      <c r="AU22" s="15"/>
      <c r="AV22" s="15"/>
      <c r="AW22" s="15"/>
      <c r="AX22" s="15"/>
      <c r="AY22" s="15"/>
      <c r="AZ22" s="15"/>
      <c r="BA22" s="15"/>
      <c r="BB22" s="15"/>
    </row>
    <row r="23" spans="1:54" s="59" customFormat="1" ht="15" customHeight="1">
      <c r="C23" s="38" t="s">
        <v>465</v>
      </c>
      <c r="D23" s="38"/>
      <c r="E23" s="38"/>
      <c r="F23" s="38"/>
      <c r="G23" s="38"/>
      <c r="H23" s="38"/>
      <c r="I23" s="38"/>
      <c r="J23" s="38"/>
      <c r="K23" s="38"/>
      <c r="L23" s="38"/>
      <c r="M23" s="38"/>
      <c r="N23" s="38"/>
      <c r="O23" s="38"/>
      <c r="P23" s="38"/>
      <c r="Q23" s="38"/>
      <c r="R23" s="38"/>
      <c r="S23" s="38"/>
      <c r="T23" s="38"/>
      <c r="U23" s="38"/>
      <c r="V23" s="38"/>
      <c r="W23" s="38"/>
      <c r="X23" s="38"/>
      <c r="Y23" s="38"/>
      <c r="Z23" s="38"/>
      <c r="AA23" s="38"/>
      <c r="AB23" s="38"/>
      <c r="AC23" s="38"/>
      <c r="AD23" s="38"/>
      <c r="AE23" s="38"/>
      <c r="AF23" s="38"/>
      <c r="AG23" s="38"/>
      <c r="AH23" s="38"/>
      <c r="AI23" s="38"/>
      <c r="AJ23" s="38"/>
      <c r="AK23" s="38"/>
      <c r="AL23" s="38"/>
      <c r="AM23" s="38"/>
      <c r="AN23" s="38"/>
      <c r="AO23" s="38"/>
      <c r="AP23" s="38"/>
      <c r="AQ23" s="38"/>
      <c r="AR23" s="38"/>
      <c r="AS23" s="38"/>
      <c r="AT23" s="38"/>
      <c r="AU23" s="38"/>
      <c r="AV23" s="38"/>
      <c r="AW23" s="38"/>
      <c r="AX23" s="38"/>
      <c r="AY23" s="38"/>
      <c r="AZ23" s="38"/>
      <c r="BA23" s="38"/>
      <c r="BB23" s="38"/>
    </row>
    <row r="24" spans="1:54" ht="15" customHeight="1">
      <c r="A24" s="5"/>
      <c r="B24" s="19"/>
      <c r="C24" s="5"/>
      <c r="D24" s="5"/>
      <c r="G24" s="5"/>
      <c r="I24" s="53"/>
      <c r="J24" s="6"/>
      <c r="K24" s="6"/>
      <c r="L24" s="6"/>
      <c r="M24" s="6"/>
      <c r="N24" s="6"/>
      <c r="O24" s="17"/>
      <c r="P24" s="17"/>
      <c r="Q24" s="17"/>
      <c r="R24" s="17"/>
      <c r="S24" s="17"/>
      <c r="T24" s="17"/>
      <c r="U24" s="17"/>
      <c r="V24" s="17"/>
      <c r="W24" s="17"/>
      <c r="X24" s="17"/>
      <c r="Y24" s="17"/>
      <c r="Z24" s="17"/>
      <c r="AA24" s="17"/>
      <c r="AB24" s="17"/>
      <c r="AC24" s="17"/>
      <c r="AD24" s="17"/>
      <c r="AE24" s="17"/>
      <c r="AF24" s="17"/>
      <c r="AG24" s="17"/>
      <c r="AH24" s="17"/>
      <c r="AI24" s="17"/>
      <c r="AJ24" s="17"/>
      <c r="AK24" s="17"/>
      <c r="AL24" s="17"/>
      <c r="AM24" s="17"/>
      <c r="AN24" s="17"/>
      <c r="AO24" s="17"/>
      <c r="AP24" s="17"/>
      <c r="AQ24" s="17"/>
      <c r="AR24" s="17"/>
      <c r="AS24" s="17"/>
      <c r="AT24" s="17"/>
      <c r="AU24" s="17"/>
      <c r="AV24" s="17"/>
      <c r="AW24" s="17"/>
      <c r="AX24" s="17"/>
      <c r="AY24" s="17"/>
      <c r="AZ24" s="17"/>
      <c r="BA24" s="17"/>
      <c r="BB24" s="17"/>
    </row>
    <row r="25" spans="1:54" ht="15" customHeight="1">
      <c r="A25" s="5"/>
      <c r="B25" s="19"/>
      <c r="C25" s="5"/>
      <c r="D25" s="5"/>
      <c r="E25" s="33" t="str">
        <f>Inputs!E132</f>
        <v>Cap availability incentive target</v>
      </c>
      <c r="G25" s="33" t="str">
        <f>Inputs!G132</f>
        <v>%</v>
      </c>
      <c r="I25" s="187">
        <f>Inputs!I132</f>
        <v>0.97550000000000003</v>
      </c>
      <c r="J25" s="15"/>
      <c r="K25" s="15"/>
      <c r="L25" s="15"/>
      <c r="M25" s="15"/>
      <c r="N25" s="15"/>
      <c r="O25" s="15"/>
      <c r="P25" s="15"/>
      <c r="Q25" s="15"/>
      <c r="R25" s="15"/>
      <c r="S25" s="15"/>
      <c r="T25" s="15"/>
      <c r="U25" s="15"/>
      <c r="V25" s="15"/>
      <c r="W25" s="15"/>
      <c r="X25" s="15"/>
      <c r="Y25" s="15"/>
      <c r="AA25" s="15"/>
      <c r="AB25" s="15"/>
      <c r="AC25" s="15"/>
      <c r="AD25" s="15"/>
      <c r="AE25" s="15"/>
      <c r="AF25" s="15"/>
      <c r="AG25" s="15"/>
      <c r="AH25" s="15"/>
      <c r="AI25" s="15"/>
      <c r="AJ25" s="15"/>
      <c r="AK25" s="15"/>
      <c r="AL25" s="15"/>
      <c r="AM25" s="15"/>
      <c r="AN25" s="15"/>
      <c r="AO25" s="15"/>
      <c r="AP25" s="15"/>
      <c r="AQ25" s="15"/>
      <c r="AR25" s="15"/>
      <c r="AS25" s="15"/>
      <c r="AT25" s="15"/>
      <c r="AU25" s="15"/>
      <c r="AV25" s="15"/>
      <c r="AW25" s="15"/>
      <c r="AX25" s="15"/>
      <c r="AY25" s="15"/>
      <c r="AZ25" s="15"/>
      <c r="BA25" s="15"/>
      <c r="BB25" s="15"/>
    </row>
    <row r="26" spans="1:54" ht="15" customHeight="1">
      <c r="A26" s="5"/>
      <c r="B26" s="19"/>
      <c r="C26" s="5"/>
      <c r="D26" s="5"/>
      <c r="E26" s="19" t="s">
        <v>416</v>
      </c>
      <c r="G26" s="5" t="s">
        <v>193</v>
      </c>
      <c r="H26" s="19" t="s">
        <v>194</v>
      </c>
      <c r="I26" s="18"/>
      <c r="J26" s="15"/>
      <c r="K26" s="15"/>
      <c r="L26" s="15"/>
      <c r="M26" s="15"/>
      <c r="N26" s="15"/>
      <c r="O26" s="31"/>
      <c r="P26" s="192">
        <f>Inputs!P70</f>
        <v>0.67077344284736484</v>
      </c>
      <c r="Q26" s="192">
        <f>Inputs!Q70</f>
        <v>1</v>
      </c>
      <c r="R26" s="192">
        <f>Inputs!R70</f>
        <v>1</v>
      </c>
      <c r="S26" s="192">
        <f>Inputs!S70</f>
        <v>1</v>
      </c>
      <c r="T26" s="192">
        <f>Inputs!T70</f>
        <v>1</v>
      </c>
      <c r="U26" s="192">
        <f>Inputs!U70</f>
        <v>1</v>
      </c>
      <c r="V26" s="192">
        <f>Inputs!V70</f>
        <v>1</v>
      </c>
      <c r="W26" s="192">
        <f>Inputs!W70</f>
        <v>1</v>
      </c>
      <c r="X26" s="192">
        <f>Inputs!X70</f>
        <v>1</v>
      </c>
      <c r="Y26" s="192">
        <f>Inputs!Y70</f>
        <v>1</v>
      </c>
      <c r="Z26" s="192">
        <f>Inputs!Z70</f>
        <v>1</v>
      </c>
      <c r="AA26" s="192">
        <f>Inputs!AA70</f>
        <v>1</v>
      </c>
      <c r="AB26" s="192">
        <f>Inputs!AB70</f>
        <v>1</v>
      </c>
      <c r="AC26" s="192">
        <f>Inputs!AC70</f>
        <v>1</v>
      </c>
      <c r="AD26" s="192">
        <f>Inputs!AD70</f>
        <v>1</v>
      </c>
      <c r="AE26" s="192">
        <f>Inputs!AE70</f>
        <v>1</v>
      </c>
      <c r="AF26" s="192">
        <f>Inputs!AF70</f>
        <v>1</v>
      </c>
      <c r="AG26" s="192">
        <f>Inputs!AG70</f>
        <v>1</v>
      </c>
      <c r="AH26" s="192">
        <f>Inputs!AH70</f>
        <v>1</v>
      </c>
      <c r="AI26" s="192">
        <f>Inputs!AI70</f>
        <v>1</v>
      </c>
      <c r="AJ26" s="192">
        <f>Inputs!AJ70</f>
        <v>1</v>
      </c>
      <c r="AK26" s="192">
        <f>Inputs!AK70</f>
        <v>1</v>
      </c>
      <c r="AL26" s="192">
        <f>Inputs!AL70</f>
        <v>1</v>
      </c>
      <c r="AM26" s="192">
        <f>Inputs!AM70</f>
        <v>1</v>
      </c>
      <c r="AN26" s="192">
        <f>Inputs!AN70</f>
        <v>1</v>
      </c>
      <c r="AO26" s="192">
        <f>Inputs!AO70</f>
        <v>0.32922655715263516</v>
      </c>
      <c r="AP26" s="192">
        <f>Inputs!AP70</f>
        <v>0</v>
      </c>
      <c r="AQ26" s="192">
        <f>Inputs!AQ70</f>
        <v>0</v>
      </c>
      <c r="AR26" s="192">
        <f>Inputs!AR70</f>
        <v>0</v>
      </c>
      <c r="AS26" s="192">
        <f>Inputs!AS70</f>
        <v>0</v>
      </c>
      <c r="AT26" s="192">
        <f>Inputs!AT70</f>
        <v>0</v>
      </c>
      <c r="AU26" s="192">
        <f>Inputs!AU70</f>
        <v>0</v>
      </c>
      <c r="AV26" s="192">
        <f>Inputs!AV70</f>
        <v>0</v>
      </c>
      <c r="AW26" s="192">
        <f>Inputs!AW70</f>
        <v>0</v>
      </c>
      <c r="AX26" s="192">
        <f>Inputs!AX70</f>
        <v>0</v>
      </c>
      <c r="AY26" s="192">
        <f>Inputs!AY70</f>
        <v>0</v>
      </c>
      <c r="AZ26" s="192">
        <f>Inputs!AZ70</f>
        <v>0</v>
      </c>
      <c r="BA26" s="192">
        <f>Inputs!BA70</f>
        <v>0</v>
      </c>
      <c r="BB26" s="192">
        <f>Inputs!BB70</f>
        <v>0</v>
      </c>
    </row>
    <row r="27" spans="1:54" ht="15" customHeight="1">
      <c r="A27" s="5"/>
      <c r="B27" s="19"/>
      <c r="C27" s="5"/>
      <c r="D27" s="5"/>
      <c r="E27" s="19" t="s">
        <v>466</v>
      </c>
      <c r="G27" s="5" t="s">
        <v>270</v>
      </c>
      <c r="H27" s="19" t="s">
        <v>467</v>
      </c>
      <c r="I27" s="18"/>
      <c r="J27" s="15"/>
      <c r="K27" s="15"/>
      <c r="L27" s="15"/>
      <c r="M27" s="15"/>
      <c r="N27" s="15"/>
      <c r="O27" s="31"/>
      <c r="P27" s="42">
        <f t="shared" ref="P27:Z27" si="2">$I$20*$I$21*P26</f>
        <v>2940000</v>
      </c>
      <c r="Q27" s="42">
        <f t="shared" si="2"/>
        <v>4383000</v>
      </c>
      <c r="R27" s="42">
        <f t="shared" si="2"/>
        <v>4383000</v>
      </c>
      <c r="S27" s="42">
        <f t="shared" si="2"/>
        <v>4383000</v>
      </c>
      <c r="T27" s="42">
        <f t="shared" si="2"/>
        <v>4383000</v>
      </c>
      <c r="U27" s="42">
        <f t="shared" si="2"/>
        <v>4383000</v>
      </c>
      <c r="V27" s="42">
        <f t="shared" si="2"/>
        <v>4383000</v>
      </c>
      <c r="W27" s="42">
        <f t="shared" si="2"/>
        <v>4383000</v>
      </c>
      <c r="X27" s="42">
        <f t="shared" si="2"/>
        <v>4383000</v>
      </c>
      <c r="Y27" s="42">
        <f t="shared" si="2"/>
        <v>4383000</v>
      </c>
      <c r="Z27" s="42">
        <f t="shared" si="2"/>
        <v>4383000</v>
      </c>
      <c r="AA27" s="42">
        <f>$I$20*$I$21*AA26</f>
        <v>4383000</v>
      </c>
      <c r="AB27" s="42">
        <f t="shared" ref="AB27:BB27" si="3">$I$20*$I$21*AB26</f>
        <v>4383000</v>
      </c>
      <c r="AC27" s="42">
        <f t="shared" si="3"/>
        <v>4383000</v>
      </c>
      <c r="AD27" s="42">
        <f t="shared" si="3"/>
        <v>4383000</v>
      </c>
      <c r="AE27" s="42">
        <f t="shared" si="3"/>
        <v>4383000</v>
      </c>
      <c r="AF27" s="42">
        <f t="shared" si="3"/>
        <v>4383000</v>
      </c>
      <c r="AG27" s="42">
        <f t="shared" si="3"/>
        <v>4383000</v>
      </c>
      <c r="AH27" s="42">
        <f t="shared" si="3"/>
        <v>4383000</v>
      </c>
      <c r="AI27" s="42">
        <f t="shared" si="3"/>
        <v>4383000</v>
      </c>
      <c r="AJ27" s="42">
        <f t="shared" si="3"/>
        <v>4383000</v>
      </c>
      <c r="AK27" s="42">
        <f t="shared" si="3"/>
        <v>4383000</v>
      </c>
      <c r="AL27" s="42">
        <f t="shared" si="3"/>
        <v>4383000</v>
      </c>
      <c r="AM27" s="42">
        <f t="shared" si="3"/>
        <v>4383000</v>
      </c>
      <c r="AN27" s="42">
        <f t="shared" si="3"/>
        <v>4383000</v>
      </c>
      <c r="AO27" s="42">
        <f t="shared" si="3"/>
        <v>1443000</v>
      </c>
      <c r="AP27" s="42">
        <f t="shared" si="3"/>
        <v>0</v>
      </c>
      <c r="AQ27" s="42">
        <f t="shared" si="3"/>
        <v>0</v>
      </c>
      <c r="AR27" s="42">
        <f t="shared" si="3"/>
        <v>0</v>
      </c>
      <c r="AS27" s="42">
        <f t="shared" si="3"/>
        <v>0</v>
      </c>
      <c r="AT27" s="42">
        <f t="shared" si="3"/>
        <v>0</v>
      </c>
      <c r="AU27" s="42">
        <f t="shared" si="3"/>
        <v>0</v>
      </c>
      <c r="AV27" s="42">
        <f t="shared" si="3"/>
        <v>0</v>
      </c>
      <c r="AW27" s="42">
        <f t="shared" si="3"/>
        <v>0</v>
      </c>
      <c r="AX27" s="42">
        <f t="shared" si="3"/>
        <v>0</v>
      </c>
      <c r="AY27" s="42">
        <f t="shared" si="3"/>
        <v>0</v>
      </c>
      <c r="AZ27" s="42">
        <f t="shared" si="3"/>
        <v>0</v>
      </c>
      <c r="BA27" s="42">
        <f t="shared" si="3"/>
        <v>0</v>
      </c>
      <c r="BB27" s="42">
        <f t="shared" si="3"/>
        <v>0</v>
      </c>
    </row>
    <row r="28" spans="1:54" ht="26.25">
      <c r="A28" s="19"/>
      <c r="B28" s="19"/>
      <c r="C28" s="19"/>
      <c r="E28" s="45" t="s">
        <v>272</v>
      </c>
      <c r="G28" s="5" t="s">
        <v>270</v>
      </c>
      <c r="H28" s="19" t="s">
        <v>273</v>
      </c>
      <c r="O28" s="31"/>
      <c r="P28" s="193">
        <f>Inputs!P141</f>
        <v>0</v>
      </c>
      <c r="Q28" s="193">
        <f>Inputs!Q141</f>
        <v>0</v>
      </c>
      <c r="R28" s="193">
        <f>Inputs!R141</f>
        <v>0</v>
      </c>
      <c r="S28" s="193">
        <f>Inputs!S141</f>
        <v>0</v>
      </c>
      <c r="T28" s="193">
        <f>Inputs!T141</f>
        <v>0</v>
      </c>
      <c r="U28" s="193">
        <f>Inputs!U141</f>
        <v>0</v>
      </c>
      <c r="V28" s="193">
        <f>Inputs!V141</f>
        <v>0</v>
      </c>
      <c r="W28" s="193">
        <f>Inputs!W141</f>
        <v>0</v>
      </c>
      <c r="X28" s="193">
        <f>Inputs!X141</f>
        <v>0</v>
      </c>
      <c r="Y28" s="193">
        <f>Inputs!Y141</f>
        <v>0</v>
      </c>
      <c r="Z28" s="193">
        <f>Inputs!Z141</f>
        <v>0</v>
      </c>
      <c r="AA28" s="193">
        <f>Inputs!AA141</f>
        <v>0</v>
      </c>
      <c r="AB28" s="193">
        <f>Inputs!AB141</f>
        <v>0</v>
      </c>
      <c r="AC28" s="193">
        <f>Inputs!AC141</f>
        <v>0</v>
      </c>
      <c r="AD28" s="193">
        <f>Inputs!AD141</f>
        <v>0</v>
      </c>
      <c r="AE28" s="193">
        <f>Inputs!AE141</f>
        <v>0</v>
      </c>
      <c r="AF28" s="193">
        <f>Inputs!AF141</f>
        <v>0</v>
      </c>
      <c r="AG28" s="193">
        <f>Inputs!AG141</f>
        <v>0</v>
      </c>
      <c r="AH28" s="193">
        <f>Inputs!AH141</f>
        <v>0</v>
      </c>
      <c r="AI28" s="193">
        <f>Inputs!AI141</f>
        <v>0</v>
      </c>
      <c r="AJ28" s="193">
        <f>Inputs!AJ141</f>
        <v>0</v>
      </c>
      <c r="AK28" s="193">
        <f>Inputs!AK141</f>
        <v>0</v>
      </c>
      <c r="AL28" s="193">
        <f>Inputs!AL141</f>
        <v>0</v>
      </c>
      <c r="AM28" s="193">
        <f>Inputs!AM141</f>
        <v>0</v>
      </c>
      <c r="AN28" s="193">
        <f>Inputs!AN141</f>
        <v>0</v>
      </c>
      <c r="AO28" s="193">
        <f>Inputs!AO141</f>
        <v>0</v>
      </c>
      <c r="AP28" s="193">
        <f>Inputs!AP141</f>
        <v>0</v>
      </c>
      <c r="AQ28" s="193">
        <f>Inputs!AQ141</f>
        <v>0</v>
      </c>
      <c r="AR28" s="193">
        <f>Inputs!AR141</f>
        <v>0</v>
      </c>
      <c r="AS28" s="193">
        <f>Inputs!AS141</f>
        <v>0</v>
      </c>
      <c r="AT28" s="193">
        <f>Inputs!AT141</f>
        <v>0</v>
      </c>
      <c r="AU28" s="193">
        <f>Inputs!AU141</f>
        <v>0</v>
      </c>
      <c r="AV28" s="193">
        <f>Inputs!AV141</f>
        <v>0</v>
      </c>
      <c r="AW28" s="193">
        <f>Inputs!AW141</f>
        <v>0</v>
      </c>
      <c r="AX28" s="193">
        <f>Inputs!AX141</f>
        <v>0</v>
      </c>
      <c r="AY28" s="193">
        <f>Inputs!AY141</f>
        <v>0</v>
      </c>
      <c r="AZ28" s="193">
        <f>Inputs!AZ141</f>
        <v>0</v>
      </c>
      <c r="BA28" s="193">
        <f>Inputs!BA141</f>
        <v>0</v>
      </c>
      <c r="BB28" s="193">
        <f>Inputs!BB141</f>
        <v>0</v>
      </c>
    </row>
    <row r="29" spans="1:54" ht="15" customHeight="1">
      <c r="A29" s="5"/>
      <c r="B29" s="19"/>
      <c r="C29" s="5"/>
      <c r="D29" s="5"/>
      <c r="E29" s="19" t="s">
        <v>468</v>
      </c>
      <c r="G29" s="18" t="s">
        <v>270</v>
      </c>
      <c r="H29" s="19" t="s">
        <v>469</v>
      </c>
      <c r="I29" s="18"/>
      <c r="J29" s="15"/>
      <c r="K29" s="15"/>
      <c r="L29" s="15"/>
      <c r="M29" s="15"/>
      <c r="N29" s="15"/>
      <c r="O29" s="31"/>
      <c r="P29" s="42">
        <f t="shared" ref="P29:BB29" si="4">P27-P28</f>
        <v>2940000</v>
      </c>
      <c r="Q29" s="42">
        <f t="shared" si="4"/>
        <v>4383000</v>
      </c>
      <c r="R29" s="42">
        <f t="shared" si="4"/>
        <v>4383000</v>
      </c>
      <c r="S29" s="42">
        <f t="shared" si="4"/>
        <v>4383000</v>
      </c>
      <c r="T29" s="42">
        <f t="shared" si="4"/>
        <v>4383000</v>
      </c>
      <c r="U29" s="42">
        <f t="shared" si="4"/>
        <v>4383000</v>
      </c>
      <c r="V29" s="42">
        <f t="shared" si="4"/>
        <v>4383000</v>
      </c>
      <c r="W29" s="42">
        <f t="shared" si="4"/>
        <v>4383000</v>
      </c>
      <c r="X29" s="42">
        <f t="shared" si="4"/>
        <v>4383000</v>
      </c>
      <c r="Y29" s="42">
        <f t="shared" si="4"/>
        <v>4383000</v>
      </c>
      <c r="Z29" s="42">
        <f t="shared" si="4"/>
        <v>4383000</v>
      </c>
      <c r="AA29" s="42">
        <f t="shared" si="4"/>
        <v>4383000</v>
      </c>
      <c r="AB29" s="42">
        <f t="shared" si="4"/>
        <v>4383000</v>
      </c>
      <c r="AC29" s="42">
        <f t="shared" si="4"/>
        <v>4383000</v>
      </c>
      <c r="AD29" s="42">
        <f t="shared" si="4"/>
        <v>4383000</v>
      </c>
      <c r="AE29" s="42">
        <f t="shared" si="4"/>
        <v>4383000</v>
      </c>
      <c r="AF29" s="42">
        <f t="shared" si="4"/>
        <v>4383000</v>
      </c>
      <c r="AG29" s="42">
        <f t="shared" si="4"/>
        <v>4383000</v>
      </c>
      <c r="AH29" s="42">
        <f t="shared" si="4"/>
        <v>4383000</v>
      </c>
      <c r="AI29" s="42">
        <f t="shared" si="4"/>
        <v>4383000</v>
      </c>
      <c r="AJ29" s="42">
        <f t="shared" si="4"/>
        <v>4383000</v>
      </c>
      <c r="AK29" s="42">
        <f t="shared" si="4"/>
        <v>4383000</v>
      </c>
      <c r="AL29" s="42">
        <f t="shared" si="4"/>
        <v>4383000</v>
      </c>
      <c r="AM29" s="42">
        <f t="shared" si="4"/>
        <v>4383000</v>
      </c>
      <c r="AN29" s="42">
        <f t="shared" si="4"/>
        <v>4383000</v>
      </c>
      <c r="AO29" s="42">
        <f t="shared" si="4"/>
        <v>1443000</v>
      </c>
      <c r="AP29" s="42">
        <f t="shared" si="4"/>
        <v>0</v>
      </c>
      <c r="AQ29" s="42">
        <f t="shared" si="4"/>
        <v>0</v>
      </c>
      <c r="AR29" s="42">
        <f t="shared" si="4"/>
        <v>0</v>
      </c>
      <c r="AS29" s="42">
        <f t="shared" si="4"/>
        <v>0</v>
      </c>
      <c r="AT29" s="42">
        <f t="shared" si="4"/>
        <v>0</v>
      </c>
      <c r="AU29" s="42">
        <f t="shared" si="4"/>
        <v>0</v>
      </c>
      <c r="AV29" s="42">
        <f t="shared" si="4"/>
        <v>0</v>
      </c>
      <c r="AW29" s="42">
        <f t="shared" si="4"/>
        <v>0</v>
      </c>
      <c r="AX29" s="42">
        <f t="shared" si="4"/>
        <v>0</v>
      </c>
      <c r="AY29" s="42">
        <f t="shared" si="4"/>
        <v>0</v>
      </c>
      <c r="AZ29" s="42">
        <f t="shared" si="4"/>
        <v>0</v>
      </c>
      <c r="BA29" s="42">
        <f t="shared" si="4"/>
        <v>0</v>
      </c>
      <c r="BB29" s="42">
        <f t="shared" si="4"/>
        <v>0</v>
      </c>
    </row>
    <row r="30" spans="1:54" ht="15" customHeight="1">
      <c r="A30" s="5"/>
      <c r="B30" s="19"/>
      <c r="C30" s="5"/>
      <c r="D30" s="5"/>
      <c r="E30" s="19" t="s">
        <v>470</v>
      </c>
      <c r="G30" s="18" t="s">
        <v>270</v>
      </c>
      <c r="H30" s="19" t="s">
        <v>471</v>
      </c>
      <c r="I30" s="18"/>
      <c r="J30" s="15"/>
      <c r="K30" s="15"/>
      <c r="L30" s="15"/>
      <c r="M30" s="15"/>
      <c r="N30" s="15"/>
      <c r="O30" s="31"/>
      <c r="P30" s="42">
        <f>P27*$I25</f>
        <v>2867970</v>
      </c>
      <c r="Q30" s="42">
        <f t="shared" ref="Q30:BB30" si="5">Q27*$I25</f>
        <v>4275616.5</v>
      </c>
      <c r="R30" s="42">
        <f t="shared" si="5"/>
        <v>4275616.5</v>
      </c>
      <c r="S30" s="42">
        <f t="shared" si="5"/>
        <v>4275616.5</v>
      </c>
      <c r="T30" s="42">
        <f t="shared" si="5"/>
        <v>4275616.5</v>
      </c>
      <c r="U30" s="42">
        <f t="shared" si="5"/>
        <v>4275616.5</v>
      </c>
      <c r="V30" s="42">
        <f t="shared" si="5"/>
        <v>4275616.5</v>
      </c>
      <c r="W30" s="42">
        <f t="shared" si="5"/>
        <v>4275616.5</v>
      </c>
      <c r="X30" s="42">
        <f t="shared" si="5"/>
        <v>4275616.5</v>
      </c>
      <c r="Y30" s="42">
        <f t="shared" si="5"/>
        <v>4275616.5</v>
      </c>
      <c r="Z30" s="42">
        <f t="shared" si="5"/>
        <v>4275616.5</v>
      </c>
      <c r="AA30" s="42">
        <f t="shared" si="5"/>
        <v>4275616.5</v>
      </c>
      <c r="AB30" s="42">
        <f t="shared" si="5"/>
        <v>4275616.5</v>
      </c>
      <c r="AC30" s="42">
        <f t="shared" si="5"/>
        <v>4275616.5</v>
      </c>
      <c r="AD30" s="42">
        <f t="shared" si="5"/>
        <v>4275616.5</v>
      </c>
      <c r="AE30" s="42">
        <f t="shared" si="5"/>
        <v>4275616.5</v>
      </c>
      <c r="AF30" s="42">
        <f t="shared" si="5"/>
        <v>4275616.5</v>
      </c>
      <c r="AG30" s="42">
        <f t="shared" si="5"/>
        <v>4275616.5</v>
      </c>
      <c r="AH30" s="42">
        <f t="shared" si="5"/>
        <v>4275616.5</v>
      </c>
      <c r="AI30" s="42">
        <f t="shared" si="5"/>
        <v>4275616.5</v>
      </c>
      <c r="AJ30" s="42">
        <f t="shared" si="5"/>
        <v>4275616.5</v>
      </c>
      <c r="AK30" s="42">
        <f t="shared" si="5"/>
        <v>4275616.5</v>
      </c>
      <c r="AL30" s="42">
        <f t="shared" si="5"/>
        <v>4275616.5</v>
      </c>
      <c r="AM30" s="42">
        <f t="shared" si="5"/>
        <v>4275616.5</v>
      </c>
      <c r="AN30" s="42">
        <f t="shared" si="5"/>
        <v>4275616.5</v>
      </c>
      <c r="AO30" s="42">
        <f t="shared" si="5"/>
        <v>1407646.5</v>
      </c>
      <c r="AP30" s="42">
        <f t="shared" si="5"/>
        <v>0</v>
      </c>
      <c r="AQ30" s="42">
        <f t="shared" si="5"/>
        <v>0</v>
      </c>
      <c r="AR30" s="42">
        <f t="shared" si="5"/>
        <v>0</v>
      </c>
      <c r="AS30" s="42">
        <f t="shared" si="5"/>
        <v>0</v>
      </c>
      <c r="AT30" s="42">
        <f t="shared" si="5"/>
        <v>0</v>
      </c>
      <c r="AU30" s="42">
        <f t="shared" si="5"/>
        <v>0</v>
      </c>
      <c r="AV30" s="42">
        <f t="shared" si="5"/>
        <v>0</v>
      </c>
      <c r="AW30" s="42">
        <f t="shared" si="5"/>
        <v>0</v>
      </c>
      <c r="AX30" s="42">
        <f t="shared" si="5"/>
        <v>0</v>
      </c>
      <c r="AY30" s="42">
        <f t="shared" si="5"/>
        <v>0</v>
      </c>
      <c r="AZ30" s="42">
        <f t="shared" si="5"/>
        <v>0</v>
      </c>
      <c r="BA30" s="42">
        <f t="shared" si="5"/>
        <v>0</v>
      </c>
      <c r="BB30" s="42">
        <f t="shared" si="5"/>
        <v>0</v>
      </c>
    </row>
    <row r="31" spans="1:54" ht="15" customHeight="1">
      <c r="A31" s="5"/>
      <c r="B31" s="19"/>
      <c r="C31" s="5"/>
      <c r="D31" s="5"/>
      <c r="E31" s="19" t="s">
        <v>472</v>
      </c>
      <c r="G31" s="18" t="s">
        <v>193</v>
      </c>
      <c r="H31" s="19" t="s">
        <v>473</v>
      </c>
      <c r="I31" s="18"/>
      <c r="J31" s="15"/>
      <c r="K31" s="15"/>
      <c r="L31" s="15"/>
      <c r="M31" s="15"/>
      <c r="N31" s="15"/>
      <c r="O31" s="31"/>
      <c r="P31" s="93">
        <f>IF(P30=0,0,P29/P30)</f>
        <v>1.0251153254741159</v>
      </c>
      <c r="Q31" s="93">
        <f t="shared" ref="Q31:BB31" si="6">IF(Q30=0,0,Q29/Q30)</f>
        <v>1.0251153254741159</v>
      </c>
      <c r="R31" s="93">
        <f t="shared" si="6"/>
        <v>1.0251153254741159</v>
      </c>
      <c r="S31" s="93">
        <f t="shared" si="6"/>
        <v>1.0251153254741159</v>
      </c>
      <c r="T31" s="93">
        <f t="shared" si="6"/>
        <v>1.0251153254741159</v>
      </c>
      <c r="U31" s="93">
        <f t="shared" si="6"/>
        <v>1.0251153254741159</v>
      </c>
      <c r="V31" s="93">
        <f t="shared" si="6"/>
        <v>1.0251153254741159</v>
      </c>
      <c r="W31" s="93">
        <f t="shared" si="6"/>
        <v>1.0251153254741159</v>
      </c>
      <c r="X31" s="93">
        <f t="shared" si="6"/>
        <v>1.0251153254741159</v>
      </c>
      <c r="Y31" s="93">
        <f t="shared" si="6"/>
        <v>1.0251153254741159</v>
      </c>
      <c r="Z31" s="93">
        <f t="shared" si="6"/>
        <v>1.0251153254741159</v>
      </c>
      <c r="AA31" s="93">
        <f t="shared" si="6"/>
        <v>1.0251153254741159</v>
      </c>
      <c r="AB31" s="93">
        <f t="shared" si="6"/>
        <v>1.0251153254741159</v>
      </c>
      <c r="AC31" s="93">
        <f t="shared" si="6"/>
        <v>1.0251153254741159</v>
      </c>
      <c r="AD31" s="93">
        <f t="shared" si="6"/>
        <v>1.0251153254741159</v>
      </c>
      <c r="AE31" s="93">
        <f t="shared" si="6"/>
        <v>1.0251153254741159</v>
      </c>
      <c r="AF31" s="93">
        <f t="shared" si="6"/>
        <v>1.0251153254741159</v>
      </c>
      <c r="AG31" s="93">
        <f t="shared" si="6"/>
        <v>1.0251153254741159</v>
      </c>
      <c r="AH31" s="93">
        <f t="shared" si="6"/>
        <v>1.0251153254741159</v>
      </c>
      <c r="AI31" s="93">
        <f t="shared" si="6"/>
        <v>1.0251153254741159</v>
      </c>
      <c r="AJ31" s="93">
        <f t="shared" si="6"/>
        <v>1.0251153254741159</v>
      </c>
      <c r="AK31" s="93">
        <f t="shared" si="6"/>
        <v>1.0251153254741159</v>
      </c>
      <c r="AL31" s="93">
        <f t="shared" si="6"/>
        <v>1.0251153254741159</v>
      </c>
      <c r="AM31" s="93">
        <f t="shared" si="6"/>
        <v>1.0251153254741159</v>
      </c>
      <c r="AN31" s="93">
        <f t="shared" si="6"/>
        <v>1.0251153254741159</v>
      </c>
      <c r="AO31" s="93">
        <f t="shared" si="6"/>
        <v>1.0251153254741159</v>
      </c>
      <c r="AP31" s="93">
        <f t="shared" si="6"/>
        <v>0</v>
      </c>
      <c r="AQ31" s="93">
        <f t="shared" si="6"/>
        <v>0</v>
      </c>
      <c r="AR31" s="93">
        <f t="shared" si="6"/>
        <v>0</v>
      </c>
      <c r="AS31" s="93">
        <f t="shared" si="6"/>
        <v>0</v>
      </c>
      <c r="AT31" s="93">
        <f t="shared" si="6"/>
        <v>0</v>
      </c>
      <c r="AU31" s="93">
        <f t="shared" si="6"/>
        <v>0</v>
      </c>
      <c r="AV31" s="93">
        <f t="shared" si="6"/>
        <v>0</v>
      </c>
      <c r="AW31" s="93">
        <f t="shared" si="6"/>
        <v>0</v>
      </c>
      <c r="AX31" s="93">
        <f t="shared" si="6"/>
        <v>0</v>
      </c>
      <c r="AY31" s="93">
        <f t="shared" si="6"/>
        <v>0</v>
      </c>
      <c r="AZ31" s="93">
        <f t="shared" si="6"/>
        <v>0</v>
      </c>
      <c r="BA31" s="93">
        <f t="shared" si="6"/>
        <v>0</v>
      </c>
      <c r="BB31" s="93">
        <f t="shared" si="6"/>
        <v>0</v>
      </c>
    </row>
    <row r="32" spans="1:54" ht="15" customHeight="1"/>
    <row r="33" spans="1:54" ht="15" customHeight="1">
      <c r="A33" s="5"/>
      <c r="B33" s="19"/>
      <c r="C33" s="5"/>
      <c r="D33" s="5"/>
      <c r="E33" s="17" t="str">
        <f>Inputs!E133</f>
        <v>Cap availability incentive upper limit</v>
      </c>
      <c r="G33" s="19" t="s">
        <v>193</v>
      </c>
      <c r="I33" s="213">
        <f>Inputs!I133</f>
        <v>1.02</v>
      </c>
      <c r="J33" s="15"/>
      <c r="K33" s="15"/>
      <c r="L33" s="15"/>
      <c r="M33" s="15"/>
      <c r="N33" s="15"/>
      <c r="O33" s="15"/>
      <c r="P33" s="15"/>
      <c r="Q33" s="15"/>
      <c r="R33" s="15"/>
      <c r="S33" s="15"/>
      <c r="T33" s="15"/>
      <c r="U33" s="15"/>
      <c r="V33" s="15"/>
      <c r="W33" s="15"/>
      <c r="X33" s="15"/>
      <c r="Z33" s="15"/>
      <c r="AA33" s="15"/>
      <c r="AB33" s="15"/>
      <c r="AC33" s="15"/>
      <c r="AD33" s="15"/>
      <c r="AE33" s="15"/>
      <c r="AF33" s="15"/>
      <c r="AG33" s="15"/>
      <c r="AH33" s="15"/>
      <c r="AI33" s="15"/>
      <c r="AJ33" s="15"/>
      <c r="AK33" s="15"/>
      <c r="AL33" s="15"/>
      <c r="AM33" s="15"/>
      <c r="AN33" s="15"/>
      <c r="AO33" s="15"/>
      <c r="AP33" s="15"/>
      <c r="AQ33" s="15"/>
      <c r="AR33" s="15"/>
      <c r="AS33" s="15"/>
      <c r="AT33" s="15"/>
      <c r="AU33" s="15"/>
      <c r="AV33" s="15"/>
      <c r="AW33" s="15"/>
      <c r="AX33" s="15"/>
      <c r="AY33" s="15"/>
      <c r="AZ33" s="15"/>
      <c r="BA33" s="15"/>
      <c r="BB33" s="15"/>
    </row>
    <row r="34" spans="1:54" ht="15" customHeight="1">
      <c r="A34" s="5"/>
      <c r="B34" s="19"/>
      <c r="C34" s="5"/>
      <c r="D34" s="5"/>
      <c r="E34" s="17" t="str">
        <f>Inputs!E134</f>
        <v>Cap availability incentive lower limit</v>
      </c>
      <c r="G34" s="19" t="s">
        <v>193</v>
      </c>
      <c r="I34" s="213">
        <f>Inputs!I134</f>
        <v>0.98</v>
      </c>
      <c r="J34" s="15"/>
      <c r="K34" s="15"/>
      <c r="L34" s="15"/>
      <c r="M34" s="15"/>
      <c r="N34" s="15"/>
      <c r="O34" s="15"/>
      <c r="P34" s="15"/>
      <c r="Q34" s="15"/>
      <c r="R34" s="15"/>
      <c r="S34" s="15"/>
      <c r="T34" s="15"/>
      <c r="U34" s="15"/>
      <c r="V34" s="15"/>
      <c r="W34" s="15"/>
      <c r="X34" s="15"/>
      <c r="Z34" s="15"/>
      <c r="AA34" s="15"/>
      <c r="AB34" s="15"/>
      <c r="AC34" s="15"/>
      <c r="AD34" s="15"/>
      <c r="AE34" s="15"/>
      <c r="AF34" s="15"/>
      <c r="AG34" s="15"/>
      <c r="AH34" s="15"/>
      <c r="AI34" s="15"/>
      <c r="AJ34" s="15"/>
      <c r="AK34" s="15"/>
      <c r="AL34" s="15"/>
      <c r="AM34" s="15"/>
      <c r="AN34" s="15"/>
      <c r="AO34" s="15"/>
      <c r="AP34" s="15"/>
      <c r="AQ34" s="15"/>
      <c r="AR34" s="15"/>
      <c r="AS34" s="15"/>
      <c r="AT34" s="15"/>
      <c r="AU34" s="15"/>
      <c r="AV34" s="15"/>
      <c r="AW34" s="15"/>
      <c r="AX34" s="15"/>
      <c r="AY34" s="15"/>
      <c r="AZ34" s="15"/>
      <c r="BA34" s="15"/>
      <c r="BB34" s="15"/>
    </row>
    <row r="35" spans="1:54" ht="15" customHeight="1">
      <c r="A35" s="5"/>
      <c r="B35" s="5"/>
      <c r="C35" s="5"/>
      <c r="D35" s="5"/>
      <c r="E35" s="18"/>
      <c r="G35" s="18"/>
      <c r="I35" s="18"/>
      <c r="J35" s="15"/>
      <c r="K35" s="15"/>
      <c r="L35" s="15"/>
      <c r="M35" s="15"/>
      <c r="N35" s="15"/>
      <c r="O35" s="15"/>
      <c r="P35" s="15"/>
      <c r="Q35" s="15"/>
      <c r="R35" s="15"/>
      <c r="S35" s="15"/>
      <c r="T35" s="15"/>
      <c r="U35" s="15"/>
      <c r="V35" s="15"/>
      <c r="W35" s="15"/>
      <c r="X35" s="15"/>
      <c r="Z35" s="15"/>
      <c r="AA35" s="15"/>
      <c r="AB35" s="15"/>
      <c r="AC35" s="15"/>
      <c r="AD35" s="15"/>
      <c r="AE35" s="15"/>
      <c r="AF35" s="15"/>
      <c r="AG35" s="15"/>
      <c r="AH35" s="15"/>
      <c r="AI35" s="15"/>
      <c r="AJ35" s="15"/>
      <c r="AK35" s="15"/>
      <c r="AL35" s="15"/>
      <c r="AM35" s="15"/>
      <c r="AN35" s="15"/>
      <c r="AO35" s="15"/>
      <c r="AP35" s="15"/>
      <c r="AQ35" s="15"/>
      <c r="AR35" s="15"/>
      <c r="AS35" s="15"/>
      <c r="AT35" s="15"/>
      <c r="AU35" s="15"/>
      <c r="AV35" s="15"/>
      <c r="AW35" s="15"/>
      <c r="AX35" s="15"/>
      <c r="AY35" s="15"/>
      <c r="AZ35" s="15"/>
      <c r="BA35" s="15"/>
      <c r="BB35" s="15"/>
    </row>
    <row r="36" spans="1:54" ht="15" customHeight="1">
      <c r="A36" s="5"/>
      <c r="B36" s="5"/>
      <c r="C36" s="5"/>
      <c r="D36" s="5"/>
      <c r="E36" s="19" t="s">
        <v>474</v>
      </c>
      <c r="G36" s="19" t="s">
        <v>193</v>
      </c>
      <c r="H36" s="19" t="s">
        <v>475</v>
      </c>
      <c r="J36" s="15"/>
      <c r="K36" s="15"/>
      <c r="L36" s="15"/>
      <c r="M36" s="15"/>
      <c r="N36" s="15"/>
      <c r="O36" s="31"/>
      <c r="P36" s="93">
        <f>IF(P31&gt;$I33,$I33,IF(P31&lt;$I34,$I34,P31))*P18</f>
        <v>1.02</v>
      </c>
      <c r="Q36" s="93">
        <f t="shared" ref="Q36:BB36" si="7">IF(Q31&gt;$I33,$I33,IF(Q31&lt;$I34,$I34,Q31))*Q18</f>
        <v>1.02</v>
      </c>
      <c r="R36" s="93">
        <f t="shared" si="7"/>
        <v>1.02</v>
      </c>
      <c r="S36" s="93">
        <f t="shared" si="7"/>
        <v>1.02</v>
      </c>
      <c r="T36" s="93">
        <f t="shared" si="7"/>
        <v>1.02</v>
      </c>
      <c r="U36" s="93">
        <f t="shared" si="7"/>
        <v>1.02</v>
      </c>
      <c r="V36" s="93">
        <f t="shared" si="7"/>
        <v>1.02</v>
      </c>
      <c r="W36" s="93">
        <f t="shared" si="7"/>
        <v>1.02</v>
      </c>
      <c r="X36" s="93">
        <f t="shared" si="7"/>
        <v>1.02</v>
      </c>
      <c r="Y36" s="93">
        <f t="shared" si="7"/>
        <v>1.02</v>
      </c>
      <c r="Z36" s="93">
        <f t="shared" si="7"/>
        <v>1.02</v>
      </c>
      <c r="AA36" s="93">
        <f t="shared" si="7"/>
        <v>1.02</v>
      </c>
      <c r="AB36" s="93">
        <f t="shared" si="7"/>
        <v>1.02</v>
      </c>
      <c r="AC36" s="93">
        <f t="shared" si="7"/>
        <v>1.02</v>
      </c>
      <c r="AD36" s="93">
        <f t="shared" si="7"/>
        <v>1.02</v>
      </c>
      <c r="AE36" s="93">
        <f t="shared" si="7"/>
        <v>1.02</v>
      </c>
      <c r="AF36" s="93">
        <f t="shared" si="7"/>
        <v>1.02</v>
      </c>
      <c r="AG36" s="93">
        <f t="shared" si="7"/>
        <v>1.02</v>
      </c>
      <c r="AH36" s="93">
        <f t="shared" si="7"/>
        <v>1.02</v>
      </c>
      <c r="AI36" s="93">
        <f t="shared" si="7"/>
        <v>1.02</v>
      </c>
      <c r="AJ36" s="93">
        <f t="shared" si="7"/>
        <v>1.02</v>
      </c>
      <c r="AK36" s="93">
        <f t="shared" si="7"/>
        <v>1.02</v>
      </c>
      <c r="AL36" s="93">
        <f t="shared" si="7"/>
        <v>1.02</v>
      </c>
      <c r="AM36" s="93">
        <f t="shared" si="7"/>
        <v>1.02</v>
      </c>
      <c r="AN36" s="93">
        <f t="shared" si="7"/>
        <v>1.02</v>
      </c>
      <c r="AO36" s="93">
        <f t="shared" si="7"/>
        <v>1.02</v>
      </c>
      <c r="AP36" s="93">
        <f t="shared" si="7"/>
        <v>0</v>
      </c>
      <c r="AQ36" s="93">
        <f t="shared" si="7"/>
        <v>0</v>
      </c>
      <c r="AR36" s="93">
        <f t="shared" si="7"/>
        <v>0</v>
      </c>
      <c r="AS36" s="93">
        <f t="shared" si="7"/>
        <v>0</v>
      </c>
      <c r="AT36" s="93">
        <f t="shared" si="7"/>
        <v>0</v>
      </c>
      <c r="AU36" s="93">
        <f t="shared" si="7"/>
        <v>0</v>
      </c>
      <c r="AV36" s="93">
        <f t="shared" si="7"/>
        <v>0</v>
      </c>
      <c r="AW36" s="93">
        <f t="shared" si="7"/>
        <v>0</v>
      </c>
      <c r="AX36" s="93">
        <f t="shared" si="7"/>
        <v>0</v>
      </c>
      <c r="AY36" s="93">
        <f t="shared" si="7"/>
        <v>0</v>
      </c>
      <c r="AZ36" s="93">
        <f t="shared" si="7"/>
        <v>0</v>
      </c>
      <c r="BA36" s="93">
        <f t="shared" si="7"/>
        <v>0</v>
      </c>
      <c r="BB36" s="93">
        <f t="shared" si="7"/>
        <v>0</v>
      </c>
    </row>
    <row r="37" spans="1:54" ht="15" customHeight="1">
      <c r="A37" s="5"/>
      <c r="B37" s="5"/>
      <c r="C37" s="5"/>
      <c r="D37" s="5"/>
      <c r="J37" s="15"/>
      <c r="K37" s="15"/>
      <c r="L37" s="15"/>
      <c r="M37" s="15"/>
      <c r="N37" s="15"/>
      <c r="O37" s="15"/>
      <c r="P37" s="15"/>
      <c r="Q37" s="15"/>
      <c r="R37" s="15"/>
      <c r="S37" s="15"/>
      <c r="T37" s="15"/>
      <c r="U37" s="15"/>
      <c r="V37" s="15"/>
      <c r="W37" s="15"/>
      <c r="X37" s="15"/>
      <c r="Y37" s="15"/>
      <c r="Z37" s="15"/>
      <c r="AA37" s="15"/>
      <c r="AB37" s="15"/>
      <c r="AC37" s="15"/>
      <c r="AD37" s="15"/>
      <c r="AE37" s="15"/>
      <c r="AF37" s="15"/>
      <c r="AG37" s="15"/>
      <c r="AH37" s="15"/>
      <c r="AI37" s="15"/>
      <c r="AJ37" s="15"/>
      <c r="AK37" s="15"/>
      <c r="AL37" s="15"/>
      <c r="AM37" s="15"/>
      <c r="AN37" s="15"/>
      <c r="AO37" s="15"/>
      <c r="AP37" s="15"/>
      <c r="AQ37" s="15"/>
      <c r="AR37" s="15"/>
      <c r="AS37" s="15"/>
      <c r="AT37" s="15"/>
      <c r="AU37" s="15"/>
      <c r="AV37" s="15"/>
      <c r="AW37" s="15"/>
      <c r="AX37" s="15"/>
      <c r="AY37" s="15"/>
      <c r="AZ37" s="15"/>
      <c r="BA37" s="15"/>
      <c r="BB37" s="15"/>
    </row>
    <row r="38" spans="1:54" s="59" customFormat="1" ht="15" customHeight="1">
      <c r="C38" s="38" t="s">
        <v>476</v>
      </c>
      <c r="D38" s="38"/>
      <c r="E38" s="38"/>
      <c r="F38" s="38"/>
      <c r="G38" s="38"/>
      <c r="H38" s="38"/>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row>
    <row r="39" spans="1:54" ht="15" customHeight="1">
      <c r="A39" s="5"/>
      <c r="B39" s="5"/>
      <c r="C39" s="5"/>
      <c r="D39" s="5"/>
      <c r="J39" s="15"/>
      <c r="K39" s="15"/>
      <c r="L39" s="15"/>
      <c r="M39" s="15"/>
      <c r="N39" s="15"/>
      <c r="O39" s="15"/>
      <c r="P39" s="15"/>
      <c r="Q39" s="15"/>
      <c r="R39" s="15"/>
      <c r="S39" s="15"/>
      <c r="T39" s="15"/>
      <c r="U39" s="15"/>
      <c r="V39" s="15"/>
      <c r="W39" s="15"/>
      <c r="X39" s="15"/>
      <c r="Y39" s="15"/>
      <c r="Z39" s="15"/>
      <c r="AA39" s="15"/>
      <c r="AB39" s="15"/>
      <c r="AC39" s="15"/>
      <c r="AD39" s="15"/>
      <c r="AE39" s="15"/>
      <c r="AF39" s="15"/>
      <c r="AG39" s="15"/>
      <c r="AH39" s="15"/>
      <c r="AI39" s="15"/>
      <c r="AJ39" s="15"/>
      <c r="AK39" s="15"/>
      <c r="AL39" s="15"/>
      <c r="AM39" s="15"/>
      <c r="AN39" s="15"/>
      <c r="AO39" s="15"/>
      <c r="AP39" s="15"/>
      <c r="AQ39" s="15"/>
      <c r="AR39" s="15"/>
      <c r="AS39" s="15"/>
      <c r="AT39" s="15"/>
      <c r="AU39" s="15"/>
      <c r="AV39" s="15"/>
      <c r="AW39" s="15"/>
      <c r="AX39" s="15"/>
      <c r="AY39" s="15"/>
      <c r="AZ39" s="15"/>
      <c r="BA39" s="15"/>
      <c r="BB39" s="15"/>
    </row>
    <row r="40" spans="1:54" ht="15" customHeight="1">
      <c r="A40" s="5"/>
      <c r="B40" s="5"/>
      <c r="C40" s="5"/>
      <c r="D40" s="5"/>
      <c r="E40" s="19" t="s">
        <v>278</v>
      </c>
      <c r="G40" s="5" t="s">
        <v>209</v>
      </c>
      <c r="I40" s="187">
        <f>Inputs!I147</f>
        <v>0.8</v>
      </c>
      <c r="J40" s="15"/>
      <c r="K40" s="15"/>
      <c r="L40" s="15"/>
      <c r="M40" s="15"/>
      <c r="N40" s="15"/>
      <c r="O40" s="15"/>
      <c r="P40" s="15"/>
      <c r="Q40" s="15"/>
      <c r="R40" s="15"/>
      <c r="S40" s="15"/>
      <c r="T40" s="15"/>
      <c r="U40" s="15"/>
      <c r="V40" s="15"/>
      <c r="W40" s="15"/>
      <c r="X40" s="15"/>
      <c r="Y40" s="15"/>
      <c r="Z40" s="15"/>
      <c r="AA40" s="15"/>
      <c r="AB40" s="15"/>
      <c r="AC40" s="15"/>
      <c r="AD40" s="15"/>
      <c r="AE40" s="15"/>
      <c r="AF40" s="15"/>
      <c r="AG40" s="15"/>
      <c r="AH40" s="15"/>
      <c r="AI40" s="15"/>
      <c r="AJ40" s="15"/>
      <c r="AK40" s="15"/>
      <c r="AL40" s="15"/>
      <c r="AM40" s="15"/>
      <c r="AN40" s="15"/>
      <c r="AO40" s="15"/>
      <c r="AP40" s="15"/>
      <c r="AQ40" s="15"/>
      <c r="AR40" s="15"/>
      <c r="AS40" s="15"/>
      <c r="AT40" s="15"/>
      <c r="AU40" s="15"/>
      <c r="AV40" s="15"/>
      <c r="AW40" s="15"/>
      <c r="AX40" s="15"/>
      <c r="AY40" s="15"/>
      <c r="AZ40" s="15"/>
      <c r="BA40" s="15"/>
      <c r="BB40" s="15"/>
    </row>
    <row r="41" spans="1:54" ht="15" customHeight="1">
      <c r="A41" s="5"/>
      <c r="B41" s="19"/>
      <c r="C41" s="5"/>
      <c r="D41" s="5"/>
      <c r="E41" s="19" t="s">
        <v>417</v>
      </c>
      <c r="G41" s="5" t="s">
        <v>193</v>
      </c>
      <c r="H41" s="19" t="s">
        <v>203</v>
      </c>
      <c r="I41" s="18"/>
      <c r="J41" s="15"/>
      <c r="K41" s="15"/>
      <c r="L41" s="15"/>
      <c r="M41" s="15"/>
      <c r="N41" s="15"/>
      <c r="O41" s="31"/>
      <c r="P41" s="192">
        <f>Inputs!P78</f>
        <v>0</v>
      </c>
      <c r="Q41" s="192">
        <f>Inputs!Q78</f>
        <v>0</v>
      </c>
      <c r="R41" s="192">
        <f>Inputs!R78</f>
        <v>0</v>
      </c>
      <c r="S41" s="192">
        <f>Inputs!S78</f>
        <v>0.99931553730321698</v>
      </c>
      <c r="T41" s="192">
        <f>Inputs!T78</f>
        <v>1</v>
      </c>
      <c r="U41" s="192">
        <f>Inputs!U78</f>
        <v>1</v>
      </c>
      <c r="V41" s="192">
        <f>Inputs!V78</f>
        <v>1</v>
      </c>
      <c r="W41" s="192">
        <f>Inputs!W78</f>
        <v>1</v>
      </c>
      <c r="X41" s="192">
        <f>Inputs!X78</f>
        <v>1</v>
      </c>
      <c r="Y41" s="192">
        <f>Inputs!Y78</f>
        <v>1</v>
      </c>
      <c r="Z41" s="192">
        <f>Inputs!Z78</f>
        <v>1</v>
      </c>
      <c r="AA41" s="192">
        <f>Inputs!AA78</f>
        <v>1</v>
      </c>
      <c r="AB41" s="192">
        <f>Inputs!AB78</f>
        <v>1</v>
      </c>
      <c r="AC41" s="192">
        <f>Inputs!AC78</f>
        <v>1</v>
      </c>
      <c r="AD41" s="192">
        <f>Inputs!AD78</f>
        <v>1</v>
      </c>
      <c r="AE41" s="192">
        <f>Inputs!AE78</f>
        <v>1</v>
      </c>
      <c r="AF41" s="192">
        <f>Inputs!AF78</f>
        <v>1</v>
      </c>
      <c r="AG41" s="192">
        <f>Inputs!AG78</f>
        <v>1</v>
      </c>
      <c r="AH41" s="192">
        <f>Inputs!AH78</f>
        <v>1</v>
      </c>
      <c r="AI41" s="192">
        <f>Inputs!AI78</f>
        <v>1</v>
      </c>
      <c r="AJ41" s="192">
        <f>Inputs!AJ78</f>
        <v>1</v>
      </c>
      <c r="AK41" s="192">
        <f>Inputs!AK78</f>
        <v>1</v>
      </c>
      <c r="AL41" s="192">
        <f>Inputs!AL78</f>
        <v>1</v>
      </c>
      <c r="AM41" s="192">
        <f>Inputs!AM78</f>
        <v>1</v>
      </c>
      <c r="AN41" s="192">
        <f>Inputs!AN78</f>
        <v>1</v>
      </c>
      <c r="AO41" s="192">
        <f>Inputs!AO78</f>
        <v>0.32922655715263516</v>
      </c>
      <c r="AP41" s="192">
        <f>Inputs!AP78</f>
        <v>0</v>
      </c>
      <c r="AQ41" s="192">
        <f>Inputs!AQ78</f>
        <v>0</v>
      </c>
      <c r="AR41" s="192">
        <f>Inputs!AR78</f>
        <v>0</v>
      </c>
      <c r="AS41" s="192">
        <f>Inputs!AS78</f>
        <v>0</v>
      </c>
      <c r="AT41" s="192">
        <f>Inputs!AT78</f>
        <v>0</v>
      </c>
      <c r="AU41" s="192">
        <f>Inputs!AU78</f>
        <v>0</v>
      </c>
      <c r="AV41" s="192">
        <f>Inputs!AV78</f>
        <v>0</v>
      </c>
      <c r="AW41" s="192">
        <f>Inputs!AW78</f>
        <v>0</v>
      </c>
      <c r="AX41" s="192">
        <f>Inputs!AX78</f>
        <v>0</v>
      </c>
      <c r="AY41" s="192">
        <f>Inputs!AY78</f>
        <v>0</v>
      </c>
      <c r="AZ41" s="192">
        <f>Inputs!AZ78</f>
        <v>0</v>
      </c>
      <c r="BA41" s="192">
        <f>Inputs!BA78</f>
        <v>0</v>
      </c>
      <c r="BB41" s="192">
        <f>Inputs!BB78</f>
        <v>0</v>
      </c>
    </row>
    <row r="42" spans="1:54" ht="15" customHeight="1">
      <c r="A42" s="5"/>
      <c r="B42" s="19"/>
      <c r="C42" s="5"/>
      <c r="D42" s="5"/>
      <c r="E42" s="19" t="s">
        <v>466</v>
      </c>
      <c r="G42" s="5" t="s">
        <v>270</v>
      </c>
      <c r="H42" s="19" t="s">
        <v>467</v>
      </c>
      <c r="I42" s="18"/>
      <c r="J42" s="15"/>
      <c r="K42" s="15"/>
      <c r="L42" s="15"/>
      <c r="M42" s="15"/>
      <c r="N42" s="15"/>
      <c r="O42" s="31"/>
      <c r="P42" s="42">
        <f t="shared" ref="P42:BB42" si="8">$I$20*$I$21*P41</f>
        <v>0</v>
      </c>
      <c r="Q42" s="42">
        <f t="shared" si="8"/>
        <v>0</v>
      </c>
      <c r="R42" s="42">
        <f t="shared" si="8"/>
        <v>0</v>
      </c>
      <c r="S42" s="42">
        <f t="shared" si="8"/>
        <v>4380000</v>
      </c>
      <c r="T42" s="42">
        <f t="shared" si="8"/>
        <v>4383000</v>
      </c>
      <c r="U42" s="42">
        <f t="shared" si="8"/>
        <v>4383000</v>
      </c>
      <c r="V42" s="42">
        <f t="shared" si="8"/>
        <v>4383000</v>
      </c>
      <c r="W42" s="42">
        <f t="shared" si="8"/>
        <v>4383000</v>
      </c>
      <c r="X42" s="42">
        <f t="shared" si="8"/>
        <v>4383000</v>
      </c>
      <c r="Y42" s="42">
        <f t="shared" si="8"/>
        <v>4383000</v>
      </c>
      <c r="Z42" s="42">
        <f t="shared" si="8"/>
        <v>4383000</v>
      </c>
      <c r="AA42" s="42">
        <f t="shared" si="8"/>
        <v>4383000</v>
      </c>
      <c r="AB42" s="42">
        <f t="shared" si="8"/>
        <v>4383000</v>
      </c>
      <c r="AC42" s="42">
        <f t="shared" si="8"/>
        <v>4383000</v>
      </c>
      <c r="AD42" s="42">
        <f t="shared" si="8"/>
        <v>4383000</v>
      </c>
      <c r="AE42" s="42">
        <f t="shared" si="8"/>
        <v>4383000</v>
      </c>
      <c r="AF42" s="42">
        <f t="shared" si="8"/>
        <v>4383000</v>
      </c>
      <c r="AG42" s="42">
        <f t="shared" si="8"/>
        <v>4383000</v>
      </c>
      <c r="AH42" s="42">
        <f t="shared" si="8"/>
        <v>4383000</v>
      </c>
      <c r="AI42" s="42">
        <f t="shared" si="8"/>
        <v>4383000</v>
      </c>
      <c r="AJ42" s="42">
        <f t="shared" si="8"/>
        <v>4383000</v>
      </c>
      <c r="AK42" s="42">
        <f t="shared" si="8"/>
        <v>4383000</v>
      </c>
      <c r="AL42" s="42">
        <f t="shared" si="8"/>
        <v>4383000</v>
      </c>
      <c r="AM42" s="42">
        <f t="shared" si="8"/>
        <v>4383000</v>
      </c>
      <c r="AN42" s="42">
        <f t="shared" si="8"/>
        <v>4383000</v>
      </c>
      <c r="AO42" s="42">
        <f t="shared" si="8"/>
        <v>1443000</v>
      </c>
      <c r="AP42" s="42">
        <f t="shared" si="8"/>
        <v>0</v>
      </c>
      <c r="AQ42" s="42">
        <f t="shared" si="8"/>
        <v>0</v>
      </c>
      <c r="AR42" s="42">
        <f t="shared" si="8"/>
        <v>0</v>
      </c>
      <c r="AS42" s="42">
        <f t="shared" si="8"/>
        <v>0</v>
      </c>
      <c r="AT42" s="42">
        <f t="shared" si="8"/>
        <v>0</v>
      </c>
      <c r="AU42" s="42">
        <f t="shared" si="8"/>
        <v>0</v>
      </c>
      <c r="AV42" s="42">
        <f t="shared" si="8"/>
        <v>0</v>
      </c>
      <c r="AW42" s="42">
        <f t="shared" si="8"/>
        <v>0</v>
      </c>
      <c r="AX42" s="42">
        <f t="shared" si="8"/>
        <v>0</v>
      </c>
      <c r="AY42" s="42">
        <f t="shared" si="8"/>
        <v>0</v>
      </c>
      <c r="AZ42" s="42">
        <f t="shared" si="8"/>
        <v>0</v>
      </c>
      <c r="BA42" s="42">
        <f t="shared" si="8"/>
        <v>0</v>
      </c>
      <c r="BB42" s="42">
        <f t="shared" si="8"/>
        <v>0</v>
      </c>
    </row>
    <row r="43" spans="1:54" ht="26.25">
      <c r="A43" s="5"/>
      <c r="B43" s="19"/>
      <c r="C43" s="5"/>
      <c r="D43" s="5"/>
      <c r="E43" s="45" t="s">
        <v>276</v>
      </c>
      <c r="G43" s="5" t="s">
        <v>270</v>
      </c>
      <c r="H43" s="19" t="s">
        <v>273</v>
      </c>
      <c r="I43" s="18"/>
      <c r="J43" s="15"/>
      <c r="K43" s="15"/>
      <c r="L43" s="15"/>
      <c r="M43" s="15"/>
      <c r="N43" s="15"/>
      <c r="O43" s="31"/>
      <c r="P43" s="205">
        <f>Inputs!P144</f>
        <v>0</v>
      </c>
      <c r="Q43" s="205">
        <f>Inputs!Q144</f>
        <v>0</v>
      </c>
      <c r="R43" s="205">
        <f>Inputs!R144</f>
        <v>0</v>
      </c>
      <c r="S43" s="205">
        <f>Inputs!S144</f>
        <v>0</v>
      </c>
      <c r="T43" s="205">
        <f>Inputs!T144</f>
        <v>0</v>
      </c>
      <c r="U43" s="205">
        <f>Inputs!U144</f>
        <v>0</v>
      </c>
      <c r="V43" s="205">
        <f>Inputs!V144</f>
        <v>0</v>
      </c>
      <c r="W43" s="205">
        <f>Inputs!W144</f>
        <v>0</v>
      </c>
      <c r="X43" s="205">
        <f>Inputs!X144</f>
        <v>0</v>
      </c>
      <c r="Y43" s="205">
        <f>Inputs!Y144</f>
        <v>0</v>
      </c>
      <c r="Z43" s="205">
        <f>Inputs!Z144</f>
        <v>0</v>
      </c>
      <c r="AA43" s="205">
        <f>Inputs!AA144</f>
        <v>0</v>
      </c>
      <c r="AB43" s="205">
        <f>Inputs!AB144</f>
        <v>0</v>
      </c>
      <c r="AC43" s="205">
        <f>Inputs!AC144</f>
        <v>0</v>
      </c>
      <c r="AD43" s="205">
        <f>Inputs!AD144</f>
        <v>0</v>
      </c>
      <c r="AE43" s="205">
        <f>Inputs!AE144</f>
        <v>0</v>
      </c>
      <c r="AF43" s="205">
        <f>Inputs!AF144</f>
        <v>0</v>
      </c>
      <c r="AG43" s="205">
        <f>Inputs!AG144</f>
        <v>0</v>
      </c>
      <c r="AH43" s="205">
        <f>Inputs!AH144</f>
        <v>0</v>
      </c>
      <c r="AI43" s="205">
        <f>Inputs!AI144</f>
        <v>0</v>
      </c>
      <c r="AJ43" s="205">
        <f>Inputs!AJ144</f>
        <v>0</v>
      </c>
      <c r="AK43" s="205">
        <f>Inputs!AK144</f>
        <v>0</v>
      </c>
      <c r="AL43" s="205">
        <f>Inputs!AL144</f>
        <v>0</v>
      </c>
      <c r="AM43" s="205">
        <f>Inputs!AM144</f>
        <v>0</v>
      </c>
      <c r="AN43" s="205">
        <f>Inputs!AN144</f>
        <v>0</v>
      </c>
      <c r="AO43" s="205">
        <f>Inputs!AO144</f>
        <v>0</v>
      </c>
      <c r="AP43" s="205">
        <f>Inputs!AP144</f>
        <v>0</v>
      </c>
      <c r="AQ43" s="205">
        <f>Inputs!AQ144</f>
        <v>0</v>
      </c>
      <c r="AR43" s="205">
        <f>Inputs!AR144</f>
        <v>0</v>
      </c>
      <c r="AS43" s="205">
        <f>Inputs!AS144</f>
        <v>0</v>
      </c>
      <c r="AT43" s="205">
        <f>Inputs!AT144</f>
        <v>0</v>
      </c>
      <c r="AU43" s="205">
        <f>Inputs!AU144</f>
        <v>0</v>
      </c>
      <c r="AV43" s="205">
        <f>Inputs!AV144</f>
        <v>0</v>
      </c>
      <c r="AW43" s="205">
        <f>Inputs!AW144</f>
        <v>0</v>
      </c>
      <c r="AX43" s="205">
        <f>Inputs!AX144</f>
        <v>0</v>
      </c>
      <c r="AY43" s="205">
        <f>Inputs!AY144</f>
        <v>0</v>
      </c>
      <c r="AZ43" s="205">
        <f>Inputs!AZ144</f>
        <v>0</v>
      </c>
      <c r="BA43" s="205">
        <f>Inputs!BA144</f>
        <v>0</v>
      </c>
      <c r="BB43" s="205">
        <f>Inputs!BB144</f>
        <v>0</v>
      </c>
    </row>
    <row r="44" spans="1:54" ht="15" customHeight="1">
      <c r="A44" s="5"/>
      <c r="B44" s="5"/>
      <c r="C44" s="5"/>
      <c r="D44" s="5"/>
      <c r="E44" s="19" t="s">
        <v>277</v>
      </c>
      <c r="G44" s="5" t="s">
        <v>270</v>
      </c>
      <c r="J44" s="15"/>
      <c r="K44" s="15"/>
      <c r="L44" s="15"/>
      <c r="M44" s="15"/>
      <c r="N44" s="15"/>
      <c r="O44" s="31"/>
      <c r="P44" s="192">
        <f>Inputs!P145</f>
        <v>0</v>
      </c>
      <c r="Q44" s="192">
        <f>Inputs!Q145</f>
        <v>0</v>
      </c>
      <c r="R44" s="192">
        <f>Inputs!R145</f>
        <v>0</v>
      </c>
      <c r="S44" s="192">
        <f>Inputs!S145</f>
        <v>0</v>
      </c>
      <c r="T44" s="192">
        <f>Inputs!T145</f>
        <v>0</v>
      </c>
      <c r="U44" s="192">
        <f>Inputs!U145</f>
        <v>0</v>
      </c>
      <c r="V44" s="192">
        <f>Inputs!V145</f>
        <v>0</v>
      </c>
      <c r="W44" s="192">
        <f>Inputs!W145</f>
        <v>0</v>
      </c>
      <c r="X44" s="192">
        <f>Inputs!X145</f>
        <v>0</v>
      </c>
      <c r="Y44" s="192">
        <f>Inputs!Y145</f>
        <v>0</v>
      </c>
      <c r="Z44" s="192">
        <f>Inputs!Z145</f>
        <v>0</v>
      </c>
      <c r="AA44" s="192">
        <f>Inputs!AA145</f>
        <v>0</v>
      </c>
      <c r="AB44" s="192">
        <f>Inputs!AB145</f>
        <v>0</v>
      </c>
      <c r="AC44" s="192">
        <f>Inputs!AC145</f>
        <v>0</v>
      </c>
      <c r="AD44" s="192">
        <f>Inputs!AD145</f>
        <v>0</v>
      </c>
      <c r="AE44" s="192">
        <f>Inputs!AE145</f>
        <v>0</v>
      </c>
      <c r="AF44" s="192">
        <f>Inputs!AF145</f>
        <v>0</v>
      </c>
      <c r="AG44" s="192">
        <f>Inputs!AG145</f>
        <v>0</v>
      </c>
      <c r="AH44" s="192">
        <f>Inputs!AH145</f>
        <v>0</v>
      </c>
      <c r="AI44" s="192">
        <f>Inputs!AI145</f>
        <v>0</v>
      </c>
      <c r="AJ44" s="192">
        <f>Inputs!AJ145</f>
        <v>0</v>
      </c>
      <c r="AK44" s="192">
        <f>Inputs!AK145</f>
        <v>0</v>
      </c>
      <c r="AL44" s="192">
        <f>Inputs!AL145</f>
        <v>0</v>
      </c>
      <c r="AM44" s="192">
        <f>Inputs!AM145</f>
        <v>0</v>
      </c>
      <c r="AN44" s="192">
        <f>Inputs!AN145</f>
        <v>0</v>
      </c>
      <c r="AO44" s="192">
        <f>Inputs!AO145</f>
        <v>0</v>
      </c>
      <c r="AP44" s="192">
        <f>Inputs!AP145</f>
        <v>0</v>
      </c>
      <c r="AQ44" s="192">
        <f>Inputs!AQ145</f>
        <v>0</v>
      </c>
      <c r="AR44" s="192">
        <f>Inputs!AR145</f>
        <v>0</v>
      </c>
      <c r="AS44" s="192">
        <f>Inputs!AS145</f>
        <v>0</v>
      </c>
      <c r="AT44" s="192">
        <f>Inputs!AT145</f>
        <v>0</v>
      </c>
      <c r="AU44" s="192">
        <f>Inputs!AU145</f>
        <v>0</v>
      </c>
      <c r="AV44" s="192">
        <f>Inputs!AV145</f>
        <v>0</v>
      </c>
      <c r="AW44" s="192">
        <f>Inputs!AW145</f>
        <v>0</v>
      </c>
      <c r="AX44" s="192">
        <f>Inputs!AX145</f>
        <v>0</v>
      </c>
      <c r="AY44" s="192">
        <f>Inputs!AY145</f>
        <v>0</v>
      </c>
      <c r="AZ44" s="192">
        <f>Inputs!AZ145</f>
        <v>0</v>
      </c>
      <c r="BA44" s="192">
        <f>Inputs!BA145</f>
        <v>0</v>
      </c>
      <c r="BB44" s="192">
        <f>Inputs!BB145</f>
        <v>0</v>
      </c>
    </row>
    <row r="45" spans="1:54" ht="15" customHeight="1">
      <c r="A45" s="5"/>
      <c r="B45" s="19"/>
      <c r="C45" s="5"/>
      <c r="D45" s="5"/>
      <c r="E45" s="19" t="s">
        <v>477</v>
      </c>
      <c r="G45" s="18" t="s">
        <v>270</v>
      </c>
      <c r="H45" s="19" t="s">
        <v>478</v>
      </c>
      <c r="I45" s="18"/>
      <c r="J45" s="15"/>
      <c r="K45" s="15"/>
      <c r="L45" s="15"/>
      <c r="M45" s="15"/>
      <c r="N45" s="15"/>
      <c r="O45" s="31"/>
      <c r="P45" s="42">
        <f t="shared" ref="P45:BB45" si="9">P42-P43+P44</f>
        <v>0</v>
      </c>
      <c r="Q45" s="42">
        <f t="shared" si="9"/>
        <v>0</v>
      </c>
      <c r="R45" s="42">
        <f t="shared" si="9"/>
        <v>0</v>
      </c>
      <c r="S45" s="42">
        <f t="shared" si="9"/>
        <v>4380000</v>
      </c>
      <c r="T45" s="42">
        <f t="shared" si="9"/>
        <v>4383000</v>
      </c>
      <c r="U45" s="42">
        <f t="shared" si="9"/>
        <v>4383000</v>
      </c>
      <c r="V45" s="42">
        <f t="shared" si="9"/>
        <v>4383000</v>
      </c>
      <c r="W45" s="42">
        <f t="shared" si="9"/>
        <v>4383000</v>
      </c>
      <c r="X45" s="42">
        <f t="shared" si="9"/>
        <v>4383000</v>
      </c>
      <c r="Y45" s="42">
        <f t="shared" si="9"/>
        <v>4383000</v>
      </c>
      <c r="Z45" s="42">
        <f t="shared" si="9"/>
        <v>4383000</v>
      </c>
      <c r="AA45" s="42">
        <f t="shared" si="9"/>
        <v>4383000</v>
      </c>
      <c r="AB45" s="42">
        <f t="shared" si="9"/>
        <v>4383000</v>
      </c>
      <c r="AC45" s="42">
        <f t="shared" si="9"/>
        <v>4383000</v>
      </c>
      <c r="AD45" s="42">
        <f t="shared" si="9"/>
        <v>4383000</v>
      </c>
      <c r="AE45" s="42">
        <f t="shared" si="9"/>
        <v>4383000</v>
      </c>
      <c r="AF45" s="42">
        <f t="shared" si="9"/>
        <v>4383000</v>
      </c>
      <c r="AG45" s="42">
        <f t="shared" si="9"/>
        <v>4383000</v>
      </c>
      <c r="AH45" s="42">
        <f t="shared" si="9"/>
        <v>4383000</v>
      </c>
      <c r="AI45" s="42">
        <f t="shared" si="9"/>
        <v>4383000</v>
      </c>
      <c r="AJ45" s="42">
        <f t="shared" si="9"/>
        <v>4383000</v>
      </c>
      <c r="AK45" s="42">
        <f t="shared" si="9"/>
        <v>4383000</v>
      </c>
      <c r="AL45" s="42">
        <f t="shared" si="9"/>
        <v>4383000</v>
      </c>
      <c r="AM45" s="42">
        <f t="shared" si="9"/>
        <v>4383000</v>
      </c>
      <c r="AN45" s="42">
        <f t="shared" si="9"/>
        <v>4383000</v>
      </c>
      <c r="AO45" s="42">
        <f t="shared" si="9"/>
        <v>1443000</v>
      </c>
      <c r="AP45" s="42">
        <f t="shared" si="9"/>
        <v>0</v>
      </c>
      <c r="AQ45" s="42">
        <f t="shared" si="9"/>
        <v>0</v>
      </c>
      <c r="AR45" s="42">
        <f t="shared" si="9"/>
        <v>0</v>
      </c>
      <c r="AS45" s="42">
        <f t="shared" si="9"/>
        <v>0</v>
      </c>
      <c r="AT45" s="42">
        <f t="shared" si="9"/>
        <v>0</v>
      </c>
      <c r="AU45" s="42">
        <f t="shared" si="9"/>
        <v>0</v>
      </c>
      <c r="AV45" s="42">
        <f t="shared" si="9"/>
        <v>0</v>
      </c>
      <c r="AW45" s="42">
        <f t="shared" si="9"/>
        <v>0</v>
      </c>
      <c r="AX45" s="42">
        <f t="shared" si="9"/>
        <v>0</v>
      </c>
      <c r="AY45" s="42">
        <f t="shared" si="9"/>
        <v>0</v>
      </c>
      <c r="AZ45" s="42">
        <f t="shared" si="9"/>
        <v>0</v>
      </c>
      <c r="BA45" s="42">
        <f t="shared" si="9"/>
        <v>0</v>
      </c>
      <c r="BB45" s="42">
        <f t="shared" si="9"/>
        <v>0</v>
      </c>
    </row>
    <row r="46" spans="1:54" ht="15" customHeight="1">
      <c r="A46" s="5"/>
      <c r="B46" s="19"/>
      <c r="C46" s="5"/>
      <c r="D46" s="5"/>
      <c r="E46" s="19" t="s">
        <v>479</v>
      </c>
      <c r="G46" s="18" t="s">
        <v>270</v>
      </c>
      <c r="H46" s="19" t="s">
        <v>480</v>
      </c>
      <c r="I46" s="18"/>
      <c r="J46" s="15"/>
      <c r="K46" s="15"/>
      <c r="L46" s="15"/>
      <c r="M46" s="15"/>
      <c r="N46" s="15"/>
      <c r="O46" s="31"/>
      <c r="P46" s="42">
        <f>$I$40*P42</f>
        <v>0</v>
      </c>
      <c r="Q46" s="42">
        <f t="shared" ref="Q46:BB46" si="10">$I$40*Q42</f>
        <v>0</v>
      </c>
      <c r="R46" s="42">
        <f t="shared" si="10"/>
        <v>0</v>
      </c>
      <c r="S46" s="42">
        <f t="shared" si="10"/>
        <v>3504000</v>
      </c>
      <c r="T46" s="42">
        <f t="shared" si="10"/>
        <v>3506400</v>
      </c>
      <c r="U46" s="42">
        <f t="shared" si="10"/>
        <v>3506400</v>
      </c>
      <c r="V46" s="42">
        <f t="shared" si="10"/>
        <v>3506400</v>
      </c>
      <c r="W46" s="42">
        <f t="shared" si="10"/>
        <v>3506400</v>
      </c>
      <c r="X46" s="42">
        <f t="shared" si="10"/>
        <v>3506400</v>
      </c>
      <c r="Y46" s="42">
        <f t="shared" si="10"/>
        <v>3506400</v>
      </c>
      <c r="Z46" s="42">
        <f t="shared" si="10"/>
        <v>3506400</v>
      </c>
      <c r="AA46" s="42">
        <f t="shared" si="10"/>
        <v>3506400</v>
      </c>
      <c r="AB46" s="42">
        <f t="shared" si="10"/>
        <v>3506400</v>
      </c>
      <c r="AC46" s="42">
        <f t="shared" si="10"/>
        <v>3506400</v>
      </c>
      <c r="AD46" s="42">
        <f t="shared" si="10"/>
        <v>3506400</v>
      </c>
      <c r="AE46" s="42">
        <f t="shared" si="10"/>
        <v>3506400</v>
      </c>
      <c r="AF46" s="42">
        <f t="shared" si="10"/>
        <v>3506400</v>
      </c>
      <c r="AG46" s="42">
        <f t="shared" si="10"/>
        <v>3506400</v>
      </c>
      <c r="AH46" s="42">
        <f t="shared" si="10"/>
        <v>3506400</v>
      </c>
      <c r="AI46" s="42">
        <f t="shared" si="10"/>
        <v>3506400</v>
      </c>
      <c r="AJ46" s="42">
        <f t="shared" si="10"/>
        <v>3506400</v>
      </c>
      <c r="AK46" s="42">
        <f t="shared" si="10"/>
        <v>3506400</v>
      </c>
      <c r="AL46" s="42">
        <f t="shared" si="10"/>
        <v>3506400</v>
      </c>
      <c r="AM46" s="42">
        <f t="shared" si="10"/>
        <v>3506400</v>
      </c>
      <c r="AN46" s="42">
        <f t="shared" si="10"/>
        <v>3506400</v>
      </c>
      <c r="AO46" s="42">
        <f t="shared" si="10"/>
        <v>1154400</v>
      </c>
      <c r="AP46" s="42">
        <f t="shared" si="10"/>
        <v>0</v>
      </c>
      <c r="AQ46" s="42">
        <f t="shared" si="10"/>
        <v>0</v>
      </c>
      <c r="AR46" s="42">
        <f t="shared" si="10"/>
        <v>0</v>
      </c>
      <c r="AS46" s="42">
        <f t="shared" si="10"/>
        <v>0</v>
      </c>
      <c r="AT46" s="42">
        <f t="shared" si="10"/>
        <v>0</v>
      </c>
      <c r="AU46" s="42">
        <f t="shared" si="10"/>
        <v>0</v>
      </c>
      <c r="AV46" s="42">
        <f t="shared" si="10"/>
        <v>0</v>
      </c>
      <c r="AW46" s="42">
        <f t="shared" si="10"/>
        <v>0</v>
      </c>
      <c r="AX46" s="42">
        <f t="shared" si="10"/>
        <v>0</v>
      </c>
      <c r="AY46" s="42">
        <f t="shared" si="10"/>
        <v>0</v>
      </c>
      <c r="AZ46" s="42">
        <f t="shared" si="10"/>
        <v>0</v>
      </c>
      <c r="BA46" s="42">
        <f t="shared" si="10"/>
        <v>0</v>
      </c>
      <c r="BB46" s="42">
        <f t="shared" si="10"/>
        <v>0</v>
      </c>
    </row>
    <row r="47" spans="1:54" ht="15" customHeight="1">
      <c r="A47" s="5"/>
      <c r="B47" s="19"/>
      <c r="C47" s="5"/>
      <c r="D47" s="5"/>
      <c r="E47" s="19" t="s">
        <v>481</v>
      </c>
      <c r="G47" s="18" t="s">
        <v>193</v>
      </c>
      <c r="H47" s="19" t="s">
        <v>482</v>
      </c>
      <c r="I47" s="18"/>
      <c r="J47" s="15"/>
      <c r="K47" s="15"/>
      <c r="L47" s="15"/>
      <c r="M47" s="15"/>
      <c r="N47" s="15"/>
      <c r="O47" s="31"/>
      <c r="P47" s="43">
        <f>IF(P46=0,0,P45/P46)</f>
        <v>0</v>
      </c>
      <c r="Q47" s="43">
        <f t="shared" ref="Q47:BB47" si="11">IF(Q46=0,0,Q45/Q46)</f>
        <v>0</v>
      </c>
      <c r="R47" s="43">
        <f t="shared" si="11"/>
        <v>0</v>
      </c>
      <c r="S47" s="43">
        <f t="shared" si="11"/>
        <v>1.25</v>
      </c>
      <c r="T47" s="43">
        <f t="shared" si="11"/>
        <v>1.25</v>
      </c>
      <c r="U47" s="43">
        <f t="shared" si="11"/>
        <v>1.25</v>
      </c>
      <c r="V47" s="43">
        <f t="shared" si="11"/>
        <v>1.25</v>
      </c>
      <c r="W47" s="43">
        <f t="shared" si="11"/>
        <v>1.25</v>
      </c>
      <c r="X47" s="43">
        <f t="shared" si="11"/>
        <v>1.25</v>
      </c>
      <c r="Y47" s="43">
        <f t="shared" si="11"/>
        <v>1.25</v>
      </c>
      <c r="Z47" s="43">
        <f t="shared" si="11"/>
        <v>1.25</v>
      </c>
      <c r="AA47" s="43">
        <f t="shared" si="11"/>
        <v>1.25</v>
      </c>
      <c r="AB47" s="43">
        <f t="shared" si="11"/>
        <v>1.25</v>
      </c>
      <c r="AC47" s="43">
        <f t="shared" si="11"/>
        <v>1.25</v>
      </c>
      <c r="AD47" s="43">
        <f t="shared" si="11"/>
        <v>1.25</v>
      </c>
      <c r="AE47" s="43">
        <f t="shared" si="11"/>
        <v>1.25</v>
      </c>
      <c r="AF47" s="43">
        <f t="shared" si="11"/>
        <v>1.25</v>
      </c>
      <c r="AG47" s="43">
        <f t="shared" si="11"/>
        <v>1.25</v>
      </c>
      <c r="AH47" s="43">
        <f t="shared" si="11"/>
        <v>1.25</v>
      </c>
      <c r="AI47" s="43">
        <f t="shared" si="11"/>
        <v>1.25</v>
      </c>
      <c r="AJ47" s="43">
        <f t="shared" si="11"/>
        <v>1.25</v>
      </c>
      <c r="AK47" s="43">
        <f t="shared" si="11"/>
        <v>1.25</v>
      </c>
      <c r="AL47" s="43">
        <f t="shared" si="11"/>
        <v>1.25</v>
      </c>
      <c r="AM47" s="43">
        <f t="shared" si="11"/>
        <v>1.25</v>
      </c>
      <c r="AN47" s="43">
        <f t="shared" si="11"/>
        <v>1.25</v>
      </c>
      <c r="AO47" s="43">
        <f t="shared" si="11"/>
        <v>1.25</v>
      </c>
      <c r="AP47" s="43">
        <f t="shared" si="11"/>
        <v>0</v>
      </c>
      <c r="AQ47" s="43">
        <f t="shared" si="11"/>
        <v>0</v>
      </c>
      <c r="AR47" s="43">
        <f t="shared" si="11"/>
        <v>0</v>
      </c>
      <c r="AS47" s="43">
        <f t="shared" si="11"/>
        <v>0</v>
      </c>
      <c r="AT47" s="43">
        <f t="shared" si="11"/>
        <v>0</v>
      </c>
      <c r="AU47" s="43">
        <f t="shared" si="11"/>
        <v>0</v>
      </c>
      <c r="AV47" s="43">
        <f t="shared" si="11"/>
        <v>0</v>
      </c>
      <c r="AW47" s="43">
        <f t="shared" si="11"/>
        <v>0</v>
      </c>
      <c r="AX47" s="43">
        <f t="shared" si="11"/>
        <v>0</v>
      </c>
      <c r="AY47" s="43">
        <f t="shared" si="11"/>
        <v>0</v>
      </c>
      <c r="AZ47" s="43">
        <f t="shared" si="11"/>
        <v>0</v>
      </c>
      <c r="BA47" s="43">
        <f t="shared" si="11"/>
        <v>0</v>
      </c>
      <c r="BB47" s="43">
        <f t="shared" si="11"/>
        <v>0</v>
      </c>
    </row>
    <row r="48" spans="1:54" ht="15" customHeight="1">
      <c r="A48" s="5"/>
      <c r="B48" s="5"/>
      <c r="C48" s="5"/>
      <c r="D48" s="5"/>
      <c r="J48" s="15"/>
      <c r="K48" s="15"/>
      <c r="L48" s="15"/>
      <c r="M48" s="15"/>
      <c r="N48" s="15"/>
      <c r="O48" s="15"/>
      <c r="P48" s="15"/>
      <c r="Q48" s="15"/>
      <c r="R48" s="15"/>
      <c r="S48" s="15"/>
      <c r="T48" s="15"/>
      <c r="U48" s="15"/>
      <c r="V48" s="15"/>
      <c r="W48" s="15"/>
      <c r="X48" s="15"/>
      <c r="Y48" s="15"/>
      <c r="Z48" s="15"/>
      <c r="AA48" s="15"/>
      <c r="AB48" s="15"/>
      <c r="AC48" s="15"/>
      <c r="AD48" s="15"/>
      <c r="AE48" s="15"/>
      <c r="AF48" s="15"/>
      <c r="AG48" s="15"/>
      <c r="AH48" s="15"/>
      <c r="AI48" s="15"/>
      <c r="AJ48" s="15"/>
      <c r="AK48" s="15"/>
      <c r="AL48" s="15"/>
      <c r="AM48" s="15"/>
      <c r="AN48" s="15"/>
      <c r="AO48" s="15"/>
      <c r="AP48" s="15"/>
      <c r="AQ48" s="15"/>
      <c r="AR48" s="15"/>
      <c r="AS48" s="15"/>
      <c r="AT48" s="15"/>
      <c r="AU48" s="15"/>
      <c r="AV48" s="15"/>
      <c r="AW48" s="15"/>
      <c r="AX48" s="15"/>
      <c r="AY48" s="15"/>
      <c r="AZ48" s="15"/>
      <c r="BA48" s="15"/>
      <c r="BB48" s="15"/>
    </row>
    <row r="49" spans="1:54" ht="15" customHeight="1">
      <c r="A49" s="5"/>
      <c r="B49" s="5"/>
      <c r="C49" s="5"/>
      <c r="D49" s="5"/>
      <c r="E49" s="19" t="s">
        <v>252</v>
      </c>
      <c r="G49" s="19" t="s">
        <v>188</v>
      </c>
      <c r="J49" s="15"/>
      <c r="K49" s="15"/>
      <c r="L49" s="15"/>
      <c r="M49" s="15"/>
      <c r="N49" s="15"/>
      <c r="O49" s="15"/>
      <c r="P49" s="198">
        <f>Inputs!P121</f>
        <v>0</v>
      </c>
      <c r="Q49" s="198">
        <f>Inputs!Q121</f>
        <v>0</v>
      </c>
      <c r="R49" s="198">
        <f>Inputs!R121</f>
        <v>0</v>
      </c>
      <c r="S49" s="198">
        <f>Inputs!S121</f>
        <v>0</v>
      </c>
      <c r="T49" s="198">
        <f>Inputs!T121</f>
        <v>0</v>
      </c>
      <c r="U49" s="198">
        <f>Inputs!U121</f>
        <v>0</v>
      </c>
      <c r="V49" s="198">
        <f>Inputs!V121</f>
        <v>0</v>
      </c>
      <c r="W49" s="198">
        <f>Inputs!W121</f>
        <v>0</v>
      </c>
      <c r="X49" s="198">
        <f>Inputs!X121</f>
        <v>0</v>
      </c>
      <c r="Y49" s="198">
        <f>Inputs!Y121</f>
        <v>0</v>
      </c>
      <c r="Z49" s="198">
        <f>Inputs!Z121</f>
        <v>0</v>
      </c>
      <c r="AA49" s="198">
        <f>Inputs!AA121</f>
        <v>0</v>
      </c>
      <c r="AB49" s="198">
        <f>Inputs!AB121</f>
        <v>0</v>
      </c>
      <c r="AC49" s="198">
        <f>Inputs!AC121</f>
        <v>0</v>
      </c>
      <c r="AD49" s="198">
        <f>Inputs!AD121</f>
        <v>0</v>
      </c>
      <c r="AE49" s="198">
        <f>Inputs!AE121</f>
        <v>0</v>
      </c>
      <c r="AF49" s="198">
        <f>Inputs!AF121</f>
        <v>0</v>
      </c>
      <c r="AG49" s="198">
        <f>Inputs!AG121</f>
        <v>0</v>
      </c>
      <c r="AH49" s="198">
        <f>Inputs!AH121</f>
        <v>0</v>
      </c>
      <c r="AI49" s="198">
        <f>Inputs!AI121</f>
        <v>0</v>
      </c>
      <c r="AJ49" s="198">
        <f>Inputs!AJ121</f>
        <v>0</v>
      </c>
      <c r="AK49" s="198">
        <f>Inputs!AK121</f>
        <v>0</v>
      </c>
      <c r="AL49" s="198">
        <f>Inputs!AL121</f>
        <v>0</v>
      </c>
      <c r="AM49" s="198">
        <f>Inputs!AM121</f>
        <v>0</v>
      </c>
      <c r="AN49" s="198">
        <f>Inputs!AN121</f>
        <v>0</v>
      </c>
      <c r="AO49" s="198">
        <f>Inputs!AO121</f>
        <v>0</v>
      </c>
      <c r="AP49" s="198">
        <f>Inputs!AP121</f>
        <v>0</v>
      </c>
      <c r="AQ49" s="198">
        <f>Inputs!AQ121</f>
        <v>0</v>
      </c>
      <c r="AR49" s="198">
        <f>Inputs!AR121</f>
        <v>0</v>
      </c>
      <c r="AS49" s="198">
        <f>Inputs!AS121</f>
        <v>0</v>
      </c>
      <c r="AT49" s="198">
        <f>Inputs!AT121</f>
        <v>0</v>
      </c>
      <c r="AU49" s="198">
        <f>Inputs!AU121</f>
        <v>0</v>
      </c>
      <c r="AV49" s="198">
        <f>Inputs!AV121</f>
        <v>0</v>
      </c>
      <c r="AW49" s="198">
        <f>Inputs!AW121</f>
        <v>0</v>
      </c>
      <c r="AX49" s="198">
        <f>Inputs!AX121</f>
        <v>0</v>
      </c>
      <c r="AY49" s="198">
        <f>Inputs!AY121</f>
        <v>0</v>
      </c>
      <c r="AZ49" s="198">
        <f>Inputs!AZ121</f>
        <v>0</v>
      </c>
      <c r="BA49" s="198">
        <f>Inputs!BA121</f>
        <v>0</v>
      </c>
      <c r="BB49" s="198">
        <f>Inputs!BB121</f>
        <v>0</v>
      </c>
    </row>
    <row r="50" spans="1:54" ht="15" customHeight="1">
      <c r="A50" s="5"/>
      <c r="B50" s="30"/>
      <c r="C50" s="5"/>
      <c r="D50" s="5"/>
      <c r="E50" s="19" t="s">
        <v>253</v>
      </c>
      <c r="G50" s="19" t="s">
        <v>193</v>
      </c>
      <c r="I50" s="30"/>
      <c r="J50" s="15"/>
      <c r="K50" s="15"/>
      <c r="L50" s="15"/>
      <c r="M50" s="15"/>
      <c r="N50" s="15"/>
      <c r="O50" s="15"/>
      <c r="P50" s="199">
        <f>Inputs!P122</f>
        <v>1</v>
      </c>
      <c r="Q50" s="199">
        <f>Inputs!Q122</f>
        <v>1</v>
      </c>
      <c r="R50" s="199">
        <f>Inputs!R122</f>
        <v>1</v>
      </c>
      <c r="S50" s="199">
        <f>Inputs!S122</f>
        <v>1</v>
      </c>
      <c r="T50" s="199">
        <f>Inputs!T122</f>
        <v>1</v>
      </c>
      <c r="U50" s="199">
        <f>Inputs!U122</f>
        <v>1</v>
      </c>
      <c r="V50" s="199">
        <f>Inputs!V122</f>
        <v>1</v>
      </c>
      <c r="W50" s="199">
        <f>Inputs!W122</f>
        <v>1</v>
      </c>
      <c r="X50" s="199">
        <f>Inputs!X122</f>
        <v>1</v>
      </c>
      <c r="Y50" s="199">
        <f>Inputs!Y122</f>
        <v>1</v>
      </c>
      <c r="Z50" s="199">
        <f>Inputs!Z122</f>
        <v>1</v>
      </c>
      <c r="AA50" s="199">
        <f>Inputs!AA122</f>
        <v>1</v>
      </c>
      <c r="AB50" s="199">
        <f>Inputs!AB122</f>
        <v>1</v>
      </c>
      <c r="AC50" s="199">
        <f>Inputs!AC122</f>
        <v>1</v>
      </c>
      <c r="AD50" s="199">
        <f>Inputs!AD122</f>
        <v>1</v>
      </c>
      <c r="AE50" s="199">
        <f>Inputs!AE122</f>
        <v>1</v>
      </c>
      <c r="AF50" s="199">
        <f>Inputs!AF122</f>
        <v>1</v>
      </c>
      <c r="AG50" s="199">
        <f>Inputs!AG122</f>
        <v>1</v>
      </c>
      <c r="AH50" s="199">
        <f>Inputs!AH122</f>
        <v>1</v>
      </c>
      <c r="AI50" s="199">
        <f>Inputs!AI122</f>
        <v>1</v>
      </c>
      <c r="AJ50" s="199">
        <f>Inputs!AJ122</f>
        <v>1</v>
      </c>
      <c r="AK50" s="199">
        <f>Inputs!AK122</f>
        <v>1</v>
      </c>
      <c r="AL50" s="199">
        <f>Inputs!AL122</f>
        <v>1</v>
      </c>
      <c r="AM50" s="199">
        <f>Inputs!AM122</f>
        <v>1</v>
      </c>
      <c r="AN50" s="199">
        <f>Inputs!AN122</f>
        <v>1</v>
      </c>
      <c r="AO50" s="199">
        <f>Inputs!AO122</f>
        <v>1</v>
      </c>
      <c r="AP50" s="199">
        <f>Inputs!AP122</f>
        <v>1</v>
      </c>
      <c r="AQ50" s="199">
        <f>Inputs!AQ122</f>
        <v>1</v>
      </c>
      <c r="AR50" s="199">
        <f>Inputs!AR122</f>
        <v>1</v>
      </c>
      <c r="AS50" s="199">
        <f>Inputs!AS122</f>
        <v>1</v>
      </c>
      <c r="AT50" s="199">
        <f>Inputs!AT122</f>
        <v>1</v>
      </c>
      <c r="AU50" s="199">
        <f>Inputs!AU122</f>
        <v>1</v>
      </c>
      <c r="AV50" s="199">
        <f>Inputs!AV122</f>
        <v>1</v>
      </c>
      <c r="AW50" s="199">
        <f>Inputs!AW122</f>
        <v>1</v>
      </c>
      <c r="AX50" s="199">
        <f>Inputs!AX122</f>
        <v>1</v>
      </c>
      <c r="AY50" s="199">
        <f>Inputs!AY122</f>
        <v>1</v>
      </c>
      <c r="AZ50" s="199">
        <f>Inputs!AZ122</f>
        <v>1</v>
      </c>
      <c r="BA50" s="199">
        <f>Inputs!BA122</f>
        <v>1</v>
      </c>
      <c r="BB50" s="199">
        <f>Inputs!BB122</f>
        <v>1</v>
      </c>
    </row>
    <row r="51" spans="1:54" ht="15" customHeight="1">
      <c r="A51" s="5"/>
      <c r="B51" s="5"/>
      <c r="C51" s="5"/>
      <c r="D51" s="5"/>
      <c r="E51" s="19" t="s">
        <v>483</v>
      </c>
      <c r="G51" s="19" t="s">
        <v>188</v>
      </c>
      <c r="J51" s="15"/>
      <c r="K51" s="15"/>
      <c r="L51" s="15"/>
      <c r="M51" s="15"/>
      <c r="N51" s="15"/>
      <c r="O51" s="15"/>
      <c r="P51" s="216">
        <f>Assessment!P86</f>
        <v>0</v>
      </c>
      <c r="Q51" s="216">
        <f>Assessment!Q86</f>
        <v>0</v>
      </c>
      <c r="R51" s="216">
        <f>Assessment!R86</f>
        <v>0</v>
      </c>
      <c r="S51" s="216">
        <f>Assessment!S86</f>
        <v>0</v>
      </c>
      <c r="T51" s="216">
        <f>Assessment!T86</f>
        <v>0</v>
      </c>
      <c r="U51" s="216">
        <f>Assessment!U86</f>
        <v>0</v>
      </c>
      <c r="V51" s="216">
        <f>Assessment!V86</f>
        <v>0</v>
      </c>
      <c r="W51" s="216">
        <f>Assessment!W86</f>
        <v>0</v>
      </c>
      <c r="X51" s="216">
        <f>Assessment!X86</f>
        <v>0</v>
      </c>
      <c r="Y51" s="216">
        <f>Assessment!Y86</f>
        <v>0</v>
      </c>
      <c r="Z51" s="216">
        <f>Assessment!Z86</f>
        <v>0</v>
      </c>
      <c r="AA51" s="216">
        <f>Assessment!AA86</f>
        <v>0</v>
      </c>
      <c r="AB51" s="216">
        <f>Assessment!AB86</f>
        <v>0</v>
      </c>
      <c r="AC51" s="216">
        <f>Assessment!AC86</f>
        <v>0</v>
      </c>
      <c r="AD51" s="216">
        <f>Assessment!AD86</f>
        <v>0</v>
      </c>
      <c r="AE51" s="216">
        <f>Assessment!AE86</f>
        <v>0</v>
      </c>
      <c r="AF51" s="216">
        <f>Assessment!AF86</f>
        <v>0</v>
      </c>
      <c r="AG51" s="216">
        <f>Assessment!AG86</f>
        <v>0</v>
      </c>
      <c r="AH51" s="216">
        <f>Assessment!AH86</f>
        <v>0</v>
      </c>
      <c r="AI51" s="216">
        <f>Assessment!AI86</f>
        <v>0</v>
      </c>
      <c r="AJ51" s="216">
        <f>Assessment!AJ86</f>
        <v>0</v>
      </c>
      <c r="AK51" s="216">
        <f>Assessment!AK86</f>
        <v>0</v>
      </c>
      <c r="AL51" s="216">
        <f>Assessment!AL86</f>
        <v>0</v>
      </c>
      <c r="AM51" s="216">
        <f>Assessment!AM86</f>
        <v>0</v>
      </c>
      <c r="AN51" s="216">
        <f>Assessment!AN86</f>
        <v>0</v>
      </c>
      <c r="AO51" s="216">
        <f>Assessment!AO86</f>
        <v>0</v>
      </c>
      <c r="AP51" s="216">
        <f>Assessment!AP86</f>
        <v>0</v>
      </c>
      <c r="AQ51" s="216">
        <f>Assessment!AQ86</f>
        <v>0</v>
      </c>
      <c r="AR51" s="216">
        <f>Assessment!AR86</f>
        <v>0</v>
      </c>
      <c r="AS51" s="216">
        <f>Assessment!AS86</f>
        <v>0</v>
      </c>
      <c r="AT51" s="216">
        <f>Assessment!AT86</f>
        <v>0</v>
      </c>
      <c r="AU51" s="216">
        <f>Assessment!AU86</f>
        <v>0</v>
      </c>
      <c r="AV51" s="216">
        <f>Assessment!AV86</f>
        <v>0</v>
      </c>
      <c r="AW51" s="216">
        <f>Assessment!AW86</f>
        <v>0</v>
      </c>
      <c r="AX51" s="216">
        <f>Assessment!AX86</f>
        <v>0</v>
      </c>
      <c r="AY51" s="216">
        <f>Assessment!AY86</f>
        <v>0</v>
      </c>
      <c r="AZ51" s="216">
        <f>Assessment!AZ86</f>
        <v>0</v>
      </c>
      <c r="BA51" s="216">
        <f>Assessment!BA86</f>
        <v>0</v>
      </c>
      <c r="BB51" s="216">
        <f>Assessment!BB86</f>
        <v>0</v>
      </c>
    </row>
    <row r="52" spans="1:54" ht="15" customHeight="1">
      <c r="A52" s="5"/>
      <c r="B52" s="5"/>
      <c r="C52" s="5"/>
      <c r="D52" s="5"/>
      <c r="E52" s="19" t="s">
        <v>484</v>
      </c>
      <c r="G52" s="19" t="s">
        <v>188</v>
      </c>
      <c r="J52" s="15"/>
      <c r="K52" s="15"/>
      <c r="L52" s="15"/>
      <c r="M52" s="15"/>
      <c r="N52" s="15"/>
      <c r="O52" s="15"/>
      <c r="P52" s="216">
        <f>Assessment!P108</f>
        <v>0</v>
      </c>
      <c r="Q52" s="216">
        <f>Assessment!Q108</f>
        <v>0</v>
      </c>
      <c r="R52" s="216">
        <f>Assessment!R108</f>
        <v>0</v>
      </c>
      <c r="S52" s="216">
        <f>Assessment!S108</f>
        <v>0</v>
      </c>
      <c r="T52" s="216">
        <f>Assessment!T108</f>
        <v>0</v>
      </c>
      <c r="U52" s="216">
        <f>Assessment!U108</f>
        <v>0</v>
      </c>
      <c r="V52" s="216">
        <f>Assessment!V108</f>
        <v>0</v>
      </c>
      <c r="W52" s="216">
        <f>Assessment!W108</f>
        <v>0</v>
      </c>
      <c r="X52" s="216">
        <f>Assessment!X108</f>
        <v>0</v>
      </c>
      <c r="Y52" s="216">
        <f>Assessment!Y108</f>
        <v>0</v>
      </c>
      <c r="Z52" s="216">
        <f>Assessment!Z108</f>
        <v>0</v>
      </c>
      <c r="AA52" s="216">
        <f>Assessment!AA108</f>
        <v>0</v>
      </c>
      <c r="AB52" s="216">
        <f>Assessment!AB108</f>
        <v>0</v>
      </c>
      <c r="AC52" s="216">
        <f>Assessment!AC108</f>
        <v>0</v>
      </c>
      <c r="AD52" s="216">
        <f>Assessment!AD108</f>
        <v>0</v>
      </c>
      <c r="AE52" s="216">
        <f>Assessment!AE108</f>
        <v>0</v>
      </c>
      <c r="AF52" s="216">
        <f>Assessment!AF108</f>
        <v>0</v>
      </c>
      <c r="AG52" s="216">
        <f>Assessment!AG108</f>
        <v>0</v>
      </c>
      <c r="AH52" s="216">
        <f>Assessment!AH108</f>
        <v>0</v>
      </c>
      <c r="AI52" s="216">
        <f>Assessment!AI108</f>
        <v>0</v>
      </c>
      <c r="AJ52" s="216">
        <f>Assessment!AJ108</f>
        <v>0</v>
      </c>
      <c r="AK52" s="216">
        <f>Assessment!AK108</f>
        <v>0</v>
      </c>
      <c r="AL52" s="216">
        <f>Assessment!AL108</f>
        <v>0</v>
      </c>
      <c r="AM52" s="216">
        <f>Assessment!AM108</f>
        <v>0</v>
      </c>
      <c r="AN52" s="216">
        <f>Assessment!AN108</f>
        <v>0</v>
      </c>
      <c r="AO52" s="216">
        <f>Assessment!AO108</f>
        <v>0</v>
      </c>
      <c r="AP52" s="216">
        <f>Assessment!AP108</f>
        <v>0</v>
      </c>
      <c r="AQ52" s="216">
        <f>Assessment!AQ108</f>
        <v>1</v>
      </c>
      <c r="AR52" s="216">
        <f>Assessment!AR108</f>
        <v>1</v>
      </c>
      <c r="AS52" s="216">
        <f>Assessment!AS108</f>
        <v>1</v>
      </c>
      <c r="AT52" s="216">
        <f>Assessment!AT108</f>
        <v>1</v>
      </c>
      <c r="AU52" s="216">
        <f>Assessment!AU108</f>
        <v>1</v>
      </c>
      <c r="AV52" s="216">
        <f>Assessment!AV108</f>
        <v>1</v>
      </c>
      <c r="AW52" s="216">
        <f>Assessment!AW108</f>
        <v>1</v>
      </c>
      <c r="AX52" s="216">
        <f>Assessment!AX108</f>
        <v>1</v>
      </c>
      <c r="AY52" s="216">
        <f>Assessment!AY108</f>
        <v>1</v>
      </c>
      <c r="AZ52" s="216">
        <f>Assessment!AZ108</f>
        <v>1</v>
      </c>
      <c r="BA52" s="216">
        <f>Assessment!BA108</f>
        <v>1</v>
      </c>
      <c r="BB52" s="216">
        <f>Assessment!BB108</f>
        <v>1</v>
      </c>
    </row>
    <row r="53" spans="1:54" ht="15" customHeight="1">
      <c r="A53" s="5"/>
      <c r="B53" s="5"/>
      <c r="C53" s="5"/>
      <c r="D53" s="5"/>
      <c r="E53" s="19" t="s">
        <v>485</v>
      </c>
      <c r="G53" s="19" t="str">
        <f>G47</f>
        <v>scalar</v>
      </c>
      <c r="H53" s="19" t="s">
        <v>486</v>
      </c>
      <c r="J53" s="15"/>
      <c r="K53" s="15"/>
      <c r="L53" s="15"/>
      <c r="M53" s="15"/>
      <c r="N53" s="15"/>
      <c r="O53" s="31"/>
      <c r="P53" s="93">
        <f>P18*IF(P47&gt;=1,1,IF(AND(P49,P51=0),1,0))*P50</f>
        <v>0</v>
      </c>
      <c r="Q53" s="93">
        <f t="shared" ref="Q53:BB53" si="12">Q18*IF(Q47&gt;=1,1,IF(AND(Q49,Q51=0),1,0))*Q50</f>
        <v>0</v>
      </c>
      <c r="R53" s="93">
        <f t="shared" si="12"/>
        <v>0</v>
      </c>
      <c r="S53" s="93">
        <f t="shared" si="12"/>
        <v>1</v>
      </c>
      <c r="T53" s="93">
        <f t="shared" si="12"/>
        <v>1</v>
      </c>
      <c r="U53" s="93">
        <f t="shared" si="12"/>
        <v>1</v>
      </c>
      <c r="V53" s="93">
        <f t="shared" si="12"/>
        <v>1</v>
      </c>
      <c r="W53" s="93">
        <f t="shared" si="12"/>
        <v>1</v>
      </c>
      <c r="X53" s="93">
        <f t="shared" si="12"/>
        <v>1</v>
      </c>
      <c r="Y53" s="93">
        <f t="shared" si="12"/>
        <v>1</v>
      </c>
      <c r="Z53" s="93">
        <f t="shared" si="12"/>
        <v>1</v>
      </c>
      <c r="AA53" s="93">
        <f t="shared" si="12"/>
        <v>1</v>
      </c>
      <c r="AB53" s="93">
        <f t="shared" si="12"/>
        <v>1</v>
      </c>
      <c r="AC53" s="93">
        <f t="shared" si="12"/>
        <v>1</v>
      </c>
      <c r="AD53" s="93">
        <f t="shared" si="12"/>
        <v>1</v>
      </c>
      <c r="AE53" s="93">
        <f t="shared" si="12"/>
        <v>1</v>
      </c>
      <c r="AF53" s="93">
        <f t="shared" si="12"/>
        <v>1</v>
      </c>
      <c r="AG53" s="93">
        <f t="shared" si="12"/>
        <v>1</v>
      </c>
      <c r="AH53" s="93">
        <f t="shared" si="12"/>
        <v>1</v>
      </c>
      <c r="AI53" s="93">
        <f t="shared" si="12"/>
        <v>1</v>
      </c>
      <c r="AJ53" s="93">
        <f t="shared" si="12"/>
        <v>1</v>
      </c>
      <c r="AK53" s="93">
        <f t="shared" si="12"/>
        <v>1</v>
      </c>
      <c r="AL53" s="93">
        <f t="shared" si="12"/>
        <v>1</v>
      </c>
      <c r="AM53" s="93">
        <f t="shared" si="12"/>
        <v>1</v>
      </c>
      <c r="AN53" s="93">
        <f t="shared" si="12"/>
        <v>1</v>
      </c>
      <c r="AO53" s="93">
        <f t="shared" si="12"/>
        <v>1</v>
      </c>
      <c r="AP53" s="93">
        <f t="shared" si="12"/>
        <v>0</v>
      </c>
      <c r="AQ53" s="93">
        <f t="shared" si="12"/>
        <v>0</v>
      </c>
      <c r="AR53" s="93">
        <f t="shared" si="12"/>
        <v>0</v>
      </c>
      <c r="AS53" s="93">
        <f t="shared" si="12"/>
        <v>0</v>
      </c>
      <c r="AT53" s="93">
        <f t="shared" si="12"/>
        <v>0</v>
      </c>
      <c r="AU53" s="93">
        <f t="shared" si="12"/>
        <v>0</v>
      </c>
      <c r="AV53" s="93">
        <f t="shared" si="12"/>
        <v>0</v>
      </c>
      <c r="AW53" s="93">
        <f t="shared" si="12"/>
        <v>0</v>
      </c>
      <c r="AX53" s="93">
        <f t="shared" si="12"/>
        <v>0</v>
      </c>
      <c r="AY53" s="93">
        <f t="shared" si="12"/>
        <v>0</v>
      </c>
      <c r="AZ53" s="93">
        <f t="shared" si="12"/>
        <v>0</v>
      </c>
      <c r="BA53" s="93">
        <f t="shared" si="12"/>
        <v>0</v>
      </c>
      <c r="BB53" s="93">
        <f t="shared" si="12"/>
        <v>0</v>
      </c>
    </row>
    <row r="54" spans="1:54" ht="15" customHeight="1">
      <c r="A54" s="5"/>
      <c r="B54" s="5"/>
      <c r="C54" s="5"/>
      <c r="D54" s="5"/>
      <c r="E54" s="19" t="s">
        <v>487</v>
      </c>
      <c r="G54" s="19" t="s">
        <v>193</v>
      </c>
      <c r="H54" s="19" t="s">
        <v>488</v>
      </c>
      <c r="J54" s="15"/>
      <c r="K54" s="15"/>
      <c r="L54" s="15"/>
      <c r="M54" s="15"/>
      <c r="N54" s="15"/>
      <c r="O54" s="31"/>
      <c r="P54" s="93">
        <f>P18*IF(P47&gt;=1,1,IF(AND(P49,P52=0),1,0))*P50</f>
        <v>0</v>
      </c>
      <c r="Q54" s="93">
        <f t="shared" ref="Q54:BB54" si="13">Q18*IF(Q47&gt;=1,1,IF(AND(Q49,Q52=0),1,0))*Q50</f>
        <v>0</v>
      </c>
      <c r="R54" s="93">
        <f t="shared" si="13"/>
        <v>0</v>
      </c>
      <c r="S54" s="93">
        <f t="shared" si="13"/>
        <v>1</v>
      </c>
      <c r="T54" s="93">
        <f t="shared" si="13"/>
        <v>1</v>
      </c>
      <c r="U54" s="93">
        <f t="shared" si="13"/>
        <v>1</v>
      </c>
      <c r="V54" s="93">
        <f t="shared" si="13"/>
        <v>1</v>
      </c>
      <c r="W54" s="93">
        <f t="shared" si="13"/>
        <v>1</v>
      </c>
      <c r="X54" s="93">
        <f t="shared" si="13"/>
        <v>1</v>
      </c>
      <c r="Y54" s="93">
        <f t="shared" si="13"/>
        <v>1</v>
      </c>
      <c r="Z54" s="93">
        <f t="shared" si="13"/>
        <v>1</v>
      </c>
      <c r="AA54" s="93">
        <f t="shared" si="13"/>
        <v>1</v>
      </c>
      <c r="AB54" s="93">
        <f t="shared" si="13"/>
        <v>1</v>
      </c>
      <c r="AC54" s="93">
        <f t="shared" si="13"/>
        <v>1</v>
      </c>
      <c r="AD54" s="93">
        <f t="shared" si="13"/>
        <v>1</v>
      </c>
      <c r="AE54" s="93">
        <f t="shared" si="13"/>
        <v>1</v>
      </c>
      <c r="AF54" s="93">
        <f t="shared" si="13"/>
        <v>1</v>
      </c>
      <c r="AG54" s="93">
        <f t="shared" si="13"/>
        <v>1</v>
      </c>
      <c r="AH54" s="93">
        <f t="shared" si="13"/>
        <v>1</v>
      </c>
      <c r="AI54" s="93">
        <f t="shared" si="13"/>
        <v>1</v>
      </c>
      <c r="AJ54" s="93">
        <f t="shared" si="13"/>
        <v>1</v>
      </c>
      <c r="AK54" s="93">
        <f t="shared" si="13"/>
        <v>1</v>
      </c>
      <c r="AL54" s="93">
        <f t="shared" si="13"/>
        <v>1</v>
      </c>
      <c r="AM54" s="93">
        <f t="shared" si="13"/>
        <v>1</v>
      </c>
      <c r="AN54" s="93">
        <f t="shared" si="13"/>
        <v>1</v>
      </c>
      <c r="AO54" s="93">
        <f t="shared" si="13"/>
        <v>1</v>
      </c>
      <c r="AP54" s="93">
        <f t="shared" si="13"/>
        <v>0</v>
      </c>
      <c r="AQ54" s="93">
        <f t="shared" si="13"/>
        <v>0</v>
      </c>
      <c r="AR54" s="93">
        <f t="shared" si="13"/>
        <v>0</v>
      </c>
      <c r="AS54" s="93">
        <f t="shared" si="13"/>
        <v>0</v>
      </c>
      <c r="AT54" s="93">
        <f t="shared" si="13"/>
        <v>0</v>
      </c>
      <c r="AU54" s="93">
        <f t="shared" si="13"/>
        <v>0</v>
      </c>
      <c r="AV54" s="93">
        <f t="shared" si="13"/>
        <v>0</v>
      </c>
      <c r="AW54" s="93">
        <f t="shared" si="13"/>
        <v>0</v>
      </c>
      <c r="AX54" s="93">
        <f t="shared" si="13"/>
        <v>0</v>
      </c>
      <c r="AY54" s="93">
        <f t="shared" si="13"/>
        <v>0</v>
      </c>
      <c r="AZ54" s="93">
        <f t="shared" si="13"/>
        <v>0</v>
      </c>
      <c r="BA54" s="93">
        <f t="shared" si="13"/>
        <v>0</v>
      </c>
      <c r="BB54" s="93">
        <f t="shared" si="13"/>
        <v>0</v>
      </c>
    </row>
    <row r="55" spans="1:54" ht="15" customHeight="1">
      <c r="A55" s="5"/>
      <c r="B55" s="5"/>
      <c r="C55" s="5"/>
      <c r="D55" s="5"/>
      <c r="J55" s="15"/>
      <c r="K55" s="15"/>
      <c r="L55" s="15"/>
      <c r="M55" s="15"/>
      <c r="N55" s="15"/>
      <c r="O55" s="31"/>
      <c r="P55" s="93"/>
      <c r="Q55" s="93"/>
      <c r="R55" s="93"/>
      <c r="S55" s="93"/>
      <c r="T55" s="93"/>
      <c r="U55" s="93"/>
      <c r="V55" s="93"/>
      <c r="W55" s="93"/>
      <c r="X55" s="93"/>
      <c r="Y55" s="93"/>
      <c r="Z55" s="93"/>
      <c r="AA55" s="93"/>
      <c r="AB55" s="93"/>
      <c r="AC55" s="93"/>
      <c r="AD55" s="93"/>
      <c r="AE55" s="93"/>
      <c r="AF55" s="93"/>
      <c r="AG55" s="93"/>
      <c r="AH55" s="93"/>
      <c r="AI55" s="93"/>
      <c r="AJ55" s="93"/>
      <c r="AK55" s="93"/>
      <c r="AL55" s="93"/>
      <c r="AM55" s="93"/>
      <c r="AN55" s="93"/>
      <c r="AO55" s="93"/>
      <c r="AP55" s="93"/>
      <c r="AQ55" s="93"/>
      <c r="AR55" s="93"/>
      <c r="AS55" s="93"/>
      <c r="AT55" s="93"/>
      <c r="AU55" s="93"/>
      <c r="AV55" s="93"/>
      <c r="AW55" s="93"/>
      <c r="AX55" s="93"/>
      <c r="AY55" s="93"/>
      <c r="AZ55" s="93"/>
      <c r="BA55" s="93"/>
      <c r="BB55" s="93"/>
    </row>
    <row r="56" spans="1:54" ht="15" customHeight="1">
      <c r="A56" s="5"/>
      <c r="B56" s="5"/>
      <c r="C56" s="38" t="s">
        <v>489</v>
      </c>
      <c r="D56" s="38"/>
      <c r="E56" s="38"/>
      <c r="F56" s="38"/>
      <c r="G56" s="38"/>
      <c r="H56" s="38"/>
      <c r="I56" s="38"/>
      <c r="J56" s="38"/>
      <c r="K56" s="38"/>
      <c r="L56" s="38"/>
      <c r="M56" s="38"/>
      <c r="N56" s="38"/>
      <c r="O56" s="38"/>
      <c r="P56" s="38"/>
      <c r="Q56" s="38"/>
      <c r="R56" s="38"/>
      <c r="S56" s="38"/>
      <c r="T56" s="38"/>
      <c r="U56" s="38"/>
      <c r="V56" s="38"/>
      <c r="W56" s="38"/>
      <c r="X56" s="38"/>
      <c r="Y56" s="38"/>
      <c r="Z56" s="38"/>
      <c r="AA56" s="38"/>
      <c r="AB56" s="38"/>
      <c r="AC56" s="38"/>
      <c r="AD56" s="38"/>
      <c r="AE56" s="38"/>
      <c r="AF56" s="38"/>
      <c r="AG56" s="38"/>
      <c r="AH56" s="38"/>
      <c r="AI56" s="38"/>
      <c r="AJ56" s="38"/>
      <c r="AK56" s="38"/>
      <c r="AL56" s="38"/>
      <c r="AM56" s="38"/>
      <c r="AN56" s="38"/>
      <c r="AO56" s="38"/>
      <c r="AP56" s="38"/>
      <c r="AQ56" s="38"/>
      <c r="AR56" s="38"/>
      <c r="AS56" s="38"/>
      <c r="AT56" s="38"/>
      <c r="AU56" s="38"/>
      <c r="AV56" s="38"/>
      <c r="AW56" s="38"/>
      <c r="AX56" s="38"/>
      <c r="AY56" s="38"/>
      <c r="AZ56" s="38"/>
      <c r="BA56" s="38"/>
      <c r="BB56" s="38"/>
    </row>
    <row r="57" spans="1:54" ht="15" customHeight="1">
      <c r="A57" s="5"/>
      <c r="B57" s="5"/>
      <c r="C57" s="5"/>
      <c r="D57" s="5"/>
      <c r="J57" s="15"/>
      <c r="K57" s="15"/>
      <c r="L57" s="15"/>
      <c r="M57" s="15"/>
      <c r="N57" s="15"/>
      <c r="O57" s="31"/>
      <c r="P57" s="93"/>
      <c r="Q57" s="93"/>
      <c r="R57" s="93"/>
      <c r="S57" s="93"/>
      <c r="T57" s="93"/>
      <c r="U57" s="93"/>
      <c r="V57" s="93"/>
      <c r="W57" s="93"/>
      <c r="X57" s="93"/>
      <c r="Y57" s="93"/>
      <c r="Z57" s="93"/>
      <c r="AA57" s="93"/>
      <c r="AB57" s="93"/>
      <c r="AC57" s="93"/>
      <c r="AD57" s="93"/>
      <c r="AE57" s="93"/>
      <c r="AF57" s="93"/>
      <c r="AG57" s="93"/>
      <c r="AH57" s="93"/>
      <c r="AI57" s="93"/>
      <c r="AJ57" s="93"/>
      <c r="AK57" s="93"/>
      <c r="AL57" s="93"/>
      <c r="AM57" s="93"/>
      <c r="AN57" s="93"/>
      <c r="AO57" s="93"/>
      <c r="AP57" s="93"/>
      <c r="AQ57" s="93"/>
      <c r="AR57" s="93"/>
      <c r="AS57" s="93"/>
      <c r="AT57" s="93"/>
      <c r="AU57" s="93"/>
      <c r="AV57" s="93"/>
      <c r="AW57" s="93"/>
      <c r="AX57" s="93"/>
      <c r="AY57" s="93"/>
      <c r="AZ57" s="93"/>
      <c r="BA57" s="93"/>
      <c r="BB57" s="93"/>
    </row>
    <row r="58" spans="1:54" ht="15" customHeight="1">
      <c r="A58" s="5"/>
      <c r="B58" s="5"/>
      <c r="C58" s="5"/>
      <c r="D58" s="5"/>
      <c r="E58" s="19" t="s">
        <v>490</v>
      </c>
      <c r="G58" s="5" t="s">
        <v>248</v>
      </c>
      <c r="H58" s="19" t="s">
        <v>491</v>
      </c>
      <c r="J58" s="15"/>
      <c r="K58" s="15"/>
      <c r="L58" s="15"/>
      <c r="M58" s="15"/>
      <c r="N58" s="15"/>
      <c r="O58" s="31"/>
      <c r="P58" s="186">
        <f t="shared" ref="P58:BB58" si="14">P11 * P36</f>
        <v>29.309156829215333</v>
      </c>
      <c r="Q58" s="186">
        <f t="shared" si="14"/>
        <v>45.564697093203975</v>
      </c>
      <c r="R58" s="186">
        <f t="shared" si="14"/>
        <v>47.514866128793109</v>
      </c>
      <c r="S58" s="186">
        <f t="shared" si="14"/>
        <v>49.548502399105445</v>
      </c>
      <c r="T58" s="186">
        <f t="shared" si="14"/>
        <v>51.699283891367784</v>
      </c>
      <c r="U58" s="186">
        <f t="shared" si="14"/>
        <v>54.25051262486371</v>
      </c>
      <c r="V58" s="186">
        <f t="shared" si="14"/>
        <v>56.572434565207871</v>
      </c>
      <c r="W58" s="186">
        <f t="shared" si="14"/>
        <v>58.99373476459877</v>
      </c>
      <c r="X58" s="186">
        <f t="shared" si="14"/>
        <v>61.518666612523596</v>
      </c>
      <c r="Y58" s="186">
        <f t="shared" si="14"/>
        <v>64.151665543539593</v>
      </c>
      <c r="Z58" s="186">
        <f t="shared" si="14"/>
        <v>66.897356828803098</v>
      </c>
      <c r="AA58" s="186">
        <f t="shared" si="14"/>
        <v>69.760563701075853</v>
      </c>
      <c r="AB58" s="186">
        <f t="shared" si="14"/>
        <v>72.746315827481908</v>
      </c>
      <c r="AC58" s="186">
        <f t="shared" si="14"/>
        <v>75.859858144898126</v>
      </c>
      <c r="AD58" s="186">
        <f t="shared" si="14"/>
        <v>79.106660073499754</v>
      </c>
      <c r="AE58" s="186">
        <f t="shared" si="14"/>
        <v>82.49242512464555</v>
      </c>
      <c r="AF58" s="186">
        <f t="shared" si="14"/>
        <v>86.023100919980365</v>
      </c>
      <c r="AG58" s="186">
        <f t="shared" si="14"/>
        <v>89.704889639355528</v>
      </c>
      <c r="AH58" s="186">
        <f t="shared" si="14"/>
        <v>93.54425891591994</v>
      </c>
      <c r="AI58" s="186">
        <f t="shared" si="14"/>
        <v>97.547953197521309</v>
      </c>
      <c r="AJ58" s="186">
        <f t="shared" si="14"/>
        <v>101.72300559437524</v>
      </c>
      <c r="AK58" s="186">
        <f t="shared" si="14"/>
        <v>106.07675023381447</v>
      </c>
      <c r="AL58" s="186">
        <f t="shared" si="14"/>
        <v>110.61683514382173</v>
      </c>
      <c r="AM58" s="186">
        <f t="shared" si="14"/>
        <v>115.35123568797729</v>
      </c>
      <c r="AN58" s="186">
        <f t="shared" si="14"/>
        <v>120.28826857542272</v>
      </c>
      <c r="AO58" s="186">
        <f t="shared" si="14"/>
        <v>41.297062089176485</v>
      </c>
      <c r="AP58" s="186">
        <f t="shared" si="14"/>
        <v>0</v>
      </c>
      <c r="AQ58" s="186">
        <f t="shared" si="14"/>
        <v>0</v>
      </c>
      <c r="AR58" s="186">
        <f t="shared" si="14"/>
        <v>0</v>
      </c>
      <c r="AS58" s="186">
        <f t="shared" si="14"/>
        <v>0</v>
      </c>
      <c r="AT58" s="186">
        <f t="shared" si="14"/>
        <v>0</v>
      </c>
      <c r="AU58" s="186">
        <f t="shared" si="14"/>
        <v>0</v>
      </c>
      <c r="AV58" s="186">
        <f t="shared" si="14"/>
        <v>0</v>
      </c>
      <c r="AW58" s="186">
        <f t="shared" si="14"/>
        <v>0</v>
      </c>
      <c r="AX58" s="186">
        <f t="shared" si="14"/>
        <v>0</v>
      </c>
      <c r="AY58" s="186">
        <f t="shared" si="14"/>
        <v>0</v>
      </c>
      <c r="AZ58" s="186">
        <f t="shared" si="14"/>
        <v>0</v>
      </c>
      <c r="BA58" s="186">
        <f t="shared" si="14"/>
        <v>0</v>
      </c>
      <c r="BB58" s="186">
        <f t="shared" si="14"/>
        <v>0</v>
      </c>
    </row>
    <row r="59" spans="1:54" ht="15" customHeight="1">
      <c r="A59" s="5"/>
      <c r="B59" s="5"/>
      <c r="C59" s="5"/>
      <c r="D59" s="5"/>
      <c r="E59" s="19" t="s">
        <v>492</v>
      </c>
      <c r="G59" s="5" t="s">
        <v>248</v>
      </c>
      <c r="H59" s="19" t="s">
        <v>458</v>
      </c>
      <c r="J59" s="15"/>
      <c r="K59" s="15"/>
      <c r="L59" s="15"/>
      <c r="M59" s="15"/>
      <c r="N59" s="15"/>
      <c r="O59" s="31"/>
      <c r="P59" s="186">
        <f t="shared" ref="P59:BB59" si="15">P12 * P53</f>
        <v>0</v>
      </c>
      <c r="Q59" s="186">
        <f t="shared" si="15"/>
        <v>0</v>
      </c>
      <c r="R59" s="186">
        <f t="shared" si="15"/>
        <v>0</v>
      </c>
      <c r="S59" s="186">
        <f t="shared" si="15"/>
        <v>24.205308577085852</v>
      </c>
      <c r="T59" s="186">
        <f t="shared" si="15"/>
        <v>25.339064090865126</v>
      </c>
      <c r="U59" s="186">
        <f t="shared" si="15"/>
        <v>27.328469291029048</v>
      </c>
      <c r="V59" s="186">
        <f t="shared" si="15"/>
        <v>28.498127776685092</v>
      </c>
      <c r="W59" s="186">
        <f t="shared" si="15"/>
        <v>29.717847645527215</v>
      </c>
      <c r="X59" s="186">
        <f t="shared" si="15"/>
        <v>30.989771524755774</v>
      </c>
      <c r="Y59" s="186">
        <f t="shared" si="15"/>
        <v>32.316133746015318</v>
      </c>
      <c r="Z59" s="186">
        <f t="shared" si="15"/>
        <v>33.69926427034477</v>
      </c>
      <c r="AA59" s="186">
        <f t="shared" si="15"/>
        <v>35.141592781115527</v>
      </c>
      <c r="AB59" s="186">
        <f t="shared" si="15"/>
        <v>36.645652952147266</v>
      </c>
      <c r="AC59" s="186">
        <f t="shared" si="15"/>
        <v>38.214086898499168</v>
      </c>
      <c r="AD59" s="186">
        <f t="shared" si="15"/>
        <v>39.84964981775493</v>
      </c>
      <c r="AE59" s="186">
        <f t="shared" si="15"/>
        <v>41.555214829954842</v>
      </c>
      <c r="AF59" s="186">
        <f t="shared" si="15"/>
        <v>43.333778024676917</v>
      </c>
      <c r="AG59" s="186">
        <f t="shared" si="15"/>
        <v>45.188463724133079</v>
      </c>
      <c r="AH59" s="186">
        <f t="shared" si="15"/>
        <v>47.122529971525978</v>
      </c>
      <c r="AI59" s="186">
        <f t="shared" si="15"/>
        <v>49.139374254307278</v>
      </c>
      <c r="AJ59" s="186">
        <f t="shared" si="15"/>
        <v>51.242539472391634</v>
      </c>
      <c r="AK59" s="186">
        <f t="shared" si="15"/>
        <v>53.435720161809996</v>
      </c>
      <c r="AL59" s="186">
        <f t="shared" si="15"/>
        <v>55.72276898473546</v>
      </c>
      <c r="AM59" s="186">
        <f t="shared" si="15"/>
        <v>58.107703497282138</v>
      </c>
      <c r="AN59" s="186">
        <f t="shared" si="15"/>
        <v>60.594713206965807</v>
      </c>
      <c r="AO59" s="186">
        <f t="shared" si="15"/>
        <v>20.803222651882074</v>
      </c>
      <c r="AP59" s="186">
        <f t="shared" si="15"/>
        <v>0</v>
      </c>
      <c r="AQ59" s="186">
        <f t="shared" si="15"/>
        <v>0</v>
      </c>
      <c r="AR59" s="186">
        <f t="shared" si="15"/>
        <v>0</v>
      </c>
      <c r="AS59" s="186">
        <f t="shared" si="15"/>
        <v>0</v>
      </c>
      <c r="AT59" s="186">
        <f t="shared" si="15"/>
        <v>0</v>
      </c>
      <c r="AU59" s="186">
        <f t="shared" si="15"/>
        <v>0</v>
      </c>
      <c r="AV59" s="186">
        <f t="shared" si="15"/>
        <v>0</v>
      </c>
      <c r="AW59" s="186">
        <f t="shared" si="15"/>
        <v>0</v>
      </c>
      <c r="AX59" s="186">
        <f t="shared" si="15"/>
        <v>0</v>
      </c>
      <c r="AY59" s="186">
        <f t="shared" si="15"/>
        <v>0</v>
      </c>
      <c r="AZ59" s="186">
        <f t="shared" si="15"/>
        <v>0</v>
      </c>
      <c r="BA59" s="186">
        <f t="shared" si="15"/>
        <v>0</v>
      </c>
      <c r="BB59" s="186">
        <f t="shared" si="15"/>
        <v>0</v>
      </c>
    </row>
    <row r="60" spans="1:54" ht="15" customHeight="1">
      <c r="A60" s="5"/>
      <c r="B60" s="5"/>
      <c r="C60" s="5"/>
      <c r="D60" s="5"/>
      <c r="E60" s="19" t="s">
        <v>493</v>
      </c>
      <c r="G60" s="5" t="s">
        <v>248</v>
      </c>
      <c r="H60" s="19" t="s">
        <v>460</v>
      </c>
      <c r="J60" s="15"/>
      <c r="K60" s="15"/>
      <c r="L60" s="15"/>
      <c r="M60" s="15"/>
      <c r="N60" s="15"/>
      <c r="O60" s="31"/>
      <c r="P60" s="186">
        <f t="shared" ref="P60:BB60" si="16">P13 * P54</f>
        <v>0</v>
      </c>
      <c r="Q60" s="186">
        <f t="shared" si="16"/>
        <v>0</v>
      </c>
      <c r="R60" s="186">
        <f t="shared" si="16"/>
        <v>0</v>
      </c>
      <c r="S60" s="186">
        <f t="shared" si="16"/>
        <v>24.996499711583155</v>
      </c>
      <c r="T60" s="186">
        <f t="shared" si="16"/>
        <v>25.577046282690425</v>
      </c>
      <c r="U60" s="186">
        <f t="shared" si="16"/>
        <v>24.383897278477871</v>
      </c>
      <c r="V60" s="186">
        <f t="shared" si="16"/>
        <v>25.082200293143497</v>
      </c>
      <c r="W60" s="186">
        <f t="shared" si="16"/>
        <v>25.804520104426306</v>
      </c>
      <c r="X60" s="186">
        <f t="shared" si="16"/>
        <v>26.551784831490533</v>
      </c>
      <c r="Y60" s="186">
        <f t="shared" si="16"/>
        <v>27.324960620405221</v>
      </c>
      <c r="Z60" s="186">
        <f t="shared" si="16"/>
        <v>28.125053242853614</v>
      </c>
      <c r="AA60" s="186">
        <f t="shared" si="16"/>
        <v>28.953109762777018</v>
      </c>
      <c r="AB60" s="186">
        <f t="shared" si="16"/>
        <v>29.810220273852348</v>
      </c>
      <c r="AC60" s="186">
        <f t="shared" si="16"/>
        <v>30.697519710826572</v>
      </c>
      <c r="AD60" s="186">
        <f t="shared" si="16"/>
        <v>31.616189737860612</v>
      </c>
      <c r="AE60" s="186">
        <f t="shared" si="16"/>
        <v>32.567460717169681</v>
      </c>
      <c r="AF60" s="186">
        <f t="shared" si="16"/>
        <v>33.552613761388173</v>
      </c>
      <c r="AG60" s="186">
        <f t="shared" si="16"/>
        <v>34.572982873233116</v>
      </c>
      <c r="AH60" s="186">
        <f t="shared" si="16"/>
        <v>35.629957176193585</v>
      </c>
      <c r="AI60" s="186">
        <f t="shared" si="16"/>
        <v>36.724983240132545</v>
      </c>
      <c r="AJ60" s="186">
        <f t="shared" si="16"/>
        <v>37.859567505853654</v>
      </c>
      <c r="AK60" s="186">
        <f t="shared" si="16"/>
        <v>39.035278812859367</v>
      </c>
      <c r="AL60" s="186">
        <f t="shared" si="16"/>
        <v>38.777353960261244</v>
      </c>
      <c r="AM60" s="186">
        <f t="shared" si="16"/>
        <v>23.38705442240024</v>
      </c>
      <c r="AN60" s="186">
        <f t="shared" si="16"/>
        <v>24.388020351678964</v>
      </c>
      <c r="AO60" s="186">
        <f t="shared" si="16"/>
        <v>8.3728330503309571</v>
      </c>
      <c r="AP60" s="186">
        <f t="shared" si="16"/>
        <v>0</v>
      </c>
      <c r="AQ60" s="186">
        <f t="shared" si="16"/>
        <v>0</v>
      </c>
      <c r="AR60" s="186">
        <f t="shared" si="16"/>
        <v>0</v>
      </c>
      <c r="AS60" s="186">
        <f t="shared" si="16"/>
        <v>0</v>
      </c>
      <c r="AT60" s="186">
        <f t="shared" si="16"/>
        <v>0</v>
      </c>
      <c r="AU60" s="186">
        <f t="shared" si="16"/>
        <v>0</v>
      </c>
      <c r="AV60" s="186">
        <f t="shared" si="16"/>
        <v>0</v>
      </c>
      <c r="AW60" s="186">
        <f t="shared" si="16"/>
        <v>0</v>
      </c>
      <c r="AX60" s="186">
        <f t="shared" si="16"/>
        <v>0</v>
      </c>
      <c r="AY60" s="186">
        <f t="shared" si="16"/>
        <v>0</v>
      </c>
      <c r="AZ60" s="186">
        <f t="shared" si="16"/>
        <v>0</v>
      </c>
      <c r="BA60" s="186">
        <f t="shared" si="16"/>
        <v>0</v>
      </c>
      <c r="BB60" s="186">
        <f t="shared" si="16"/>
        <v>0</v>
      </c>
    </row>
    <row r="61" spans="1:54" ht="15" customHeight="1">
      <c r="A61" s="5"/>
      <c r="B61" s="5"/>
      <c r="C61" s="5"/>
      <c r="D61" s="5"/>
      <c r="J61" s="15"/>
      <c r="K61" s="15"/>
      <c r="L61" s="15"/>
      <c r="M61" s="15"/>
      <c r="N61" s="15"/>
      <c r="O61" s="15"/>
      <c r="P61" s="15"/>
      <c r="Q61" s="15"/>
      <c r="R61" s="15"/>
      <c r="S61" s="15"/>
      <c r="T61" s="15"/>
      <c r="U61" s="15"/>
      <c r="V61" s="15"/>
      <c r="W61" s="15"/>
      <c r="X61" s="15"/>
      <c r="Y61" s="15"/>
      <c r="Z61" s="15"/>
      <c r="AA61" s="15"/>
      <c r="AB61" s="15"/>
      <c r="AC61" s="15"/>
      <c r="AD61" s="15"/>
      <c r="AE61" s="15"/>
      <c r="AF61" s="15"/>
      <c r="AG61" s="15"/>
      <c r="AH61" s="15"/>
      <c r="AI61" s="15"/>
      <c r="AJ61" s="15"/>
      <c r="AK61" s="15"/>
      <c r="AL61" s="15"/>
      <c r="AM61" s="15"/>
      <c r="AN61" s="15"/>
      <c r="AO61" s="15"/>
      <c r="AP61" s="15"/>
      <c r="AQ61" s="15"/>
      <c r="AR61" s="15"/>
      <c r="AS61" s="15"/>
      <c r="AT61" s="15"/>
      <c r="AU61" s="15"/>
      <c r="AV61" s="15"/>
      <c r="AW61" s="15"/>
      <c r="AX61" s="15"/>
      <c r="AY61" s="15"/>
      <c r="AZ61" s="15"/>
      <c r="BA61" s="15"/>
      <c r="BB61" s="15"/>
    </row>
    <row r="62" spans="1:54" s="4" customFormat="1" ht="15" customHeight="1">
      <c r="B62" s="166" t="s">
        <v>46</v>
      </c>
      <c r="C62" s="8"/>
      <c r="D62" s="8"/>
      <c r="E62" s="8"/>
      <c r="F62" s="8"/>
      <c r="G62" s="8"/>
      <c r="H62" s="8"/>
      <c r="I62" s="8"/>
      <c r="J62" s="8"/>
      <c r="K62" s="8"/>
      <c r="L62" s="8"/>
      <c r="M62" s="8"/>
      <c r="N62" s="8"/>
      <c r="O62" s="8"/>
      <c r="P62" s="8"/>
      <c r="Q62" s="8"/>
      <c r="R62" s="8"/>
      <c r="S62" s="8"/>
      <c r="T62" s="8"/>
      <c r="U62" s="8"/>
      <c r="V62" s="8"/>
      <c r="W62" s="8"/>
      <c r="X62" s="8"/>
      <c r="Y62" s="8"/>
      <c r="Z62" s="8"/>
      <c r="AA62" s="8"/>
      <c r="AB62" s="8"/>
      <c r="AC62" s="8"/>
      <c r="AD62" s="8"/>
      <c r="AE62" s="8"/>
      <c r="AF62" s="8"/>
      <c r="AG62" s="8"/>
      <c r="AH62" s="8"/>
      <c r="AI62" s="8"/>
      <c r="AJ62" s="8"/>
      <c r="AK62" s="8"/>
      <c r="AL62" s="8"/>
      <c r="AM62" s="8"/>
      <c r="AN62" s="8"/>
      <c r="AO62" s="8"/>
      <c r="AP62" s="8"/>
      <c r="AQ62" s="8"/>
      <c r="AR62" s="8"/>
      <c r="AS62" s="8"/>
      <c r="AT62" s="8"/>
      <c r="AU62" s="8"/>
      <c r="AV62" s="8"/>
      <c r="AW62" s="8"/>
      <c r="AX62" s="8"/>
      <c r="AY62" s="8"/>
      <c r="AZ62" s="8"/>
      <c r="BA62" s="8"/>
      <c r="BB62" s="8"/>
    </row>
    <row r="63" spans="1:54" ht="15" customHeight="1"/>
    <row r="64" spans="1:54" ht="15" customHeight="1"/>
  </sheetData>
  <conditionalFormatting sqref="P18:BB18">
    <cfRule type="cellIs" dxfId="6" priority="1" operator="equal">
      <formula>FALSE()</formula>
    </cfRule>
  </conditionalFormatting>
  <pageMargins left="0.23622047244094491" right="0.23622047244094491" top="0.74803149606299213" bottom="0.74803149606299213" header="0.31496062992125984" footer="0.31496062992125984"/>
  <pageSetup paperSize="8" scale="42" orientation="landscape" r:id="rId1"/>
  <headerFooter>
    <oddHeader>&amp;C&amp;"Aptos"&amp;10&amp;K000000 OFFICIAL&amp;1#_x000D_</oddHeader>
    <oddFooter>&amp;C_x000D_&amp;1#&amp;"Aptos"&amp;10&amp;K000000 OFFICIAL</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7">
    <tabColor theme="7" tint="0.59999389629810485"/>
    <pageSetUpPr fitToPage="1"/>
  </sheetPr>
  <dimension ref="A1:BC153"/>
  <sheetViews>
    <sheetView zoomScale="115" zoomScaleNormal="115" workbookViewId="0">
      <pane xSplit="10" ySplit="5" topLeftCell="K6" activePane="bottomRight" state="frozen"/>
      <selection pane="bottomRight" activeCell="K6" sqref="K6"/>
      <selection pane="bottomLeft"/>
      <selection pane="topRight"/>
    </sheetView>
  </sheetViews>
  <sheetFormatPr defaultColWidth="0" defaultRowHeight="15" customHeight="1" zeroHeight="1"/>
  <cols>
    <col min="1" max="1" width="2.7109375" style="14" customWidth="1"/>
    <col min="2" max="2" width="2.7109375" style="30" customWidth="1"/>
    <col min="3" max="3" width="2.7109375" style="19" customWidth="1"/>
    <col min="4" max="4" width="2.7109375" style="30" customWidth="1"/>
    <col min="5" max="5" width="52.42578125" style="19" bestFit="1" customWidth="1"/>
    <col min="6" max="6" width="1.7109375" style="19" customWidth="1"/>
    <col min="7" max="7" width="15.7109375" style="19" customWidth="1"/>
    <col min="8" max="8" width="12" style="19" customWidth="1"/>
    <col min="9" max="9" width="10.7109375" style="19" customWidth="1"/>
    <col min="10" max="11" width="1.7109375" style="19" customWidth="1"/>
    <col min="12" max="15" width="11" style="19" customWidth="1"/>
    <col min="16" max="54" width="10.7109375" style="19" customWidth="1"/>
    <col min="55" max="55" width="2.7109375" style="19" customWidth="1"/>
    <col min="56" max="16384" width="9" style="19" hidden="1"/>
  </cols>
  <sheetData>
    <row r="1" spans="1:55" s="10" customFormat="1" ht="14.25">
      <c r="A1" s="117" t="s">
        <v>35</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c r="A6" s="19"/>
      <c r="B6" s="19"/>
      <c r="D6" s="19"/>
    </row>
    <row r="7" spans="1:55" s="4" customFormat="1" ht="15" customHeight="1">
      <c r="B7" s="166" t="s">
        <v>494</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c r="A8" s="19"/>
      <c r="B8" s="19"/>
      <c r="D8" s="19"/>
    </row>
    <row r="9" spans="1:55" s="59" customFormat="1" ht="15" customHeight="1">
      <c r="C9" s="38" t="s">
        <v>495</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c r="A10" s="19"/>
      <c r="D10" s="19"/>
      <c r="W10" s="65"/>
      <c r="X10" s="65"/>
      <c r="Y10" s="65"/>
      <c r="Z10" s="65"/>
      <c r="AA10" s="65"/>
      <c r="AB10" s="65"/>
      <c r="AC10" s="65"/>
      <c r="AD10" s="65"/>
      <c r="AE10" s="65"/>
      <c r="AF10" s="65"/>
      <c r="AG10" s="65"/>
      <c r="AH10" s="65"/>
      <c r="AI10" s="65"/>
      <c r="AJ10" s="65"/>
      <c r="AK10" s="65"/>
      <c r="AL10" s="65"/>
      <c r="AM10" s="65"/>
      <c r="AN10" s="65"/>
      <c r="AO10" s="65"/>
      <c r="AP10" s="65"/>
      <c r="AQ10" s="65"/>
      <c r="AR10" s="65"/>
      <c r="AS10" s="65"/>
      <c r="AT10" s="65"/>
      <c r="AU10" s="65"/>
      <c r="AV10" s="65"/>
      <c r="AW10" s="65"/>
      <c r="AX10" s="65"/>
      <c r="AY10" s="65"/>
      <c r="AZ10" s="65"/>
      <c r="BA10" s="65"/>
      <c r="BB10" s="65"/>
    </row>
    <row r="11" spans="1:55" ht="15" customHeight="1">
      <c r="A11" s="19"/>
      <c r="D11" s="19"/>
      <c r="E11" s="19" t="s">
        <v>496</v>
      </c>
      <c r="G11" s="19" t="s">
        <v>193</v>
      </c>
      <c r="H11" s="19" t="str">
        <f>Indexation!H11</f>
        <v>RPIt</v>
      </c>
      <c r="L11" s="31"/>
      <c r="M11" s="31"/>
      <c r="N11" s="31"/>
      <c r="O11" s="184">
        <f>Inputs!O160</f>
        <v>1.3193449334698055</v>
      </c>
      <c r="P11" s="184">
        <f>Inputs!P160</f>
        <v>1.3739338109860115</v>
      </c>
      <c r="Q11" s="184">
        <f>Inputs!Q160</f>
        <v>1.4327381780962127</v>
      </c>
      <c r="R11" s="184">
        <f>Inputs!R160</f>
        <v>1.4940593721187305</v>
      </c>
      <c r="S11" s="184">
        <f>Inputs!S160</f>
        <v>1.558005113245412</v>
      </c>
      <c r="T11" s="184">
        <f>Inputs!T160</f>
        <v>1.6246877320923157</v>
      </c>
      <c r="U11" s="184">
        <f>Inputs!U160</f>
        <v>1.6942243670258668</v>
      </c>
      <c r="V11" s="184">
        <f>Inputs!V160</f>
        <v>1.7667371699345737</v>
      </c>
      <c r="W11" s="184">
        <f>Inputs!W160</f>
        <v>1.8423535208077735</v>
      </c>
      <c r="X11" s="184">
        <f>Inputs!X160</f>
        <v>1.9212062514983461</v>
      </c>
      <c r="Y11" s="184">
        <f>Inputs!Y160</f>
        <v>2.0034338790624751</v>
      </c>
      <c r="Z11" s="184">
        <f>Inputs!Z160</f>
        <v>2.0891808490863486</v>
      </c>
      <c r="AA11" s="184">
        <f>Inputs!AA160</f>
        <v>2.1785977894272444</v>
      </c>
      <c r="AB11" s="184">
        <f>Inputs!AB160</f>
        <v>2.2718417748147304</v>
      </c>
      <c r="AC11" s="184">
        <f>Inputs!AC160</f>
        <v>2.3690766027768007</v>
      </c>
      <c r="AD11" s="184">
        <f>Inputs!AD160</f>
        <v>2.4704730813756477</v>
      </c>
      <c r="AE11" s="184">
        <f>Inputs!AE160</f>
        <v>2.5762093292585253</v>
      </c>
      <c r="AF11" s="184">
        <f>Inputs!AF160</f>
        <v>2.6864710885507903</v>
      </c>
      <c r="AG11" s="184">
        <f>Inputs!AG160</f>
        <v>2.8014520511407639</v>
      </c>
      <c r="AH11" s="184">
        <f>Inputs!AH160</f>
        <v>2.9213541989295884</v>
      </c>
      <c r="AI11" s="184">
        <f>Inputs!AI160</f>
        <v>3.0463881586437744</v>
      </c>
      <c r="AJ11" s="184">
        <f>Inputs!AJ160</f>
        <v>3.1767735718337282</v>
      </c>
      <c r="AK11" s="184">
        <f>Inputs!AK160</f>
        <v>3.3127394807082116</v>
      </c>
      <c r="AL11" s="184">
        <f>Inputs!AL160</f>
        <v>3.4545247304825231</v>
      </c>
      <c r="AM11" s="184">
        <f>Inputs!AM160</f>
        <v>3.6023783889471748</v>
      </c>
      <c r="AN11" s="184">
        <f>Inputs!AN160</f>
        <v>3.7565601839941136</v>
      </c>
      <c r="AO11" s="184">
        <f>Inputs!AO160</f>
        <v>3.9173409598690618</v>
      </c>
      <c r="AP11" s="184">
        <f>Inputs!AP160</f>
        <v>4.0850031529514572</v>
      </c>
      <c r="AQ11" s="184">
        <f>Inputs!AQ160</f>
        <v>4.2598412878977792</v>
      </c>
      <c r="AR11" s="184">
        <f>Inputs!AR160</f>
        <v>4.4421624950198035</v>
      </c>
      <c r="AS11" s="184">
        <f>Inputs!AS160</f>
        <v>4.6322870498066511</v>
      </c>
      <c r="AT11" s="184">
        <f>Inputs!AT160</f>
        <v>4.8305489355383759</v>
      </c>
      <c r="AU11" s="184">
        <f>Inputs!AU160</f>
        <v>5.0372964299794178</v>
      </c>
      <c r="AV11" s="184">
        <f>Inputs!AV160</f>
        <v>5.2528927171825366</v>
      </c>
      <c r="AW11" s="184">
        <f>Inputs!AW160</f>
        <v>5.4777165254779483</v>
      </c>
      <c r="AX11" s="184">
        <f>Inputs!AX160</f>
        <v>5.712162792768404</v>
      </c>
      <c r="AY11" s="184">
        <f>Inputs!AY160</f>
        <v>5.9566433602988917</v>
      </c>
      <c r="AZ11" s="184">
        <f>Inputs!AZ160</f>
        <v>6.2115876961196843</v>
      </c>
      <c r="BA11" s="184">
        <f>Inputs!BA160</f>
        <v>6.4774436495136065</v>
      </c>
      <c r="BB11" s="184">
        <f>Inputs!BB160</f>
        <v>6.7546782377127883</v>
      </c>
    </row>
    <row r="12" spans="1:55" ht="15" customHeight="1">
      <c r="A12" s="19"/>
      <c r="D12" s="19"/>
      <c r="E12" s="19" t="s">
        <v>497</v>
      </c>
      <c r="G12" s="19" t="s">
        <v>498</v>
      </c>
      <c r="H12" s="19" t="s">
        <v>499</v>
      </c>
      <c r="L12" s="31"/>
      <c r="M12" s="31"/>
      <c r="N12" s="31"/>
      <c r="O12" s="31"/>
      <c r="P12" s="66">
        <f t="shared" ref="P12:BB12" si="0">P11/O11-1</f>
        <v>4.1375743470390525E-2</v>
      </c>
      <c r="Q12" s="66">
        <f t="shared" si="0"/>
        <v>4.2799999999999949E-2</v>
      </c>
      <c r="R12" s="66">
        <f t="shared" si="0"/>
        <v>4.2799999999999949E-2</v>
      </c>
      <c r="S12" s="66">
        <f t="shared" si="0"/>
        <v>4.2799999999999949E-2</v>
      </c>
      <c r="T12" s="66">
        <f t="shared" si="0"/>
        <v>4.2799999999999949E-2</v>
      </c>
      <c r="U12" s="66">
        <f t="shared" si="0"/>
        <v>4.2799999999999949E-2</v>
      </c>
      <c r="V12" s="66">
        <f t="shared" si="0"/>
        <v>4.2799999999999949E-2</v>
      </c>
      <c r="W12" s="66">
        <f t="shared" si="0"/>
        <v>4.2799999999999949E-2</v>
      </c>
      <c r="X12" s="66">
        <f t="shared" si="0"/>
        <v>4.2799999999999949E-2</v>
      </c>
      <c r="Y12" s="66">
        <f t="shared" si="0"/>
        <v>4.2799999999999949E-2</v>
      </c>
      <c r="Z12" s="66">
        <f t="shared" si="0"/>
        <v>4.2799999999999727E-2</v>
      </c>
      <c r="AA12" s="66">
        <f t="shared" si="0"/>
        <v>4.2799999999999949E-2</v>
      </c>
      <c r="AB12" s="66">
        <f t="shared" si="0"/>
        <v>4.2799999999999949E-2</v>
      </c>
      <c r="AC12" s="66">
        <f t="shared" si="0"/>
        <v>4.2799999999999949E-2</v>
      </c>
      <c r="AD12" s="66">
        <f t="shared" si="0"/>
        <v>4.2799999999999949E-2</v>
      </c>
      <c r="AE12" s="66">
        <f t="shared" si="0"/>
        <v>4.2799999999999949E-2</v>
      </c>
      <c r="AF12" s="66">
        <f t="shared" si="0"/>
        <v>4.2799999999999949E-2</v>
      </c>
      <c r="AG12" s="66">
        <f t="shared" si="0"/>
        <v>4.2799999999999949E-2</v>
      </c>
      <c r="AH12" s="66">
        <f t="shared" si="0"/>
        <v>4.2799999999999949E-2</v>
      </c>
      <c r="AI12" s="66">
        <f t="shared" si="0"/>
        <v>4.2799999999999949E-2</v>
      </c>
      <c r="AJ12" s="66">
        <f t="shared" si="0"/>
        <v>4.2800000000000171E-2</v>
      </c>
      <c r="AK12" s="66">
        <f t="shared" si="0"/>
        <v>4.2799999999999949E-2</v>
      </c>
      <c r="AL12" s="66">
        <f t="shared" si="0"/>
        <v>4.2799999999999949E-2</v>
      </c>
      <c r="AM12" s="66">
        <f t="shared" si="0"/>
        <v>4.2799999999999949E-2</v>
      </c>
      <c r="AN12" s="66">
        <f t="shared" si="0"/>
        <v>4.2799999999999949E-2</v>
      </c>
      <c r="AO12" s="66">
        <f t="shared" si="0"/>
        <v>4.2799999999999949E-2</v>
      </c>
      <c r="AP12" s="66">
        <f t="shared" si="0"/>
        <v>4.2799999999999949E-2</v>
      </c>
      <c r="AQ12" s="66">
        <f t="shared" si="0"/>
        <v>4.2799999999999949E-2</v>
      </c>
      <c r="AR12" s="66">
        <f t="shared" si="0"/>
        <v>4.2799999999999949E-2</v>
      </c>
      <c r="AS12" s="66">
        <f t="shared" si="0"/>
        <v>4.2799999999999949E-2</v>
      </c>
      <c r="AT12" s="66">
        <f t="shared" si="0"/>
        <v>4.2799999999999949E-2</v>
      </c>
      <c r="AU12" s="66">
        <f t="shared" si="0"/>
        <v>4.2799999999999949E-2</v>
      </c>
      <c r="AV12" s="66">
        <f t="shared" si="0"/>
        <v>4.2799999999999949E-2</v>
      </c>
      <c r="AW12" s="66">
        <f t="shared" si="0"/>
        <v>4.2799999999999727E-2</v>
      </c>
      <c r="AX12" s="66">
        <f t="shared" si="0"/>
        <v>4.2799999999999949E-2</v>
      </c>
      <c r="AY12" s="66">
        <f t="shared" si="0"/>
        <v>4.2799999999999949E-2</v>
      </c>
      <c r="AZ12" s="66">
        <f t="shared" si="0"/>
        <v>4.2799999999999949E-2</v>
      </c>
      <c r="BA12" s="66">
        <f t="shared" si="0"/>
        <v>4.2799999999999949E-2</v>
      </c>
      <c r="BB12" s="66">
        <f t="shared" si="0"/>
        <v>4.2799999999999949E-2</v>
      </c>
    </row>
    <row r="13" spans="1:55" ht="15" customHeight="1">
      <c r="A13" s="19"/>
      <c r="D13" s="19"/>
      <c r="E13" s="17" t="s">
        <v>500</v>
      </c>
      <c r="F13" s="17"/>
      <c r="G13" s="17" t="s">
        <v>501</v>
      </c>
      <c r="H13" s="19" t="s">
        <v>502</v>
      </c>
      <c r="I13" s="17"/>
      <c r="L13" s="201">
        <v>0</v>
      </c>
      <c r="M13" s="201">
        <v>0</v>
      </c>
      <c r="N13" s="201">
        <v>0</v>
      </c>
      <c r="O13" s="202">
        <v>0</v>
      </c>
      <c r="P13" s="203">
        <f>Inputs!P164</f>
        <v>2.1899999999999999E-2</v>
      </c>
      <c r="Q13" s="203">
        <f>Inputs!Q164</f>
        <v>5.9299999999999999E-2</v>
      </c>
      <c r="R13" s="203">
        <f>Inputs!R164</f>
        <v>6.2E-2</v>
      </c>
      <c r="S13" s="203">
        <f>Inputs!S164</f>
        <v>5.2199999999999996E-2</v>
      </c>
      <c r="T13" s="203">
        <f>Inputs!T164</f>
        <v>5.2199999999999996E-2</v>
      </c>
      <c r="U13" s="203">
        <f>Inputs!U164</f>
        <v>5.2199999999999996E-2</v>
      </c>
      <c r="V13" s="203">
        <f>Inputs!V164</f>
        <v>5.2199999999999996E-2</v>
      </c>
      <c r="W13" s="203">
        <f>Inputs!W164</f>
        <v>5.2199999999999996E-2</v>
      </c>
      <c r="X13" s="203">
        <f>Inputs!X164</f>
        <v>5.2199999999999996E-2</v>
      </c>
      <c r="Y13" s="203">
        <f>Inputs!Y164</f>
        <v>5.2199999999999996E-2</v>
      </c>
      <c r="Z13" s="203">
        <f>Inputs!Z164</f>
        <v>5.2199999999999996E-2</v>
      </c>
      <c r="AA13" s="203">
        <f>Inputs!AA164</f>
        <v>5.2199999999999996E-2</v>
      </c>
      <c r="AB13" s="203">
        <f>Inputs!AB164</f>
        <v>5.2199999999999996E-2</v>
      </c>
      <c r="AC13" s="203">
        <f>Inputs!AC164</f>
        <v>5.2199999999999996E-2</v>
      </c>
      <c r="AD13" s="203">
        <f>Inputs!AD164</f>
        <v>5.2199999999999996E-2</v>
      </c>
      <c r="AE13" s="203">
        <f>Inputs!AE164</f>
        <v>5.2199999999999996E-2</v>
      </c>
      <c r="AF13" s="203">
        <f>Inputs!AF164</f>
        <v>5.2199999999999996E-2</v>
      </c>
      <c r="AG13" s="203">
        <f>Inputs!AG164</f>
        <v>5.2199999999999996E-2</v>
      </c>
      <c r="AH13" s="203">
        <f>Inputs!AH164</f>
        <v>5.2199999999999996E-2</v>
      </c>
      <c r="AI13" s="203">
        <f>Inputs!AI164</f>
        <v>5.2199999999999996E-2</v>
      </c>
      <c r="AJ13" s="203">
        <f>Inputs!AJ164</f>
        <v>5.2199999999999996E-2</v>
      </c>
      <c r="AK13" s="203">
        <f>Inputs!AK164</f>
        <v>5.2199999999999996E-2</v>
      </c>
      <c r="AL13" s="203">
        <f>Inputs!AL164</f>
        <v>5.2199999999999996E-2</v>
      </c>
      <c r="AM13" s="203">
        <f>Inputs!AM164</f>
        <v>5.2199999999999996E-2</v>
      </c>
      <c r="AN13" s="203">
        <f>Inputs!AN164</f>
        <v>5.2199999999999996E-2</v>
      </c>
      <c r="AO13" s="203">
        <f>Inputs!AO164</f>
        <v>5.2199999999999996E-2</v>
      </c>
      <c r="AP13" s="203">
        <f>Inputs!AP164</f>
        <v>5.2199999999999996E-2</v>
      </c>
      <c r="AQ13" s="203">
        <f>Inputs!AQ164</f>
        <v>5.2199999999999996E-2</v>
      </c>
      <c r="AR13" s="203">
        <f>Inputs!AR164</f>
        <v>5.2199999999999996E-2</v>
      </c>
      <c r="AS13" s="203">
        <f>Inputs!AS164</f>
        <v>5.2199999999999996E-2</v>
      </c>
      <c r="AT13" s="203">
        <f>Inputs!AT164</f>
        <v>5.2199999999999996E-2</v>
      </c>
      <c r="AU13" s="203">
        <f>Inputs!AU164</f>
        <v>5.2199999999999996E-2</v>
      </c>
      <c r="AV13" s="203">
        <f>Inputs!AV164</f>
        <v>5.2199999999999996E-2</v>
      </c>
      <c r="AW13" s="203">
        <f>Inputs!AW164</f>
        <v>5.2199999999999996E-2</v>
      </c>
      <c r="AX13" s="203">
        <f>Inputs!AX164</f>
        <v>5.2199999999999996E-2</v>
      </c>
      <c r="AY13" s="203">
        <f>Inputs!AY164</f>
        <v>5.2199999999999996E-2</v>
      </c>
      <c r="AZ13" s="203">
        <f>Inputs!AZ164</f>
        <v>5.2199999999999996E-2</v>
      </c>
      <c r="BA13" s="203">
        <f>Inputs!BA164</f>
        <v>5.2199999999999996E-2</v>
      </c>
      <c r="BB13" s="203">
        <f>Inputs!BB164</f>
        <v>5.2199999999999996E-2</v>
      </c>
    </row>
    <row r="14" spans="1:55" ht="15" customHeight="1"/>
    <row r="15" spans="1:55" ht="15" customHeight="1">
      <c r="A15" s="19"/>
      <c r="D15" s="19"/>
      <c r="E15" s="19" t="s">
        <v>503</v>
      </c>
      <c r="G15" s="19" t="s">
        <v>193</v>
      </c>
      <c r="H15" s="19" t="s">
        <v>504</v>
      </c>
      <c r="I15" s="32"/>
      <c r="L15" s="31"/>
      <c r="M15" s="31"/>
      <c r="N15" s="31"/>
      <c r="O15" s="31"/>
      <c r="P15" s="84">
        <f t="shared" ref="P15:BB15" si="1">IF($I$53&lt;5,0,IF(OR(P$5&lt;1,P$5&gt;op_years),0,IF(OR(MOD(P$5,$I$53)=1,MOD(P$5,$I$53)=2,MOD(P$5,$I$53)=3,MOD(P$5,$I$53)=4),0,(1+P$13)*(1+O$13)*(1+N$13)*(1+M$13))))</f>
        <v>0</v>
      </c>
      <c r="Q15" s="84">
        <f t="shared" si="1"/>
        <v>0</v>
      </c>
      <c r="R15" s="84">
        <f t="shared" si="1"/>
        <v>0</v>
      </c>
      <c r="S15" s="84">
        <f t="shared" si="1"/>
        <v>0</v>
      </c>
      <c r="T15" s="84">
        <f t="shared" si="1"/>
        <v>0</v>
      </c>
      <c r="U15" s="84">
        <f t="shared" si="1"/>
        <v>0</v>
      </c>
      <c r="V15" s="84">
        <f t="shared" si="1"/>
        <v>0</v>
      </c>
      <c r="W15" s="84">
        <f t="shared" si="1"/>
        <v>0</v>
      </c>
      <c r="X15" s="84">
        <f t="shared" si="1"/>
        <v>0</v>
      </c>
      <c r="Y15" s="84">
        <f t="shared" si="1"/>
        <v>0</v>
      </c>
      <c r="Z15" s="84">
        <f t="shared" si="1"/>
        <v>0</v>
      </c>
      <c r="AA15" s="84">
        <f t="shared" si="1"/>
        <v>0</v>
      </c>
      <c r="AB15" s="84">
        <f t="shared" si="1"/>
        <v>0</v>
      </c>
      <c r="AC15" s="84">
        <f t="shared" si="1"/>
        <v>0</v>
      </c>
      <c r="AD15" s="84">
        <f t="shared" si="1"/>
        <v>0</v>
      </c>
      <c r="AE15" s="84">
        <f t="shared" si="1"/>
        <v>0</v>
      </c>
      <c r="AF15" s="84">
        <f t="shared" si="1"/>
        <v>0</v>
      </c>
      <c r="AG15" s="84">
        <f t="shared" si="1"/>
        <v>0</v>
      </c>
      <c r="AH15" s="84">
        <f t="shared" si="1"/>
        <v>0</v>
      </c>
      <c r="AI15" s="84">
        <f t="shared" si="1"/>
        <v>0</v>
      </c>
      <c r="AJ15" s="84">
        <f t="shared" si="1"/>
        <v>0</v>
      </c>
      <c r="AK15" s="84">
        <f t="shared" si="1"/>
        <v>0</v>
      </c>
      <c r="AL15" s="84">
        <f t="shared" si="1"/>
        <v>0</v>
      </c>
      <c r="AM15" s="84">
        <f t="shared" si="1"/>
        <v>0</v>
      </c>
      <c r="AN15" s="84">
        <f t="shared" si="1"/>
        <v>0</v>
      </c>
      <c r="AO15" s="84">
        <f t="shared" si="1"/>
        <v>0</v>
      </c>
      <c r="AP15" s="84">
        <f t="shared" si="1"/>
        <v>0</v>
      </c>
      <c r="AQ15" s="84">
        <f t="shared" si="1"/>
        <v>0</v>
      </c>
      <c r="AR15" s="84">
        <f t="shared" si="1"/>
        <v>0</v>
      </c>
      <c r="AS15" s="84">
        <f t="shared" si="1"/>
        <v>0</v>
      </c>
      <c r="AT15" s="84">
        <f t="shared" si="1"/>
        <v>0</v>
      </c>
      <c r="AU15" s="84">
        <f t="shared" si="1"/>
        <v>0</v>
      </c>
      <c r="AV15" s="84">
        <f t="shared" si="1"/>
        <v>0</v>
      </c>
      <c r="AW15" s="84">
        <f t="shared" si="1"/>
        <v>0</v>
      </c>
      <c r="AX15" s="84">
        <f t="shared" si="1"/>
        <v>0</v>
      </c>
      <c r="AY15" s="84">
        <f t="shared" si="1"/>
        <v>0</v>
      </c>
      <c r="AZ15" s="84">
        <f t="shared" si="1"/>
        <v>0</v>
      </c>
      <c r="BA15" s="84">
        <f t="shared" si="1"/>
        <v>0</v>
      </c>
      <c r="BB15" s="84">
        <f t="shared" si="1"/>
        <v>0</v>
      </c>
    </row>
    <row r="16" spans="1:55" ht="15" customHeight="1">
      <c r="A16" s="19"/>
      <c r="D16" s="19"/>
      <c r="E16" s="19" t="s">
        <v>505</v>
      </c>
      <c r="G16" s="19" t="s">
        <v>193</v>
      </c>
      <c r="H16" s="19" t="s">
        <v>506</v>
      </c>
      <c r="I16" s="32"/>
      <c r="L16" s="31"/>
      <c r="M16" s="31"/>
      <c r="N16" s="31"/>
      <c r="O16" s="31"/>
      <c r="P16" s="84">
        <f t="shared" ref="P16:BB16" si="2">IF($I$53&lt;4,0,IF(OR(P$5&lt;1,P$5&gt;op_years),0,IF(OR(MOD(P$5,$I$53)=1,MOD(P$5,$I$53)=2,MOD(P$5,$I$53)=3),0,(1+P$13)*(1+O$13)*(1+N$13))))</f>
        <v>0</v>
      </c>
      <c r="Q16" s="84">
        <f t="shared" si="2"/>
        <v>0</v>
      </c>
      <c r="R16" s="84">
        <f t="shared" si="2"/>
        <v>0</v>
      </c>
      <c r="S16" s="84">
        <f t="shared" si="2"/>
        <v>0</v>
      </c>
      <c r="T16" s="84">
        <f t="shared" si="2"/>
        <v>0</v>
      </c>
      <c r="U16" s="84">
        <f t="shared" si="2"/>
        <v>0</v>
      </c>
      <c r="V16" s="84">
        <f t="shared" si="2"/>
        <v>0</v>
      </c>
      <c r="W16" s="84">
        <f t="shared" si="2"/>
        <v>0</v>
      </c>
      <c r="X16" s="84">
        <f t="shared" si="2"/>
        <v>0</v>
      </c>
      <c r="Y16" s="84">
        <f t="shared" si="2"/>
        <v>0</v>
      </c>
      <c r="Z16" s="84">
        <f t="shared" si="2"/>
        <v>0</v>
      </c>
      <c r="AA16" s="84">
        <f t="shared" si="2"/>
        <v>0</v>
      </c>
      <c r="AB16" s="84">
        <f t="shared" si="2"/>
        <v>0</v>
      </c>
      <c r="AC16" s="84">
        <f t="shared" si="2"/>
        <v>0</v>
      </c>
      <c r="AD16" s="84">
        <f t="shared" si="2"/>
        <v>0</v>
      </c>
      <c r="AE16" s="84">
        <f t="shared" si="2"/>
        <v>0</v>
      </c>
      <c r="AF16" s="84">
        <f t="shared" si="2"/>
        <v>0</v>
      </c>
      <c r="AG16" s="84">
        <f t="shared" si="2"/>
        <v>0</v>
      </c>
      <c r="AH16" s="84">
        <f t="shared" si="2"/>
        <v>0</v>
      </c>
      <c r="AI16" s="84">
        <f t="shared" si="2"/>
        <v>0</v>
      </c>
      <c r="AJ16" s="84">
        <f t="shared" si="2"/>
        <v>0</v>
      </c>
      <c r="AK16" s="84">
        <f t="shared" si="2"/>
        <v>0</v>
      </c>
      <c r="AL16" s="84">
        <f t="shared" si="2"/>
        <v>0</v>
      </c>
      <c r="AM16" s="84">
        <f t="shared" si="2"/>
        <v>0</v>
      </c>
      <c r="AN16" s="84">
        <f t="shared" si="2"/>
        <v>0</v>
      </c>
      <c r="AO16" s="84">
        <f t="shared" si="2"/>
        <v>0</v>
      </c>
      <c r="AP16" s="84">
        <f t="shared" si="2"/>
        <v>0</v>
      </c>
      <c r="AQ16" s="84">
        <f t="shared" si="2"/>
        <v>0</v>
      </c>
      <c r="AR16" s="84">
        <f t="shared" si="2"/>
        <v>0</v>
      </c>
      <c r="AS16" s="84">
        <f t="shared" si="2"/>
        <v>0</v>
      </c>
      <c r="AT16" s="84">
        <f t="shared" si="2"/>
        <v>0</v>
      </c>
      <c r="AU16" s="84">
        <f t="shared" si="2"/>
        <v>0</v>
      </c>
      <c r="AV16" s="84">
        <f t="shared" si="2"/>
        <v>0</v>
      </c>
      <c r="AW16" s="84">
        <f t="shared" si="2"/>
        <v>0</v>
      </c>
      <c r="AX16" s="84">
        <f t="shared" si="2"/>
        <v>0</v>
      </c>
      <c r="AY16" s="84">
        <f t="shared" si="2"/>
        <v>0</v>
      </c>
      <c r="AZ16" s="84">
        <f t="shared" si="2"/>
        <v>0</v>
      </c>
      <c r="BA16" s="84">
        <f t="shared" si="2"/>
        <v>0</v>
      </c>
      <c r="BB16" s="84">
        <f t="shared" si="2"/>
        <v>0</v>
      </c>
    </row>
    <row r="17" spans="1:55" ht="15" customHeight="1">
      <c r="A17" s="19"/>
      <c r="D17" s="19"/>
      <c r="E17" s="19" t="s">
        <v>507</v>
      </c>
      <c r="G17" s="19" t="s">
        <v>193</v>
      </c>
      <c r="H17" s="19" t="s">
        <v>508</v>
      </c>
      <c r="I17" s="32"/>
      <c r="L17" s="31"/>
      <c r="M17" s="31"/>
      <c r="N17" s="31"/>
      <c r="O17" s="31"/>
      <c r="P17" s="84">
        <f t="shared" ref="P17:BB17" si="3">IF($I$53&lt;3,0,IF(OR(P$5&lt;1,P$5&gt;op_years),0,IF(OR(MOD(P$5,$I$53)=1,MOD(P$5,$I$53)=2),0,(1+P$13)*(1+O$13))))</f>
        <v>0</v>
      </c>
      <c r="Q17" s="84">
        <f t="shared" si="3"/>
        <v>0</v>
      </c>
      <c r="R17" s="84">
        <f t="shared" si="3"/>
        <v>0</v>
      </c>
      <c r="S17" s="84">
        <f t="shared" si="3"/>
        <v>0</v>
      </c>
      <c r="T17" s="84">
        <f t="shared" si="3"/>
        <v>0</v>
      </c>
      <c r="U17" s="84">
        <f t="shared" si="3"/>
        <v>0</v>
      </c>
      <c r="V17" s="84">
        <f t="shared" si="3"/>
        <v>0</v>
      </c>
      <c r="W17" s="84">
        <f t="shared" si="3"/>
        <v>0</v>
      </c>
      <c r="X17" s="84">
        <f t="shared" si="3"/>
        <v>0</v>
      </c>
      <c r="Y17" s="84">
        <f t="shared" si="3"/>
        <v>0</v>
      </c>
      <c r="Z17" s="84">
        <f t="shared" si="3"/>
        <v>0</v>
      </c>
      <c r="AA17" s="84">
        <f t="shared" si="3"/>
        <v>0</v>
      </c>
      <c r="AB17" s="84">
        <f t="shared" si="3"/>
        <v>0</v>
      </c>
      <c r="AC17" s="84">
        <f t="shared" si="3"/>
        <v>0</v>
      </c>
      <c r="AD17" s="84">
        <f t="shared" si="3"/>
        <v>0</v>
      </c>
      <c r="AE17" s="84">
        <f t="shared" si="3"/>
        <v>0</v>
      </c>
      <c r="AF17" s="84">
        <f t="shared" si="3"/>
        <v>0</v>
      </c>
      <c r="AG17" s="84">
        <f t="shared" si="3"/>
        <v>0</v>
      </c>
      <c r="AH17" s="84">
        <f t="shared" si="3"/>
        <v>0</v>
      </c>
      <c r="AI17" s="84">
        <f t="shared" si="3"/>
        <v>0</v>
      </c>
      <c r="AJ17" s="84">
        <f t="shared" si="3"/>
        <v>0</v>
      </c>
      <c r="AK17" s="84">
        <f t="shared" si="3"/>
        <v>0</v>
      </c>
      <c r="AL17" s="84">
        <f t="shared" si="3"/>
        <v>0</v>
      </c>
      <c r="AM17" s="84">
        <f t="shared" si="3"/>
        <v>0</v>
      </c>
      <c r="AN17" s="84">
        <f t="shared" si="3"/>
        <v>0</v>
      </c>
      <c r="AO17" s="84">
        <f t="shared" si="3"/>
        <v>0</v>
      </c>
      <c r="AP17" s="84">
        <f t="shared" si="3"/>
        <v>0</v>
      </c>
      <c r="AQ17" s="84">
        <f t="shared" si="3"/>
        <v>0</v>
      </c>
      <c r="AR17" s="84">
        <f t="shared" si="3"/>
        <v>0</v>
      </c>
      <c r="AS17" s="84">
        <f t="shared" si="3"/>
        <v>0</v>
      </c>
      <c r="AT17" s="84">
        <f t="shared" si="3"/>
        <v>0</v>
      </c>
      <c r="AU17" s="84">
        <f t="shared" si="3"/>
        <v>0</v>
      </c>
      <c r="AV17" s="84">
        <f t="shared" si="3"/>
        <v>0</v>
      </c>
      <c r="AW17" s="84">
        <f t="shared" si="3"/>
        <v>0</v>
      </c>
      <c r="AX17" s="84">
        <f t="shared" si="3"/>
        <v>0</v>
      </c>
      <c r="AY17" s="84">
        <f t="shared" si="3"/>
        <v>0</v>
      </c>
      <c r="AZ17" s="84">
        <f t="shared" si="3"/>
        <v>0</v>
      </c>
      <c r="BA17" s="84">
        <f t="shared" si="3"/>
        <v>0</v>
      </c>
      <c r="BB17" s="84">
        <f t="shared" si="3"/>
        <v>0</v>
      </c>
    </row>
    <row r="18" spans="1:55" ht="15" customHeight="1">
      <c r="A18" s="19"/>
      <c r="D18" s="19"/>
      <c r="E18" s="19" t="s">
        <v>509</v>
      </c>
      <c r="G18" s="19" t="s">
        <v>193</v>
      </c>
      <c r="H18" s="19" t="s">
        <v>510</v>
      </c>
      <c r="I18" s="32"/>
      <c r="L18" s="31"/>
      <c r="M18" s="31"/>
      <c r="N18" s="31"/>
      <c r="O18" s="31"/>
      <c r="P18" s="84">
        <f t="shared" ref="P18:BB18" si="4">IF($I$53&lt;2,0,IF(OR(P$5&lt;1,P$5&gt;op_years),0,IF(MOD(P$5,$I$53)=1,0,(1+P$13))))</f>
        <v>0</v>
      </c>
      <c r="Q18" s="84">
        <f t="shared" si="4"/>
        <v>0</v>
      </c>
      <c r="R18" s="84">
        <f t="shared" si="4"/>
        <v>0</v>
      </c>
      <c r="S18" s="84">
        <f t="shared" si="4"/>
        <v>0</v>
      </c>
      <c r="T18" s="84">
        <f t="shared" si="4"/>
        <v>0</v>
      </c>
      <c r="U18" s="84">
        <f t="shared" si="4"/>
        <v>0</v>
      </c>
      <c r="V18" s="84">
        <f t="shared" si="4"/>
        <v>0</v>
      </c>
      <c r="W18" s="84">
        <f t="shared" si="4"/>
        <v>0</v>
      </c>
      <c r="X18" s="84">
        <f t="shared" si="4"/>
        <v>0</v>
      </c>
      <c r="Y18" s="84">
        <f t="shared" si="4"/>
        <v>0</v>
      </c>
      <c r="Z18" s="84">
        <f t="shared" si="4"/>
        <v>0</v>
      </c>
      <c r="AA18" s="84">
        <f t="shared" si="4"/>
        <v>0</v>
      </c>
      <c r="AB18" s="84">
        <f t="shared" si="4"/>
        <v>0</v>
      </c>
      <c r="AC18" s="84">
        <f t="shared" si="4"/>
        <v>0</v>
      </c>
      <c r="AD18" s="84">
        <f t="shared" si="4"/>
        <v>0</v>
      </c>
      <c r="AE18" s="84">
        <f t="shared" si="4"/>
        <v>0</v>
      </c>
      <c r="AF18" s="84">
        <f t="shared" si="4"/>
        <v>0</v>
      </c>
      <c r="AG18" s="84">
        <f t="shared" si="4"/>
        <v>0</v>
      </c>
      <c r="AH18" s="84">
        <f t="shared" si="4"/>
        <v>0</v>
      </c>
      <c r="AI18" s="84">
        <f t="shared" si="4"/>
        <v>0</v>
      </c>
      <c r="AJ18" s="84">
        <f t="shared" si="4"/>
        <v>0</v>
      </c>
      <c r="AK18" s="84">
        <f t="shared" si="4"/>
        <v>0</v>
      </c>
      <c r="AL18" s="84">
        <f t="shared" si="4"/>
        <v>0</v>
      </c>
      <c r="AM18" s="84">
        <f t="shared" si="4"/>
        <v>0</v>
      </c>
      <c r="AN18" s="84">
        <f t="shared" si="4"/>
        <v>0</v>
      </c>
      <c r="AO18" s="84">
        <f t="shared" si="4"/>
        <v>0</v>
      </c>
      <c r="AP18" s="84">
        <f t="shared" si="4"/>
        <v>0</v>
      </c>
      <c r="AQ18" s="84">
        <f t="shared" si="4"/>
        <v>0</v>
      </c>
      <c r="AR18" s="84">
        <f t="shared" si="4"/>
        <v>0</v>
      </c>
      <c r="AS18" s="84">
        <f t="shared" si="4"/>
        <v>0</v>
      </c>
      <c r="AT18" s="84">
        <f t="shared" si="4"/>
        <v>0</v>
      </c>
      <c r="AU18" s="84">
        <f t="shared" si="4"/>
        <v>0</v>
      </c>
      <c r="AV18" s="84">
        <f t="shared" si="4"/>
        <v>0</v>
      </c>
      <c r="AW18" s="84">
        <f t="shared" si="4"/>
        <v>0</v>
      </c>
      <c r="AX18" s="84">
        <f t="shared" si="4"/>
        <v>0</v>
      </c>
      <c r="AY18" s="84">
        <f t="shared" si="4"/>
        <v>0</v>
      </c>
      <c r="AZ18" s="84">
        <f t="shared" si="4"/>
        <v>0</v>
      </c>
      <c r="BA18" s="84">
        <f t="shared" si="4"/>
        <v>0</v>
      </c>
      <c r="BB18" s="84">
        <f t="shared" si="4"/>
        <v>0</v>
      </c>
    </row>
    <row r="19" spans="1:55" ht="15" customHeight="1">
      <c r="A19" s="19"/>
      <c r="D19" s="19"/>
      <c r="E19" s="19" t="s">
        <v>511</v>
      </c>
      <c r="G19" s="19" t="s">
        <v>193</v>
      </c>
      <c r="H19" s="19" t="s">
        <v>512</v>
      </c>
      <c r="I19" s="64"/>
      <c r="L19" s="31"/>
      <c r="M19" s="31"/>
      <c r="N19" s="31"/>
      <c r="O19" s="31"/>
      <c r="P19" s="84">
        <f t="shared" ref="P19:BB19" si="5">IF(OR(P$5&lt;1,P$5&gt;op_years),0,1)</f>
        <v>1</v>
      </c>
      <c r="Q19" s="84">
        <f t="shared" si="5"/>
        <v>1</v>
      </c>
      <c r="R19" s="84">
        <f t="shared" si="5"/>
        <v>1</v>
      </c>
      <c r="S19" s="84">
        <f t="shared" si="5"/>
        <v>1</v>
      </c>
      <c r="T19" s="84">
        <f t="shared" si="5"/>
        <v>1</v>
      </c>
      <c r="U19" s="84">
        <f t="shared" si="5"/>
        <v>1</v>
      </c>
      <c r="V19" s="84">
        <f t="shared" si="5"/>
        <v>1</v>
      </c>
      <c r="W19" s="84">
        <f t="shared" si="5"/>
        <v>1</v>
      </c>
      <c r="X19" s="84">
        <f t="shared" si="5"/>
        <v>1</v>
      </c>
      <c r="Y19" s="84">
        <f t="shared" si="5"/>
        <v>1</v>
      </c>
      <c r="Z19" s="84">
        <f t="shared" si="5"/>
        <v>1</v>
      </c>
      <c r="AA19" s="84">
        <f t="shared" si="5"/>
        <v>1</v>
      </c>
      <c r="AB19" s="84">
        <f t="shared" si="5"/>
        <v>1</v>
      </c>
      <c r="AC19" s="84">
        <f t="shared" si="5"/>
        <v>1</v>
      </c>
      <c r="AD19" s="84">
        <f t="shared" si="5"/>
        <v>1</v>
      </c>
      <c r="AE19" s="84">
        <f t="shared" si="5"/>
        <v>1</v>
      </c>
      <c r="AF19" s="84">
        <f t="shared" si="5"/>
        <v>1</v>
      </c>
      <c r="AG19" s="84">
        <f t="shared" si="5"/>
        <v>1</v>
      </c>
      <c r="AH19" s="84">
        <f t="shared" si="5"/>
        <v>1</v>
      </c>
      <c r="AI19" s="84">
        <f t="shared" si="5"/>
        <v>1</v>
      </c>
      <c r="AJ19" s="84">
        <f t="shared" si="5"/>
        <v>1</v>
      </c>
      <c r="AK19" s="84">
        <f t="shared" si="5"/>
        <v>1</v>
      </c>
      <c r="AL19" s="84">
        <f t="shared" si="5"/>
        <v>1</v>
      </c>
      <c r="AM19" s="84">
        <f t="shared" si="5"/>
        <v>1</v>
      </c>
      <c r="AN19" s="84">
        <f t="shared" si="5"/>
        <v>1</v>
      </c>
      <c r="AO19" s="84">
        <f t="shared" si="5"/>
        <v>1</v>
      </c>
      <c r="AP19" s="84">
        <f t="shared" si="5"/>
        <v>0</v>
      </c>
      <c r="AQ19" s="84">
        <f t="shared" si="5"/>
        <v>0</v>
      </c>
      <c r="AR19" s="84">
        <f t="shared" si="5"/>
        <v>0</v>
      </c>
      <c r="AS19" s="84">
        <f t="shared" si="5"/>
        <v>0</v>
      </c>
      <c r="AT19" s="84">
        <f t="shared" si="5"/>
        <v>0</v>
      </c>
      <c r="AU19" s="84">
        <f t="shared" si="5"/>
        <v>0</v>
      </c>
      <c r="AV19" s="84">
        <f t="shared" si="5"/>
        <v>0</v>
      </c>
      <c r="AW19" s="84">
        <f t="shared" si="5"/>
        <v>0</v>
      </c>
      <c r="AX19" s="84">
        <f t="shared" si="5"/>
        <v>0</v>
      </c>
      <c r="AY19" s="84">
        <f t="shared" si="5"/>
        <v>0</v>
      </c>
      <c r="AZ19" s="84">
        <f t="shared" si="5"/>
        <v>0</v>
      </c>
      <c r="BA19" s="84">
        <f t="shared" si="5"/>
        <v>0</v>
      </c>
      <c r="BB19" s="84">
        <f t="shared" si="5"/>
        <v>0</v>
      </c>
    </row>
    <row r="20" spans="1:55" ht="15" customHeight="1">
      <c r="A20" s="19"/>
      <c r="D20" s="19"/>
    </row>
    <row r="21" spans="1:55" s="59" customFormat="1" ht="15" customHeight="1">
      <c r="C21" s="38" t="s">
        <v>513</v>
      </c>
      <c r="D21" s="38"/>
      <c r="E21" s="38"/>
      <c r="F21" s="38"/>
      <c r="G21" s="38"/>
      <c r="H21" s="38"/>
      <c r="I21" s="38"/>
      <c r="J21" s="38"/>
      <c r="K21" s="38"/>
      <c r="L21" s="38"/>
      <c r="M21" s="38"/>
      <c r="N21" s="38"/>
      <c r="O21" s="38"/>
      <c r="P21" s="38"/>
      <c r="Q21" s="38"/>
      <c r="R21" s="38"/>
      <c r="S21" s="38"/>
      <c r="T21" s="38"/>
      <c r="U21" s="38"/>
      <c r="V21" s="38"/>
      <c r="W21" s="38"/>
      <c r="X21" s="38"/>
      <c r="Y21" s="38"/>
      <c r="Z21" s="38"/>
      <c r="AA21" s="38"/>
      <c r="AB21" s="38"/>
      <c r="AC21" s="38"/>
      <c r="AD21" s="38"/>
      <c r="AE21" s="38"/>
      <c r="AF21" s="38"/>
      <c r="AG21" s="38"/>
      <c r="AH21" s="38"/>
      <c r="AI21" s="38"/>
      <c r="AJ21" s="38"/>
      <c r="AK21" s="38"/>
      <c r="AL21" s="38"/>
      <c r="AM21" s="38"/>
      <c r="AN21" s="38"/>
      <c r="AO21" s="38"/>
      <c r="AP21" s="38"/>
      <c r="AQ21" s="38"/>
      <c r="AR21" s="38"/>
      <c r="AS21" s="38"/>
      <c r="AT21" s="38"/>
      <c r="AU21" s="38"/>
      <c r="AV21" s="38"/>
      <c r="AW21" s="38"/>
      <c r="AX21" s="38"/>
      <c r="AY21" s="38"/>
      <c r="AZ21" s="38"/>
      <c r="BA21" s="38"/>
      <c r="BB21" s="38"/>
    </row>
    <row r="22" spans="1:55" ht="15" customHeight="1">
      <c r="A22" s="19"/>
      <c r="D22" s="19"/>
    </row>
    <row r="23" spans="1:55" ht="13.15">
      <c r="A23" s="19"/>
      <c r="D23" s="19"/>
      <c r="E23" s="45" t="str">
        <f>Inputs!E115</f>
        <v>Assessed revenue</v>
      </c>
      <c r="G23" s="5" t="s">
        <v>248</v>
      </c>
      <c r="H23" s="19" t="s">
        <v>246</v>
      </c>
      <c r="L23" s="31"/>
      <c r="M23" s="31"/>
      <c r="N23" s="31"/>
      <c r="O23" s="81"/>
      <c r="P23" s="184">
        <f>'Costs &amp; Revenue'!P31</f>
        <v>0</v>
      </c>
      <c r="Q23" s="184">
        <f>'Costs &amp; Revenue'!Q31</f>
        <v>0</v>
      </c>
      <c r="R23" s="184">
        <f>'Costs &amp; Revenue'!R31</f>
        <v>0</v>
      </c>
      <c r="S23" s="184">
        <f>'Costs &amp; Revenue'!S31</f>
        <v>0</v>
      </c>
      <c r="T23" s="184">
        <f>'Costs &amp; Revenue'!T31</f>
        <v>0</v>
      </c>
      <c r="U23" s="184">
        <f>'Costs &amp; Revenue'!U31</f>
        <v>0</v>
      </c>
      <c r="V23" s="184">
        <f>'Costs &amp; Revenue'!V31</f>
        <v>0</v>
      </c>
      <c r="W23" s="184">
        <f>'Costs &amp; Revenue'!W31</f>
        <v>0</v>
      </c>
      <c r="X23" s="184">
        <f>'Costs &amp; Revenue'!X31</f>
        <v>0</v>
      </c>
      <c r="Y23" s="184">
        <f>'Costs &amp; Revenue'!Y31</f>
        <v>0</v>
      </c>
      <c r="Z23" s="184">
        <f>'Costs &amp; Revenue'!Z31</f>
        <v>0</v>
      </c>
      <c r="AA23" s="184">
        <f>'Costs &amp; Revenue'!AA31</f>
        <v>0</v>
      </c>
      <c r="AB23" s="184">
        <f>'Costs &amp; Revenue'!AB31</f>
        <v>0</v>
      </c>
      <c r="AC23" s="184">
        <f>'Costs &amp; Revenue'!AC31</f>
        <v>0</v>
      </c>
      <c r="AD23" s="184">
        <f>'Costs &amp; Revenue'!AD31</f>
        <v>0</v>
      </c>
      <c r="AE23" s="184">
        <f>'Costs &amp; Revenue'!AE31</f>
        <v>0</v>
      </c>
      <c r="AF23" s="184">
        <f>'Costs &amp; Revenue'!AF31</f>
        <v>0</v>
      </c>
      <c r="AG23" s="184">
        <f>'Costs &amp; Revenue'!AG31</f>
        <v>0</v>
      </c>
      <c r="AH23" s="184">
        <f>'Costs &amp; Revenue'!AH31</f>
        <v>0</v>
      </c>
      <c r="AI23" s="184">
        <f>'Costs &amp; Revenue'!AI31</f>
        <v>0</v>
      </c>
      <c r="AJ23" s="184">
        <f>'Costs &amp; Revenue'!AJ31</f>
        <v>0</v>
      </c>
      <c r="AK23" s="184">
        <f>'Costs &amp; Revenue'!AK31</f>
        <v>0</v>
      </c>
      <c r="AL23" s="184">
        <f>'Costs &amp; Revenue'!AL31</f>
        <v>0</v>
      </c>
      <c r="AM23" s="184">
        <f>'Costs &amp; Revenue'!AM31</f>
        <v>0</v>
      </c>
      <c r="AN23" s="184">
        <f>'Costs &amp; Revenue'!AN31</f>
        <v>0</v>
      </c>
      <c r="AO23" s="184">
        <f>'Costs &amp; Revenue'!AO31</f>
        <v>0</v>
      </c>
      <c r="AP23" s="184">
        <f>'Costs &amp; Revenue'!AP31</f>
        <v>0</v>
      </c>
      <c r="AQ23" s="184">
        <f>'Costs &amp; Revenue'!AQ31</f>
        <v>0</v>
      </c>
      <c r="AR23" s="184">
        <f>'Costs &amp; Revenue'!AR31</f>
        <v>0</v>
      </c>
      <c r="AS23" s="184">
        <f>'Costs &amp; Revenue'!AS31</f>
        <v>0</v>
      </c>
      <c r="AT23" s="184">
        <f>'Costs &amp; Revenue'!AT31</f>
        <v>0</v>
      </c>
      <c r="AU23" s="184">
        <f>'Costs &amp; Revenue'!AU31</f>
        <v>0</v>
      </c>
      <c r="AV23" s="184">
        <f>'Costs &amp; Revenue'!AV31</f>
        <v>0</v>
      </c>
      <c r="AW23" s="184">
        <f>'Costs &amp; Revenue'!AW31</f>
        <v>0</v>
      </c>
      <c r="AX23" s="184">
        <f>'Costs &amp; Revenue'!AX31</f>
        <v>0</v>
      </c>
      <c r="AY23" s="184">
        <f>'Costs &amp; Revenue'!AY31</f>
        <v>0</v>
      </c>
      <c r="AZ23" s="184">
        <f>'Costs &amp; Revenue'!AZ31</f>
        <v>0</v>
      </c>
      <c r="BA23" s="184">
        <f>'Costs &amp; Revenue'!BA31</f>
        <v>0</v>
      </c>
      <c r="BB23" s="184">
        <f>'Costs &amp; Revenue'!BB31</f>
        <v>0</v>
      </c>
    </row>
    <row r="24" spans="1:55" ht="15" customHeight="1">
      <c r="A24" s="19"/>
      <c r="D24" s="19"/>
      <c r="E24" s="5" t="s">
        <v>457</v>
      </c>
      <c r="G24" s="5" t="s">
        <v>248</v>
      </c>
      <c r="H24" s="19" t="s">
        <v>458</v>
      </c>
      <c r="L24" s="31"/>
      <c r="M24" s="31"/>
      <c r="N24" s="31"/>
      <c r="O24" s="31"/>
      <c r="P24" s="184">
        <f>Availability!P12</f>
        <v>0</v>
      </c>
      <c r="Q24" s="184">
        <f>Availability!Q12</f>
        <v>0</v>
      </c>
      <c r="R24" s="184">
        <f>Availability!R12</f>
        <v>0</v>
      </c>
      <c r="S24" s="184">
        <f>Availability!S12</f>
        <v>24.205308577085852</v>
      </c>
      <c r="T24" s="184">
        <f>Availability!T12</f>
        <v>25.339064090865126</v>
      </c>
      <c r="U24" s="184">
        <f>Availability!U12</f>
        <v>27.328469291029048</v>
      </c>
      <c r="V24" s="184">
        <f>Availability!V12</f>
        <v>28.498127776685092</v>
      </c>
      <c r="W24" s="184">
        <f>Availability!W12</f>
        <v>29.717847645527215</v>
      </c>
      <c r="X24" s="184">
        <f>Availability!X12</f>
        <v>30.989771524755774</v>
      </c>
      <c r="Y24" s="184">
        <f>Availability!Y12</f>
        <v>32.316133746015318</v>
      </c>
      <c r="Z24" s="184">
        <f>Availability!Z12</f>
        <v>33.69926427034477</v>
      </c>
      <c r="AA24" s="184">
        <f>Availability!AA12</f>
        <v>35.141592781115527</v>
      </c>
      <c r="AB24" s="184">
        <f>Availability!AB12</f>
        <v>36.645652952147266</v>
      </c>
      <c r="AC24" s="184">
        <f>Availability!AC12</f>
        <v>38.214086898499168</v>
      </c>
      <c r="AD24" s="184">
        <f>Availability!AD12</f>
        <v>39.84964981775493</v>
      </c>
      <c r="AE24" s="184">
        <f>Availability!AE12</f>
        <v>41.555214829954842</v>
      </c>
      <c r="AF24" s="184">
        <f>Availability!AF12</f>
        <v>43.333778024676917</v>
      </c>
      <c r="AG24" s="184">
        <f>Availability!AG12</f>
        <v>45.188463724133079</v>
      </c>
      <c r="AH24" s="184">
        <f>Availability!AH12</f>
        <v>47.122529971525978</v>
      </c>
      <c r="AI24" s="184">
        <f>Availability!AI12</f>
        <v>49.139374254307278</v>
      </c>
      <c r="AJ24" s="184">
        <f>Availability!AJ12</f>
        <v>51.242539472391634</v>
      </c>
      <c r="AK24" s="184">
        <f>Availability!AK12</f>
        <v>53.435720161809996</v>
      </c>
      <c r="AL24" s="184">
        <f>Availability!AL12</f>
        <v>55.72276898473546</v>
      </c>
      <c r="AM24" s="184">
        <f>Availability!AM12</f>
        <v>58.107703497282138</v>
      </c>
      <c r="AN24" s="184">
        <f>Availability!AN12</f>
        <v>60.594713206965807</v>
      </c>
      <c r="AO24" s="184">
        <f>Availability!AO12</f>
        <v>20.803222651882074</v>
      </c>
      <c r="AP24" s="184">
        <f>Availability!AP12</f>
        <v>0</v>
      </c>
      <c r="AQ24" s="184">
        <f>Availability!AQ12</f>
        <v>0</v>
      </c>
      <c r="AR24" s="184">
        <f>Availability!AR12</f>
        <v>0</v>
      </c>
      <c r="AS24" s="184">
        <f>Availability!AS12</f>
        <v>0</v>
      </c>
      <c r="AT24" s="184">
        <f>Availability!AT12</f>
        <v>0</v>
      </c>
      <c r="AU24" s="184">
        <f>Availability!AU12</f>
        <v>0</v>
      </c>
      <c r="AV24" s="184">
        <f>Availability!AV12</f>
        <v>0</v>
      </c>
      <c r="AW24" s="184">
        <f>Availability!AW12</f>
        <v>0</v>
      </c>
      <c r="AX24" s="184">
        <f>Availability!AX12</f>
        <v>0</v>
      </c>
      <c r="AY24" s="184">
        <f>Availability!AY12</f>
        <v>0</v>
      </c>
      <c r="AZ24" s="184">
        <f>Availability!AZ12</f>
        <v>0</v>
      </c>
      <c r="BA24" s="184">
        <f>Availability!BA12</f>
        <v>0</v>
      </c>
      <c r="BB24" s="184">
        <f>Availability!BB12</f>
        <v>0</v>
      </c>
    </row>
    <row r="25" spans="1:55" ht="15" customHeight="1">
      <c r="A25" s="19"/>
      <c r="D25" s="19"/>
      <c r="E25" s="5" t="s">
        <v>514</v>
      </c>
      <c r="G25" s="5" t="s">
        <v>248</v>
      </c>
      <c r="H25" s="19" t="s">
        <v>515</v>
      </c>
      <c r="L25" s="31"/>
      <c r="M25" s="31"/>
      <c r="N25" s="31"/>
      <c r="O25" s="31"/>
      <c r="P25" s="184">
        <f>Availability!P59</f>
        <v>0</v>
      </c>
      <c r="Q25" s="184">
        <f>Availability!Q59</f>
        <v>0</v>
      </c>
      <c r="R25" s="184">
        <f>Availability!R59</f>
        <v>0</v>
      </c>
      <c r="S25" s="184">
        <f>Availability!S59</f>
        <v>24.205308577085852</v>
      </c>
      <c r="T25" s="184">
        <f>Availability!T59</f>
        <v>25.339064090865126</v>
      </c>
      <c r="U25" s="184">
        <f>Availability!U59</f>
        <v>27.328469291029048</v>
      </c>
      <c r="V25" s="184">
        <f>Availability!V59</f>
        <v>28.498127776685092</v>
      </c>
      <c r="W25" s="184">
        <f>Availability!W59</f>
        <v>29.717847645527215</v>
      </c>
      <c r="X25" s="184">
        <f>Availability!X59</f>
        <v>30.989771524755774</v>
      </c>
      <c r="Y25" s="184">
        <f>Availability!Y59</f>
        <v>32.316133746015318</v>
      </c>
      <c r="Z25" s="184">
        <f>Availability!Z59</f>
        <v>33.69926427034477</v>
      </c>
      <c r="AA25" s="184">
        <f>Availability!AA59</f>
        <v>35.141592781115527</v>
      </c>
      <c r="AB25" s="184">
        <f>Availability!AB59</f>
        <v>36.645652952147266</v>
      </c>
      <c r="AC25" s="184">
        <f>Availability!AC59</f>
        <v>38.214086898499168</v>
      </c>
      <c r="AD25" s="184">
        <f>Availability!AD59</f>
        <v>39.84964981775493</v>
      </c>
      <c r="AE25" s="184">
        <f>Availability!AE59</f>
        <v>41.555214829954842</v>
      </c>
      <c r="AF25" s="184">
        <f>Availability!AF59</f>
        <v>43.333778024676917</v>
      </c>
      <c r="AG25" s="184">
        <f>Availability!AG59</f>
        <v>45.188463724133079</v>
      </c>
      <c r="AH25" s="184">
        <f>Availability!AH59</f>
        <v>47.122529971525978</v>
      </c>
      <c r="AI25" s="184">
        <f>Availability!AI59</f>
        <v>49.139374254307278</v>
      </c>
      <c r="AJ25" s="184">
        <f>Availability!AJ59</f>
        <v>51.242539472391634</v>
      </c>
      <c r="AK25" s="184">
        <f>Availability!AK59</f>
        <v>53.435720161809996</v>
      </c>
      <c r="AL25" s="184">
        <f>Availability!AL59</f>
        <v>55.72276898473546</v>
      </c>
      <c r="AM25" s="184">
        <f>Availability!AM59</f>
        <v>58.107703497282138</v>
      </c>
      <c r="AN25" s="184">
        <f>Availability!AN59</f>
        <v>60.594713206965807</v>
      </c>
      <c r="AO25" s="184">
        <f>Availability!AO59</f>
        <v>20.803222651882074</v>
      </c>
      <c r="AP25" s="184">
        <f>Availability!AP59</f>
        <v>0</v>
      </c>
      <c r="AQ25" s="184">
        <f>Availability!AQ59</f>
        <v>0</v>
      </c>
      <c r="AR25" s="184">
        <f>Availability!AR59</f>
        <v>0</v>
      </c>
      <c r="AS25" s="184">
        <f>Availability!AS59</f>
        <v>0</v>
      </c>
      <c r="AT25" s="184">
        <f>Availability!AT59</f>
        <v>0</v>
      </c>
      <c r="AU25" s="184">
        <f>Availability!AU59</f>
        <v>0</v>
      </c>
      <c r="AV25" s="184">
        <f>Availability!AV59</f>
        <v>0</v>
      </c>
      <c r="AW25" s="184">
        <f>Availability!AW59</f>
        <v>0</v>
      </c>
      <c r="AX25" s="184">
        <f>Availability!AX59</f>
        <v>0</v>
      </c>
      <c r="AY25" s="184">
        <f>Availability!AY59</f>
        <v>0</v>
      </c>
      <c r="AZ25" s="184">
        <f>Availability!AZ59</f>
        <v>0</v>
      </c>
      <c r="BA25" s="184">
        <f>Availability!BA59</f>
        <v>0</v>
      </c>
      <c r="BB25" s="184">
        <f>Availability!BB59</f>
        <v>0</v>
      </c>
    </row>
    <row r="26" spans="1:55" ht="15" customHeight="1">
      <c r="A26" s="19"/>
      <c r="D26" s="19"/>
      <c r="E26" s="5" t="s">
        <v>459</v>
      </c>
      <c r="G26" s="5" t="s">
        <v>248</v>
      </c>
      <c r="L26" s="31"/>
      <c r="M26" s="31"/>
      <c r="N26" s="31"/>
      <c r="O26" s="31"/>
      <c r="P26" s="184">
        <f>Availability!P13</f>
        <v>0</v>
      </c>
      <c r="Q26" s="184">
        <f>Availability!Q13</f>
        <v>0</v>
      </c>
      <c r="R26" s="184">
        <f>Availability!R13</f>
        <v>0</v>
      </c>
      <c r="S26" s="184">
        <f>Availability!S13</f>
        <v>24.996499711583155</v>
      </c>
      <c r="T26" s="184">
        <f>Availability!T13</f>
        <v>25.577046282690425</v>
      </c>
      <c r="U26" s="184">
        <f>Availability!U13</f>
        <v>24.383897278477871</v>
      </c>
      <c r="V26" s="184">
        <f>Availability!V13</f>
        <v>25.082200293143497</v>
      </c>
      <c r="W26" s="184">
        <f>Availability!W13</f>
        <v>25.804520104426306</v>
      </c>
      <c r="X26" s="184">
        <f>Availability!X13</f>
        <v>26.551784831490533</v>
      </c>
      <c r="Y26" s="184">
        <f>Availability!Y13</f>
        <v>27.324960620405221</v>
      </c>
      <c r="Z26" s="184">
        <f>Availability!Z13</f>
        <v>28.125053242853614</v>
      </c>
      <c r="AA26" s="184">
        <f>Availability!AA13</f>
        <v>28.953109762777018</v>
      </c>
      <c r="AB26" s="184">
        <f>Availability!AB13</f>
        <v>29.810220273852348</v>
      </c>
      <c r="AC26" s="184">
        <f>Availability!AC13</f>
        <v>30.697519710826572</v>
      </c>
      <c r="AD26" s="184">
        <f>Availability!AD13</f>
        <v>31.616189737860612</v>
      </c>
      <c r="AE26" s="184">
        <f>Availability!AE13</f>
        <v>32.567460717169681</v>
      </c>
      <c r="AF26" s="184">
        <f>Availability!AF13</f>
        <v>33.552613761388173</v>
      </c>
      <c r="AG26" s="184">
        <f>Availability!AG13</f>
        <v>34.572982873233116</v>
      </c>
      <c r="AH26" s="184">
        <f>Availability!AH13</f>
        <v>35.629957176193585</v>
      </c>
      <c r="AI26" s="184">
        <f>Availability!AI13</f>
        <v>36.724983240132545</v>
      </c>
      <c r="AJ26" s="184">
        <f>Availability!AJ13</f>
        <v>37.859567505853654</v>
      </c>
      <c r="AK26" s="184">
        <f>Availability!AK13</f>
        <v>39.035278812859367</v>
      </c>
      <c r="AL26" s="184">
        <f>Availability!AL13</f>
        <v>38.777353960261244</v>
      </c>
      <c r="AM26" s="184">
        <f>Availability!AM13</f>
        <v>23.38705442240024</v>
      </c>
      <c r="AN26" s="184">
        <f>Availability!AN13</f>
        <v>24.388020351678964</v>
      </c>
      <c r="AO26" s="184">
        <f>Availability!AO13</f>
        <v>8.3728330503309571</v>
      </c>
      <c r="AP26" s="184">
        <f>Availability!AP13</f>
        <v>0</v>
      </c>
      <c r="AQ26" s="184">
        <f>Availability!AQ13</f>
        <v>0</v>
      </c>
      <c r="AR26" s="184">
        <f>Availability!AR13</f>
        <v>0</v>
      </c>
      <c r="AS26" s="184">
        <f>Availability!AS13</f>
        <v>0</v>
      </c>
      <c r="AT26" s="184">
        <f>Availability!AT13</f>
        <v>0</v>
      </c>
      <c r="AU26" s="184">
        <f>Availability!AU13</f>
        <v>0</v>
      </c>
      <c r="AV26" s="184">
        <f>Availability!AV13</f>
        <v>0</v>
      </c>
      <c r="AW26" s="184">
        <f>Availability!AW13</f>
        <v>0</v>
      </c>
      <c r="AX26" s="184">
        <f>Availability!AX13</f>
        <v>0</v>
      </c>
      <c r="AY26" s="184">
        <f>Availability!AY13</f>
        <v>0</v>
      </c>
      <c r="AZ26" s="184">
        <f>Availability!AZ13</f>
        <v>0</v>
      </c>
      <c r="BA26" s="184">
        <f>Availability!BA13</f>
        <v>0</v>
      </c>
      <c r="BB26" s="184">
        <f>Availability!BB13</f>
        <v>0</v>
      </c>
    </row>
    <row r="27" spans="1:55" ht="15" customHeight="1">
      <c r="A27" s="19"/>
      <c r="D27" s="19"/>
      <c r="E27" s="5" t="s">
        <v>516</v>
      </c>
      <c r="G27" s="5" t="s">
        <v>248</v>
      </c>
      <c r="L27" s="31"/>
      <c r="M27" s="31"/>
      <c r="N27" s="31"/>
      <c r="O27" s="31"/>
      <c r="P27" s="184">
        <f>Availability!P60</f>
        <v>0</v>
      </c>
      <c r="Q27" s="184">
        <f>Availability!Q60</f>
        <v>0</v>
      </c>
      <c r="R27" s="184">
        <f>Availability!R60</f>
        <v>0</v>
      </c>
      <c r="S27" s="184">
        <f>Availability!S60</f>
        <v>24.996499711583155</v>
      </c>
      <c r="T27" s="184">
        <f>Availability!T60</f>
        <v>25.577046282690425</v>
      </c>
      <c r="U27" s="184">
        <f>Availability!U60</f>
        <v>24.383897278477871</v>
      </c>
      <c r="V27" s="184">
        <f>Availability!V60</f>
        <v>25.082200293143497</v>
      </c>
      <c r="W27" s="184">
        <f>Availability!W60</f>
        <v>25.804520104426306</v>
      </c>
      <c r="X27" s="184">
        <f>Availability!X60</f>
        <v>26.551784831490533</v>
      </c>
      <c r="Y27" s="184">
        <f>Availability!Y60</f>
        <v>27.324960620405221</v>
      </c>
      <c r="Z27" s="184">
        <f>Availability!Z60</f>
        <v>28.125053242853614</v>
      </c>
      <c r="AA27" s="184">
        <f>Availability!AA60</f>
        <v>28.953109762777018</v>
      </c>
      <c r="AB27" s="184">
        <f>Availability!AB60</f>
        <v>29.810220273852348</v>
      </c>
      <c r="AC27" s="184">
        <f>Availability!AC60</f>
        <v>30.697519710826572</v>
      </c>
      <c r="AD27" s="184">
        <f>Availability!AD60</f>
        <v>31.616189737860612</v>
      </c>
      <c r="AE27" s="184">
        <f>Availability!AE60</f>
        <v>32.567460717169681</v>
      </c>
      <c r="AF27" s="184">
        <f>Availability!AF60</f>
        <v>33.552613761388173</v>
      </c>
      <c r="AG27" s="184">
        <f>Availability!AG60</f>
        <v>34.572982873233116</v>
      </c>
      <c r="AH27" s="184">
        <f>Availability!AH60</f>
        <v>35.629957176193585</v>
      </c>
      <c r="AI27" s="184">
        <f>Availability!AI60</f>
        <v>36.724983240132545</v>
      </c>
      <c r="AJ27" s="184">
        <f>Availability!AJ60</f>
        <v>37.859567505853654</v>
      </c>
      <c r="AK27" s="184">
        <f>Availability!AK60</f>
        <v>39.035278812859367</v>
      </c>
      <c r="AL27" s="184">
        <f>Availability!AL60</f>
        <v>38.777353960261244</v>
      </c>
      <c r="AM27" s="184">
        <f>Availability!AM60</f>
        <v>23.38705442240024</v>
      </c>
      <c r="AN27" s="184">
        <f>Availability!AN60</f>
        <v>24.388020351678964</v>
      </c>
      <c r="AO27" s="184">
        <f>Availability!AO60</f>
        <v>8.3728330503309571</v>
      </c>
      <c r="AP27" s="184">
        <f>Availability!AP60</f>
        <v>0</v>
      </c>
      <c r="AQ27" s="184">
        <f>Availability!AQ60</f>
        <v>0</v>
      </c>
      <c r="AR27" s="184">
        <f>Availability!AR60</f>
        <v>0</v>
      </c>
      <c r="AS27" s="184">
        <f>Availability!AS60</f>
        <v>0</v>
      </c>
      <c r="AT27" s="184">
        <f>Availability!AT60</f>
        <v>0</v>
      </c>
      <c r="AU27" s="184">
        <f>Availability!AU60</f>
        <v>0</v>
      </c>
      <c r="AV27" s="184">
        <f>Availability!AV60</f>
        <v>0</v>
      </c>
      <c r="AW27" s="184">
        <f>Availability!AW60</f>
        <v>0</v>
      </c>
      <c r="AX27" s="184">
        <f>Availability!AX60</f>
        <v>0</v>
      </c>
      <c r="AY27" s="184">
        <f>Availability!AY60</f>
        <v>0</v>
      </c>
      <c r="AZ27" s="184">
        <f>Availability!AZ60</f>
        <v>0</v>
      </c>
      <c r="BA27" s="184">
        <f>Availability!BA60</f>
        <v>0</v>
      </c>
      <c r="BB27" s="184">
        <f>Availability!BB60</f>
        <v>0</v>
      </c>
    </row>
    <row r="28" spans="1:55" ht="15" customHeight="1">
      <c r="A28" s="19"/>
      <c r="D28" s="19"/>
      <c r="E28" s="5"/>
      <c r="G28" s="5"/>
      <c r="I28" s="15"/>
      <c r="L28" s="31"/>
      <c r="M28" s="31"/>
      <c r="N28" s="31"/>
      <c r="O28" s="31"/>
      <c r="P28" s="35"/>
      <c r="Q28" s="35"/>
      <c r="R28" s="35"/>
      <c r="S28" s="35"/>
      <c r="T28" s="35"/>
      <c r="U28" s="35"/>
      <c r="V28" s="35"/>
      <c r="W28" s="35"/>
      <c r="X28" s="35"/>
      <c r="Y28" s="35"/>
      <c r="Z28" s="35"/>
      <c r="AA28" s="35"/>
      <c r="AB28" s="35"/>
      <c r="AC28" s="35"/>
      <c r="AD28" s="35"/>
      <c r="AE28" s="35"/>
      <c r="AF28" s="35"/>
      <c r="AG28" s="35"/>
      <c r="AH28" s="35"/>
      <c r="AI28" s="35"/>
      <c r="AJ28" s="35"/>
      <c r="AK28" s="35"/>
      <c r="AL28" s="35"/>
      <c r="AM28" s="35"/>
      <c r="AN28" s="35"/>
      <c r="AO28" s="35"/>
      <c r="AP28" s="35"/>
      <c r="AQ28" s="35"/>
      <c r="AR28" s="35"/>
      <c r="AS28" s="35"/>
      <c r="AT28" s="35"/>
      <c r="AU28" s="35"/>
      <c r="AV28" s="35"/>
      <c r="AW28" s="35"/>
      <c r="AX28" s="35"/>
      <c r="AY28" s="35"/>
      <c r="AZ28" s="35"/>
      <c r="BA28" s="35"/>
      <c r="BB28" s="35"/>
    </row>
    <row r="29" spans="1:55" ht="15" customHeight="1">
      <c r="A29" s="19"/>
      <c r="D29" s="19"/>
      <c r="E29" s="5" t="s">
        <v>517</v>
      </c>
      <c r="G29" s="5" t="s">
        <v>248</v>
      </c>
      <c r="H29"/>
      <c r="I29" s="15"/>
      <c r="L29" s="31"/>
      <c r="M29" s="31"/>
      <c r="N29" s="31"/>
      <c r="O29" s="31"/>
      <c r="P29" s="35">
        <f t="shared" ref="P29:BB29" si="6">P23-P24</f>
        <v>0</v>
      </c>
      <c r="Q29" s="35">
        <f t="shared" si="6"/>
        <v>0</v>
      </c>
      <c r="R29" s="35">
        <f t="shared" si="6"/>
        <v>0</v>
      </c>
      <c r="S29" s="35">
        <f t="shared" si="6"/>
        <v>-24.205308577085852</v>
      </c>
      <c r="T29" s="35">
        <f t="shared" si="6"/>
        <v>-25.339064090865126</v>
      </c>
      <c r="U29" s="35">
        <f t="shared" si="6"/>
        <v>-27.328469291029048</v>
      </c>
      <c r="V29" s="35">
        <f t="shared" si="6"/>
        <v>-28.498127776685092</v>
      </c>
      <c r="W29" s="35">
        <f t="shared" si="6"/>
        <v>-29.717847645527215</v>
      </c>
      <c r="X29" s="35">
        <f t="shared" si="6"/>
        <v>-30.989771524755774</v>
      </c>
      <c r="Y29" s="35">
        <f t="shared" si="6"/>
        <v>-32.316133746015318</v>
      </c>
      <c r="Z29" s="35">
        <f t="shared" si="6"/>
        <v>-33.69926427034477</v>
      </c>
      <c r="AA29" s="35">
        <f t="shared" si="6"/>
        <v>-35.141592781115527</v>
      </c>
      <c r="AB29" s="35">
        <f t="shared" si="6"/>
        <v>-36.645652952147266</v>
      </c>
      <c r="AC29" s="35">
        <f t="shared" si="6"/>
        <v>-38.214086898499168</v>
      </c>
      <c r="AD29" s="35">
        <f t="shared" si="6"/>
        <v>-39.84964981775493</v>
      </c>
      <c r="AE29" s="35">
        <f t="shared" si="6"/>
        <v>-41.555214829954842</v>
      </c>
      <c r="AF29" s="35">
        <f t="shared" si="6"/>
        <v>-43.333778024676917</v>
      </c>
      <c r="AG29" s="35">
        <f t="shared" si="6"/>
        <v>-45.188463724133079</v>
      </c>
      <c r="AH29" s="35">
        <f t="shared" si="6"/>
        <v>-47.122529971525978</v>
      </c>
      <c r="AI29" s="35">
        <f t="shared" si="6"/>
        <v>-49.139374254307278</v>
      </c>
      <c r="AJ29" s="35">
        <f t="shared" si="6"/>
        <v>-51.242539472391634</v>
      </c>
      <c r="AK29" s="35">
        <f t="shared" si="6"/>
        <v>-53.435720161809996</v>
      </c>
      <c r="AL29" s="35">
        <f t="shared" si="6"/>
        <v>-55.72276898473546</v>
      </c>
      <c r="AM29" s="35">
        <f t="shared" si="6"/>
        <v>-58.107703497282138</v>
      </c>
      <c r="AN29" s="35">
        <f t="shared" si="6"/>
        <v>-60.594713206965807</v>
      </c>
      <c r="AO29" s="35">
        <f t="shared" si="6"/>
        <v>-20.803222651882074</v>
      </c>
      <c r="AP29" s="35">
        <f t="shared" si="6"/>
        <v>0</v>
      </c>
      <c r="AQ29" s="35">
        <f t="shared" si="6"/>
        <v>0</v>
      </c>
      <c r="AR29" s="35">
        <f t="shared" si="6"/>
        <v>0</v>
      </c>
      <c r="AS29" s="35">
        <f t="shared" si="6"/>
        <v>0</v>
      </c>
      <c r="AT29" s="35">
        <f t="shared" si="6"/>
        <v>0</v>
      </c>
      <c r="AU29" s="35">
        <f t="shared" si="6"/>
        <v>0</v>
      </c>
      <c r="AV29" s="35">
        <f t="shared" si="6"/>
        <v>0</v>
      </c>
      <c r="AW29" s="35">
        <f t="shared" si="6"/>
        <v>0</v>
      </c>
      <c r="AX29" s="35">
        <f t="shared" si="6"/>
        <v>0</v>
      </c>
      <c r="AY29" s="35">
        <f t="shared" si="6"/>
        <v>0</v>
      </c>
      <c r="AZ29" s="35">
        <f t="shared" si="6"/>
        <v>0</v>
      </c>
      <c r="BA29" s="35">
        <f t="shared" si="6"/>
        <v>0</v>
      </c>
      <c r="BB29" s="35">
        <f t="shared" si="6"/>
        <v>0</v>
      </c>
    </row>
    <row r="30" spans="1:55" ht="15" customHeight="1">
      <c r="A30" s="19"/>
      <c r="D30" s="19"/>
      <c r="E30" s="5" t="s">
        <v>518</v>
      </c>
      <c r="G30" s="5" t="s">
        <v>248</v>
      </c>
      <c r="H30"/>
      <c r="I30" s="15"/>
      <c r="L30" s="31"/>
      <c r="M30" s="31"/>
      <c r="N30" s="31"/>
      <c r="O30" s="31"/>
      <c r="P30" s="35">
        <f t="shared" ref="P30:BB30" si="7">IF(P29&gt;0,P29,0)</f>
        <v>0</v>
      </c>
      <c r="Q30" s="35">
        <f t="shared" si="7"/>
        <v>0</v>
      </c>
      <c r="R30" s="35">
        <f t="shared" si="7"/>
        <v>0</v>
      </c>
      <c r="S30" s="35">
        <f t="shared" si="7"/>
        <v>0</v>
      </c>
      <c r="T30" s="35">
        <f t="shared" si="7"/>
        <v>0</v>
      </c>
      <c r="U30" s="35">
        <f t="shared" si="7"/>
        <v>0</v>
      </c>
      <c r="V30" s="35">
        <f t="shared" si="7"/>
        <v>0</v>
      </c>
      <c r="W30" s="35">
        <f t="shared" si="7"/>
        <v>0</v>
      </c>
      <c r="X30" s="35">
        <f t="shared" si="7"/>
        <v>0</v>
      </c>
      <c r="Y30" s="35">
        <f t="shared" si="7"/>
        <v>0</v>
      </c>
      <c r="Z30" s="35">
        <f t="shared" si="7"/>
        <v>0</v>
      </c>
      <c r="AA30" s="35">
        <f t="shared" si="7"/>
        <v>0</v>
      </c>
      <c r="AB30" s="35">
        <f t="shared" si="7"/>
        <v>0</v>
      </c>
      <c r="AC30" s="35">
        <f t="shared" si="7"/>
        <v>0</v>
      </c>
      <c r="AD30" s="35">
        <f t="shared" si="7"/>
        <v>0</v>
      </c>
      <c r="AE30" s="35">
        <f t="shared" si="7"/>
        <v>0</v>
      </c>
      <c r="AF30" s="35">
        <f t="shared" si="7"/>
        <v>0</v>
      </c>
      <c r="AG30" s="35">
        <f t="shared" si="7"/>
        <v>0</v>
      </c>
      <c r="AH30" s="35">
        <f t="shared" si="7"/>
        <v>0</v>
      </c>
      <c r="AI30" s="35">
        <f t="shared" si="7"/>
        <v>0</v>
      </c>
      <c r="AJ30" s="35">
        <f t="shared" si="7"/>
        <v>0</v>
      </c>
      <c r="AK30" s="35">
        <f t="shared" si="7"/>
        <v>0</v>
      </c>
      <c r="AL30" s="35">
        <f t="shared" si="7"/>
        <v>0</v>
      </c>
      <c r="AM30" s="35">
        <f t="shared" si="7"/>
        <v>0</v>
      </c>
      <c r="AN30" s="35">
        <f t="shared" si="7"/>
        <v>0</v>
      </c>
      <c r="AO30" s="35">
        <f t="shared" si="7"/>
        <v>0</v>
      </c>
      <c r="AP30" s="35">
        <f t="shared" si="7"/>
        <v>0</v>
      </c>
      <c r="AQ30" s="35">
        <f t="shared" si="7"/>
        <v>0</v>
      </c>
      <c r="AR30" s="35">
        <f t="shared" si="7"/>
        <v>0</v>
      </c>
      <c r="AS30" s="35">
        <f t="shared" si="7"/>
        <v>0</v>
      </c>
      <c r="AT30" s="35">
        <f t="shared" si="7"/>
        <v>0</v>
      </c>
      <c r="AU30" s="35">
        <f t="shared" si="7"/>
        <v>0</v>
      </c>
      <c r="AV30" s="35">
        <f t="shared" si="7"/>
        <v>0</v>
      </c>
      <c r="AW30" s="35">
        <f t="shared" si="7"/>
        <v>0</v>
      </c>
      <c r="AX30" s="35">
        <f t="shared" si="7"/>
        <v>0</v>
      </c>
      <c r="AY30" s="35">
        <f t="shared" si="7"/>
        <v>0</v>
      </c>
      <c r="AZ30" s="35">
        <f t="shared" si="7"/>
        <v>0</v>
      </c>
      <c r="BA30" s="35">
        <f t="shared" si="7"/>
        <v>0</v>
      </c>
      <c r="BB30" s="35">
        <f t="shared" si="7"/>
        <v>0</v>
      </c>
    </row>
    <row r="31" spans="1:55" ht="15" customHeight="1">
      <c r="A31" s="19"/>
      <c r="D31" s="19"/>
      <c r="E31" s="5" t="s">
        <v>519</v>
      </c>
      <c r="G31" s="5" t="s">
        <v>248</v>
      </c>
      <c r="I31" s="15"/>
      <c r="L31" s="31"/>
      <c r="M31" s="31"/>
      <c r="N31" s="31"/>
      <c r="O31" s="31"/>
      <c r="P31" s="35">
        <f t="shared" ref="P31:BB31" si="8">P23-P26</f>
        <v>0</v>
      </c>
      <c r="Q31" s="35">
        <f t="shared" si="8"/>
        <v>0</v>
      </c>
      <c r="R31" s="35">
        <f>R23-R26</f>
        <v>0</v>
      </c>
      <c r="S31" s="35">
        <f t="shared" si="8"/>
        <v>-24.996499711583155</v>
      </c>
      <c r="T31" s="35">
        <f t="shared" si="8"/>
        <v>-25.577046282690425</v>
      </c>
      <c r="U31" s="35">
        <f t="shared" si="8"/>
        <v>-24.383897278477871</v>
      </c>
      <c r="V31" s="35">
        <f t="shared" si="8"/>
        <v>-25.082200293143497</v>
      </c>
      <c r="W31" s="35">
        <f t="shared" si="8"/>
        <v>-25.804520104426306</v>
      </c>
      <c r="X31" s="35">
        <f t="shared" si="8"/>
        <v>-26.551784831490533</v>
      </c>
      <c r="Y31" s="35">
        <f t="shared" si="8"/>
        <v>-27.324960620405221</v>
      </c>
      <c r="Z31" s="35">
        <f t="shared" si="8"/>
        <v>-28.125053242853614</v>
      </c>
      <c r="AA31" s="35">
        <f t="shared" si="8"/>
        <v>-28.953109762777018</v>
      </c>
      <c r="AB31" s="35">
        <f t="shared" si="8"/>
        <v>-29.810220273852348</v>
      </c>
      <c r="AC31" s="35">
        <f t="shared" si="8"/>
        <v>-30.697519710826572</v>
      </c>
      <c r="AD31" s="35">
        <f t="shared" si="8"/>
        <v>-31.616189737860612</v>
      </c>
      <c r="AE31" s="35">
        <f t="shared" si="8"/>
        <v>-32.567460717169681</v>
      </c>
      <c r="AF31" s="35">
        <f t="shared" si="8"/>
        <v>-33.552613761388173</v>
      </c>
      <c r="AG31" s="35">
        <f t="shared" si="8"/>
        <v>-34.572982873233116</v>
      </c>
      <c r="AH31" s="35">
        <f t="shared" si="8"/>
        <v>-35.629957176193585</v>
      </c>
      <c r="AI31" s="35">
        <f t="shared" si="8"/>
        <v>-36.724983240132545</v>
      </c>
      <c r="AJ31" s="35">
        <f t="shared" si="8"/>
        <v>-37.859567505853654</v>
      </c>
      <c r="AK31" s="35">
        <f t="shared" si="8"/>
        <v>-39.035278812859367</v>
      </c>
      <c r="AL31" s="35">
        <f t="shared" si="8"/>
        <v>-38.777353960261244</v>
      </c>
      <c r="AM31" s="35">
        <f t="shared" si="8"/>
        <v>-23.38705442240024</v>
      </c>
      <c r="AN31" s="35">
        <f t="shared" si="8"/>
        <v>-24.388020351678964</v>
      </c>
      <c r="AO31" s="35">
        <f t="shared" si="8"/>
        <v>-8.3728330503309571</v>
      </c>
      <c r="AP31" s="35">
        <f t="shared" si="8"/>
        <v>0</v>
      </c>
      <c r="AQ31" s="35">
        <f t="shared" si="8"/>
        <v>0</v>
      </c>
      <c r="AR31" s="35">
        <f t="shared" si="8"/>
        <v>0</v>
      </c>
      <c r="AS31" s="35">
        <f t="shared" si="8"/>
        <v>0</v>
      </c>
      <c r="AT31" s="35">
        <f t="shared" si="8"/>
        <v>0</v>
      </c>
      <c r="AU31" s="35">
        <f t="shared" si="8"/>
        <v>0</v>
      </c>
      <c r="AV31" s="35">
        <f t="shared" si="8"/>
        <v>0</v>
      </c>
      <c r="AW31" s="35">
        <f t="shared" si="8"/>
        <v>0</v>
      </c>
      <c r="AX31" s="35">
        <f t="shared" si="8"/>
        <v>0</v>
      </c>
      <c r="AY31" s="35">
        <f t="shared" si="8"/>
        <v>0</v>
      </c>
      <c r="AZ31" s="35">
        <f t="shared" si="8"/>
        <v>0</v>
      </c>
      <c r="BA31" s="35">
        <f t="shared" si="8"/>
        <v>0</v>
      </c>
      <c r="BB31" s="35">
        <f t="shared" si="8"/>
        <v>0</v>
      </c>
      <c r="BC31" s="35"/>
    </row>
    <row r="32" spans="1:55" ht="15" customHeight="1">
      <c r="A32" s="19"/>
      <c r="D32" s="19"/>
      <c r="E32" s="5" t="s">
        <v>520</v>
      </c>
      <c r="G32" s="5" t="s">
        <v>248</v>
      </c>
      <c r="I32" s="15"/>
      <c r="L32" s="31"/>
      <c r="M32" s="31"/>
      <c r="N32" s="31"/>
      <c r="O32" s="31"/>
      <c r="P32" s="35">
        <f t="shared" ref="P32:BB32" si="9">IF(P31&gt;0,P31,0)</f>
        <v>0</v>
      </c>
      <c r="Q32" s="35">
        <f t="shared" si="9"/>
        <v>0</v>
      </c>
      <c r="R32" s="35">
        <f t="shared" si="9"/>
        <v>0</v>
      </c>
      <c r="S32" s="35">
        <f t="shared" si="9"/>
        <v>0</v>
      </c>
      <c r="T32" s="35">
        <f t="shared" si="9"/>
        <v>0</v>
      </c>
      <c r="U32" s="35">
        <f t="shared" si="9"/>
        <v>0</v>
      </c>
      <c r="V32" s="35">
        <f t="shared" si="9"/>
        <v>0</v>
      </c>
      <c r="W32" s="35">
        <f t="shared" si="9"/>
        <v>0</v>
      </c>
      <c r="X32" s="35">
        <f t="shared" si="9"/>
        <v>0</v>
      </c>
      <c r="Y32" s="35">
        <f t="shared" si="9"/>
        <v>0</v>
      </c>
      <c r="Z32" s="35">
        <f t="shared" si="9"/>
        <v>0</v>
      </c>
      <c r="AA32" s="35">
        <f t="shared" si="9"/>
        <v>0</v>
      </c>
      <c r="AB32" s="35">
        <f t="shared" si="9"/>
        <v>0</v>
      </c>
      <c r="AC32" s="35">
        <f t="shared" si="9"/>
        <v>0</v>
      </c>
      <c r="AD32" s="35">
        <f t="shared" si="9"/>
        <v>0</v>
      </c>
      <c r="AE32" s="35">
        <f t="shared" si="9"/>
        <v>0</v>
      </c>
      <c r="AF32" s="35">
        <f t="shared" si="9"/>
        <v>0</v>
      </c>
      <c r="AG32" s="35">
        <f t="shared" si="9"/>
        <v>0</v>
      </c>
      <c r="AH32" s="35">
        <f t="shared" si="9"/>
        <v>0</v>
      </c>
      <c r="AI32" s="35">
        <f t="shared" si="9"/>
        <v>0</v>
      </c>
      <c r="AJ32" s="35">
        <f t="shared" si="9"/>
        <v>0</v>
      </c>
      <c r="AK32" s="35">
        <f t="shared" si="9"/>
        <v>0</v>
      </c>
      <c r="AL32" s="35">
        <f t="shared" si="9"/>
        <v>0</v>
      </c>
      <c r="AM32" s="35">
        <f t="shared" si="9"/>
        <v>0</v>
      </c>
      <c r="AN32" s="35">
        <f t="shared" si="9"/>
        <v>0</v>
      </c>
      <c r="AO32" s="35">
        <f t="shared" si="9"/>
        <v>0</v>
      </c>
      <c r="AP32" s="35">
        <f t="shared" si="9"/>
        <v>0</v>
      </c>
      <c r="AQ32" s="35">
        <f t="shared" si="9"/>
        <v>0</v>
      </c>
      <c r="AR32" s="35">
        <f t="shared" si="9"/>
        <v>0</v>
      </c>
      <c r="AS32" s="35">
        <f t="shared" si="9"/>
        <v>0</v>
      </c>
      <c r="AT32" s="35">
        <f t="shared" si="9"/>
        <v>0</v>
      </c>
      <c r="AU32" s="35">
        <f t="shared" si="9"/>
        <v>0</v>
      </c>
      <c r="AV32" s="35">
        <f t="shared" si="9"/>
        <v>0</v>
      </c>
      <c r="AW32" s="35">
        <f t="shared" si="9"/>
        <v>0</v>
      </c>
      <c r="AX32" s="35">
        <f t="shared" si="9"/>
        <v>0</v>
      </c>
      <c r="AY32" s="35">
        <f t="shared" si="9"/>
        <v>0</v>
      </c>
      <c r="AZ32" s="35">
        <f t="shared" si="9"/>
        <v>0</v>
      </c>
      <c r="BA32" s="35">
        <f t="shared" si="9"/>
        <v>0</v>
      </c>
      <c r="BB32" s="35">
        <f t="shared" si="9"/>
        <v>0</v>
      </c>
    </row>
    <row r="33" spans="1:55" ht="15" customHeight="1">
      <c r="A33" s="19"/>
      <c r="D33" s="19"/>
      <c r="P33" s="35"/>
      <c r="Q33" s="35"/>
      <c r="R33" s="35"/>
      <c r="S33" s="35"/>
      <c r="T33" s="35"/>
      <c r="U33" s="35"/>
      <c r="V33" s="35"/>
      <c r="W33" s="35"/>
      <c r="X33" s="35"/>
      <c r="Y33" s="35"/>
      <c r="Z33" s="35"/>
      <c r="AA33" s="35"/>
      <c r="AB33" s="35"/>
      <c r="AC33" s="35"/>
      <c r="AD33" s="35"/>
      <c r="AE33" s="35"/>
      <c r="AF33" s="35"/>
      <c r="AG33" s="35"/>
      <c r="AH33" s="35"/>
      <c r="AI33" s="35"/>
      <c r="AJ33" s="35"/>
      <c r="AK33" s="35"/>
      <c r="AL33" s="35"/>
      <c r="AM33" s="35"/>
      <c r="AN33" s="35"/>
      <c r="AO33" s="35"/>
      <c r="AP33" s="35"/>
      <c r="AQ33" s="35"/>
      <c r="AR33" s="35"/>
      <c r="AS33" s="35"/>
      <c r="AT33" s="35"/>
      <c r="AU33" s="35"/>
      <c r="AV33" s="35"/>
      <c r="AW33" s="35"/>
      <c r="AX33" s="35"/>
      <c r="AY33" s="35"/>
      <c r="AZ33" s="35"/>
      <c r="BA33" s="35"/>
      <c r="BB33" s="35"/>
    </row>
    <row r="34" spans="1:55" ht="15" customHeight="1">
      <c r="E34" s="5" t="s">
        <v>490</v>
      </c>
      <c r="G34" s="5" t="s">
        <v>248</v>
      </c>
      <c r="H34" s="19" t="s">
        <v>491</v>
      </c>
      <c r="L34" s="55">
        <v>0</v>
      </c>
      <c r="M34" s="55">
        <v>0</v>
      </c>
      <c r="N34" s="55">
        <v>0</v>
      </c>
      <c r="O34" s="56">
        <v>0</v>
      </c>
      <c r="P34" s="184">
        <f>Availability!P58</f>
        <v>29.309156829215333</v>
      </c>
      <c r="Q34" s="184">
        <f>Availability!Q58</f>
        <v>45.564697093203975</v>
      </c>
      <c r="R34" s="184">
        <f>Availability!R58</f>
        <v>47.514866128793109</v>
      </c>
      <c r="S34" s="184">
        <f>Availability!S58</f>
        <v>49.548502399105445</v>
      </c>
      <c r="T34" s="184">
        <f>Availability!T58</f>
        <v>51.699283891367784</v>
      </c>
      <c r="U34" s="184">
        <f>Availability!U58</f>
        <v>54.25051262486371</v>
      </c>
      <c r="V34" s="184">
        <f>Availability!V58</f>
        <v>56.572434565207871</v>
      </c>
      <c r="W34" s="184">
        <f>Availability!W58</f>
        <v>58.99373476459877</v>
      </c>
      <c r="X34" s="184">
        <f>Availability!X58</f>
        <v>61.518666612523596</v>
      </c>
      <c r="Y34" s="184">
        <f>Availability!Y58</f>
        <v>64.151665543539593</v>
      </c>
      <c r="Z34" s="184">
        <f>Availability!Z58</f>
        <v>66.897356828803098</v>
      </c>
      <c r="AA34" s="184">
        <f>Availability!AA58</f>
        <v>69.760563701075853</v>
      </c>
      <c r="AB34" s="184">
        <f>Availability!AB58</f>
        <v>72.746315827481908</v>
      </c>
      <c r="AC34" s="184">
        <f>Availability!AC58</f>
        <v>75.859858144898126</v>
      </c>
      <c r="AD34" s="184">
        <f>Availability!AD58</f>
        <v>79.106660073499754</v>
      </c>
      <c r="AE34" s="184">
        <f>Availability!AE58</f>
        <v>82.49242512464555</v>
      </c>
      <c r="AF34" s="184">
        <f>Availability!AF58</f>
        <v>86.023100919980365</v>
      </c>
      <c r="AG34" s="184">
        <f>Availability!AG58</f>
        <v>89.704889639355528</v>
      </c>
      <c r="AH34" s="184">
        <f>Availability!AH58</f>
        <v>93.54425891591994</v>
      </c>
      <c r="AI34" s="184">
        <f>Availability!AI58</f>
        <v>97.547953197521309</v>
      </c>
      <c r="AJ34" s="184">
        <f>Availability!AJ58</f>
        <v>101.72300559437524</v>
      </c>
      <c r="AK34" s="184">
        <f>Availability!AK58</f>
        <v>106.07675023381447</v>
      </c>
      <c r="AL34" s="184">
        <f>Availability!AL58</f>
        <v>110.61683514382173</v>
      </c>
      <c r="AM34" s="184">
        <f>Availability!AM58</f>
        <v>115.35123568797729</v>
      </c>
      <c r="AN34" s="184">
        <f>Availability!AN58</f>
        <v>120.28826857542272</v>
      </c>
      <c r="AO34" s="184">
        <f>Availability!AO58</f>
        <v>41.297062089176485</v>
      </c>
      <c r="AP34" s="184">
        <f>Availability!AP58</f>
        <v>0</v>
      </c>
      <c r="AQ34" s="184">
        <f>Availability!AQ58</f>
        <v>0</v>
      </c>
      <c r="AR34" s="184">
        <f>Availability!AR58</f>
        <v>0</v>
      </c>
      <c r="AS34" s="184">
        <f>Availability!AS58</f>
        <v>0</v>
      </c>
      <c r="AT34" s="184">
        <f>Availability!AT58</f>
        <v>0</v>
      </c>
      <c r="AU34" s="184">
        <f>Availability!AU58</f>
        <v>0</v>
      </c>
      <c r="AV34" s="184">
        <f>Availability!AV58</f>
        <v>0</v>
      </c>
      <c r="AW34" s="184">
        <f>Availability!AW58</f>
        <v>0</v>
      </c>
      <c r="AX34" s="184">
        <f>Availability!AX58</f>
        <v>0</v>
      </c>
      <c r="AY34" s="184">
        <f>Availability!AY58</f>
        <v>0</v>
      </c>
      <c r="AZ34" s="184">
        <f>Availability!AZ58</f>
        <v>0</v>
      </c>
      <c r="BA34" s="184">
        <f>Availability!BA58</f>
        <v>0</v>
      </c>
      <c r="BB34" s="184">
        <f>Availability!BB58</f>
        <v>0</v>
      </c>
    </row>
    <row r="35" spans="1:55" ht="15" customHeight="1">
      <c r="A35" s="19"/>
      <c r="D35" s="19"/>
      <c r="E35" s="5" t="s">
        <v>521</v>
      </c>
      <c r="G35" s="5" t="s">
        <v>248</v>
      </c>
      <c r="H35" s="19" t="str">
        <f>H23</f>
        <v>ARt</v>
      </c>
      <c r="I35" s="15"/>
      <c r="L35" s="55">
        <v>0</v>
      </c>
      <c r="M35" s="55">
        <v>0</v>
      </c>
      <c r="N35" s="55">
        <v>0</v>
      </c>
      <c r="O35" s="56">
        <v>0</v>
      </c>
      <c r="P35" s="35">
        <f t="shared" ref="P35:BB35" si="10">P23</f>
        <v>0</v>
      </c>
      <c r="Q35" s="35">
        <f t="shared" si="10"/>
        <v>0</v>
      </c>
      <c r="R35" s="35">
        <f t="shared" si="10"/>
        <v>0</v>
      </c>
      <c r="S35" s="35">
        <f t="shared" si="10"/>
        <v>0</v>
      </c>
      <c r="T35" s="35">
        <f t="shared" si="10"/>
        <v>0</v>
      </c>
      <c r="U35" s="35">
        <f t="shared" si="10"/>
        <v>0</v>
      </c>
      <c r="V35" s="35">
        <f t="shared" si="10"/>
        <v>0</v>
      </c>
      <c r="W35" s="35">
        <f t="shared" si="10"/>
        <v>0</v>
      </c>
      <c r="X35" s="35">
        <f t="shared" si="10"/>
        <v>0</v>
      </c>
      <c r="Y35" s="35">
        <f t="shared" si="10"/>
        <v>0</v>
      </c>
      <c r="Z35" s="35">
        <f t="shared" si="10"/>
        <v>0</v>
      </c>
      <c r="AA35" s="35">
        <f t="shared" si="10"/>
        <v>0</v>
      </c>
      <c r="AB35" s="35">
        <f t="shared" si="10"/>
        <v>0</v>
      </c>
      <c r="AC35" s="35">
        <f t="shared" si="10"/>
        <v>0</v>
      </c>
      <c r="AD35" s="35">
        <f t="shared" si="10"/>
        <v>0</v>
      </c>
      <c r="AE35" s="35">
        <f t="shared" si="10"/>
        <v>0</v>
      </c>
      <c r="AF35" s="35">
        <f t="shared" si="10"/>
        <v>0</v>
      </c>
      <c r="AG35" s="35">
        <f t="shared" si="10"/>
        <v>0</v>
      </c>
      <c r="AH35" s="35">
        <f t="shared" si="10"/>
        <v>0</v>
      </c>
      <c r="AI35" s="35">
        <f t="shared" si="10"/>
        <v>0</v>
      </c>
      <c r="AJ35" s="35">
        <f t="shared" si="10"/>
        <v>0</v>
      </c>
      <c r="AK35" s="35">
        <f t="shared" si="10"/>
        <v>0</v>
      </c>
      <c r="AL35" s="35">
        <f t="shared" si="10"/>
        <v>0</v>
      </c>
      <c r="AM35" s="35">
        <f t="shared" si="10"/>
        <v>0</v>
      </c>
      <c r="AN35" s="35">
        <f t="shared" si="10"/>
        <v>0</v>
      </c>
      <c r="AO35" s="35">
        <f t="shared" si="10"/>
        <v>0</v>
      </c>
      <c r="AP35" s="35">
        <f t="shared" si="10"/>
        <v>0</v>
      </c>
      <c r="AQ35" s="35">
        <f t="shared" si="10"/>
        <v>0</v>
      </c>
      <c r="AR35" s="35">
        <f t="shared" si="10"/>
        <v>0</v>
      </c>
      <c r="AS35" s="35">
        <f t="shared" si="10"/>
        <v>0</v>
      </c>
      <c r="AT35" s="35">
        <f t="shared" si="10"/>
        <v>0</v>
      </c>
      <c r="AU35" s="35">
        <f t="shared" si="10"/>
        <v>0</v>
      </c>
      <c r="AV35" s="35">
        <f t="shared" si="10"/>
        <v>0</v>
      </c>
      <c r="AW35" s="35">
        <f t="shared" si="10"/>
        <v>0</v>
      </c>
      <c r="AX35" s="35">
        <f t="shared" si="10"/>
        <v>0</v>
      </c>
      <c r="AY35" s="35">
        <f t="shared" si="10"/>
        <v>0</v>
      </c>
      <c r="AZ35" s="35">
        <f t="shared" si="10"/>
        <v>0</v>
      </c>
      <c r="BA35" s="35">
        <f t="shared" si="10"/>
        <v>0</v>
      </c>
      <c r="BB35" s="35">
        <f t="shared" si="10"/>
        <v>0</v>
      </c>
    </row>
    <row r="36" spans="1:55" ht="15" customHeight="1">
      <c r="E36" s="5" t="s">
        <v>492</v>
      </c>
      <c r="G36" s="5" t="s">
        <v>248</v>
      </c>
      <c r="H36" s="19" t="s">
        <v>515</v>
      </c>
      <c r="L36" s="55">
        <v>0</v>
      </c>
      <c r="M36" s="55">
        <v>0</v>
      </c>
      <c r="N36" s="55">
        <v>0</v>
      </c>
      <c r="O36" s="56">
        <v>0</v>
      </c>
      <c r="P36" s="35">
        <f t="shared" ref="P36:BB36" si="11">P25</f>
        <v>0</v>
      </c>
      <c r="Q36" s="35">
        <f t="shared" si="11"/>
        <v>0</v>
      </c>
      <c r="R36" s="35">
        <f t="shared" si="11"/>
        <v>0</v>
      </c>
      <c r="S36" s="35">
        <f t="shared" si="11"/>
        <v>24.205308577085852</v>
      </c>
      <c r="T36" s="35">
        <f t="shared" si="11"/>
        <v>25.339064090865126</v>
      </c>
      <c r="U36" s="35">
        <f t="shared" si="11"/>
        <v>27.328469291029048</v>
      </c>
      <c r="V36" s="35">
        <f t="shared" si="11"/>
        <v>28.498127776685092</v>
      </c>
      <c r="W36" s="35">
        <f t="shared" si="11"/>
        <v>29.717847645527215</v>
      </c>
      <c r="X36" s="35">
        <f t="shared" si="11"/>
        <v>30.989771524755774</v>
      </c>
      <c r="Y36" s="35">
        <f t="shared" si="11"/>
        <v>32.316133746015318</v>
      </c>
      <c r="Z36" s="35">
        <f t="shared" si="11"/>
        <v>33.69926427034477</v>
      </c>
      <c r="AA36" s="35">
        <f t="shared" si="11"/>
        <v>35.141592781115527</v>
      </c>
      <c r="AB36" s="35">
        <f t="shared" si="11"/>
        <v>36.645652952147266</v>
      </c>
      <c r="AC36" s="35">
        <f t="shared" si="11"/>
        <v>38.214086898499168</v>
      </c>
      <c r="AD36" s="35">
        <f t="shared" si="11"/>
        <v>39.84964981775493</v>
      </c>
      <c r="AE36" s="35">
        <f t="shared" si="11"/>
        <v>41.555214829954842</v>
      </c>
      <c r="AF36" s="35">
        <f t="shared" si="11"/>
        <v>43.333778024676917</v>
      </c>
      <c r="AG36" s="35">
        <f t="shared" si="11"/>
        <v>45.188463724133079</v>
      </c>
      <c r="AH36" s="35">
        <f t="shared" si="11"/>
        <v>47.122529971525978</v>
      </c>
      <c r="AI36" s="35">
        <f t="shared" si="11"/>
        <v>49.139374254307278</v>
      </c>
      <c r="AJ36" s="35">
        <f t="shared" si="11"/>
        <v>51.242539472391634</v>
      </c>
      <c r="AK36" s="35">
        <f t="shared" si="11"/>
        <v>53.435720161809996</v>
      </c>
      <c r="AL36" s="35">
        <f t="shared" si="11"/>
        <v>55.72276898473546</v>
      </c>
      <c r="AM36" s="35">
        <f t="shared" si="11"/>
        <v>58.107703497282138</v>
      </c>
      <c r="AN36" s="35">
        <f t="shared" si="11"/>
        <v>60.594713206965807</v>
      </c>
      <c r="AO36" s="35">
        <f t="shared" si="11"/>
        <v>20.803222651882074</v>
      </c>
      <c r="AP36" s="35">
        <f t="shared" si="11"/>
        <v>0</v>
      </c>
      <c r="AQ36" s="35">
        <f t="shared" si="11"/>
        <v>0</v>
      </c>
      <c r="AR36" s="35">
        <f t="shared" si="11"/>
        <v>0</v>
      </c>
      <c r="AS36" s="35">
        <f t="shared" si="11"/>
        <v>0</v>
      </c>
      <c r="AT36" s="35">
        <f t="shared" si="11"/>
        <v>0</v>
      </c>
      <c r="AU36" s="35">
        <f t="shared" si="11"/>
        <v>0</v>
      </c>
      <c r="AV36" s="35">
        <f t="shared" si="11"/>
        <v>0</v>
      </c>
      <c r="AW36" s="35">
        <f t="shared" si="11"/>
        <v>0</v>
      </c>
      <c r="AX36" s="35">
        <f t="shared" si="11"/>
        <v>0</v>
      </c>
      <c r="AY36" s="35">
        <f t="shared" si="11"/>
        <v>0</v>
      </c>
      <c r="AZ36" s="35">
        <f t="shared" si="11"/>
        <v>0</v>
      </c>
      <c r="BA36" s="35">
        <f t="shared" si="11"/>
        <v>0</v>
      </c>
      <c r="BB36" s="35">
        <f t="shared" si="11"/>
        <v>0</v>
      </c>
    </row>
    <row r="37" spans="1:55" ht="15" customHeight="1">
      <c r="E37" s="5" t="s">
        <v>493</v>
      </c>
      <c r="G37" s="5" t="s">
        <v>248</v>
      </c>
      <c r="L37" s="55">
        <v>0</v>
      </c>
      <c r="M37" s="55">
        <v>0</v>
      </c>
      <c r="N37" s="55">
        <v>0</v>
      </c>
      <c r="O37" s="56">
        <v>0</v>
      </c>
      <c r="P37" s="35">
        <f t="shared" ref="P37:BB37" si="12">P27</f>
        <v>0</v>
      </c>
      <c r="Q37" s="35">
        <f t="shared" si="12"/>
        <v>0</v>
      </c>
      <c r="R37" s="35">
        <f t="shared" si="12"/>
        <v>0</v>
      </c>
      <c r="S37" s="35">
        <f t="shared" si="12"/>
        <v>24.996499711583155</v>
      </c>
      <c r="T37" s="35">
        <f t="shared" si="12"/>
        <v>25.577046282690425</v>
      </c>
      <c r="U37" s="35">
        <f t="shared" si="12"/>
        <v>24.383897278477871</v>
      </c>
      <c r="V37" s="35">
        <f t="shared" si="12"/>
        <v>25.082200293143497</v>
      </c>
      <c r="W37" s="35">
        <f t="shared" si="12"/>
        <v>25.804520104426306</v>
      </c>
      <c r="X37" s="35">
        <f t="shared" si="12"/>
        <v>26.551784831490533</v>
      </c>
      <c r="Y37" s="35">
        <f t="shared" si="12"/>
        <v>27.324960620405221</v>
      </c>
      <c r="Z37" s="35">
        <f t="shared" si="12"/>
        <v>28.125053242853614</v>
      </c>
      <c r="AA37" s="35">
        <f t="shared" si="12"/>
        <v>28.953109762777018</v>
      </c>
      <c r="AB37" s="35">
        <f t="shared" si="12"/>
        <v>29.810220273852348</v>
      </c>
      <c r="AC37" s="35">
        <f t="shared" si="12"/>
        <v>30.697519710826572</v>
      </c>
      <c r="AD37" s="35">
        <f t="shared" si="12"/>
        <v>31.616189737860612</v>
      </c>
      <c r="AE37" s="35">
        <f t="shared" si="12"/>
        <v>32.567460717169681</v>
      </c>
      <c r="AF37" s="35">
        <f t="shared" si="12"/>
        <v>33.552613761388173</v>
      </c>
      <c r="AG37" s="35">
        <f t="shared" si="12"/>
        <v>34.572982873233116</v>
      </c>
      <c r="AH37" s="35">
        <f t="shared" si="12"/>
        <v>35.629957176193585</v>
      </c>
      <c r="AI37" s="35">
        <f t="shared" si="12"/>
        <v>36.724983240132545</v>
      </c>
      <c r="AJ37" s="35">
        <f t="shared" si="12"/>
        <v>37.859567505853654</v>
      </c>
      <c r="AK37" s="35">
        <f t="shared" si="12"/>
        <v>39.035278812859367</v>
      </c>
      <c r="AL37" s="35">
        <f t="shared" si="12"/>
        <v>38.777353960261244</v>
      </c>
      <c r="AM37" s="35">
        <f t="shared" si="12"/>
        <v>23.38705442240024</v>
      </c>
      <c r="AN37" s="35">
        <f t="shared" si="12"/>
        <v>24.388020351678964</v>
      </c>
      <c r="AO37" s="35">
        <f t="shared" si="12"/>
        <v>8.3728330503309571</v>
      </c>
      <c r="AP37" s="35">
        <f t="shared" si="12"/>
        <v>0</v>
      </c>
      <c r="AQ37" s="35">
        <f t="shared" si="12"/>
        <v>0</v>
      </c>
      <c r="AR37" s="35">
        <f t="shared" si="12"/>
        <v>0</v>
      </c>
      <c r="AS37" s="35">
        <f t="shared" si="12"/>
        <v>0</v>
      </c>
      <c r="AT37" s="35">
        <f t="shared" si="12"/>
        <v>0</v>
      </c>
      <c r="AU37" s="35">
        <f t="shared" si="12"/>
        <v>0</v>
      </c>
      <c r="AV37" s="35">
        <f t="shared" si="12"/>
        <v>0</v>
      </c>
      <c r="AW37" s="35">
        <f t="shared" si="12"/>
        <v>0</v>
      </c>
      <c r="AX37" s="35">
        <f t="shared" si="12"/>
        <v>0</v>
      </c>
      <c r="AY37" s="35">
        <f t="shared" si="12"/>
        <v>0</v>
      </c>
      <c r="AZ37" s="35">
        <f t="shared" si="12"/>
        <v>0</v>
      </c>
      <c r="BA37" s="35">
        <f t="shared" si="12"/>
        <v>0</v>
      </c>
      <c r="BB37" s="35">
        <f t="shared" si="12"/>
        <v>0</v>
      </c>
    </row>
    <row r="38" spans="1:55" ht="15" customHeight="1">
      <c r="E38" s="5"/>
      <c r="G38" s="5"/>
      <c r="L38" s="5"/>
      <c r="M38" s="5"/>
      <c r="N38" s="5"/>
      <c r="O38" s="5"/>
      <c r="P38" s="35"/>
      <c r="Q38" s="35"/>
      <c r="R38" s="35"/>
      <c r="S38" s="35"/>
      <c r="T38" s="35"/>
      <c r="U38" s="35"/>
      <c r="V38" s="35"/>
      <c r="W38" s="35"/>
      <c r="X38" s="35"/>
      <c r="Y38" s="35"/>
      <c r="Z38" s="35"/>
      <c r="AA38" s="35"/>
      <c r="AB38" s="35"/>
      <c r="AC38" s="35"/>
      <c r="AD38" s="35"/>
      <c r="AE38" s="35"/>
      <c r="AF38" s="35"/>
      <c r="AG38" s="35"/>
      <c r="AH38" s="35"/>
      <c r="AI38" s="35"/>
      <c r="AJ38" s="35"/>
      <c r="AK38" s="35"/>
      <c r="AL38" s="35"/>
      <c r="AM38" s="35"/>
      <c r="AN38" s="35"/>
      <c r="AO38" s="35"/>
      <c r="AP38" s="35"/>
      <c r="AQ38" s="35"/>
      <c r="AR38" s="35"/>
      <c r="AS38" s="35"/>
      <c r="AT38" s="35"/>
      <c r="AU38" s="35"/>
      <c r="AV38" s="35"/>
      <c r="AW38" s="35"/>
      <c r="AX38" s="35"/>
      <c r="AY38" s="35"/>
      <c r="AZ38" s="35"/>
      <c r="BA38" s="35"/>
      <c r="BB38" s="35"/>
    </row>
    <row r="39" spans="1:55" ht="26.25">
      <c r="A39" s="19"/>
      <c r="D39" s="19"/>
      <c r="E39" s="5" t="s">
        <v>522</v>
      </c>
      <c r="G39" s="5" t="s">
        <v>248</v>
      </c>
      <c r="H39" s="45" t="s">
        <v>523</v>
      </c>
      <c r="I39" s="15"/>
      <c r="L39" s="55">
        <v>0</v>
      </c>
      <c r="M39" s="55">
        <v>0</v>
      </c>
      <c r="N39" s="55">
        <v>0</v>
      </c>
      <c r="O39" s="56">
        <v>0</v>
      </c>
      <c r="P39" s="35">
        <f t="shared" ref="P39:BB39" si="13">IF(P25=0,P30,P23)</f>
        <v>0</v>
      </c>
      <c r="Q39" s="35">
        <f t="shared" si="13"/>
        <v>0</v>
      </c>
      <c r="R39" s="35">
        <f t="shared" si="13"/>
        <v>0</v>
      </c>
      <c r="S39" s="35">
        <f t="shared" si="13"/>
        <v>0</v>
      </c>
      <c r="T39" s="35">
        <f t="shared" si="13"/>
        <v>0</v>
      </c>
      <c r="U39" s="35">
        <f t="shared" si="13"/>
        <v>0</v>
      </c>
      <c r="V39" s="35">
        <f t="shared" si="13"/>
        <v>0</v>
      </c>
      <c r="W39" s="35">
        <f t="shared" si="13"/>
        <v>0</v>
      </c>
      <c r="X39" s="35">
        <f t="shared" si="13"/>
        <v>0</v>
      </c>
      <c r="Y39" s="35">
        <f t="shared" si="13"/>
        <v>0</v>
      </c>
      <c r="Z39" s="35">
        <f t="shared" si="13"/>
        <v>0</v>
      </c>
      <c r="AA39" s="35">
        <f t="shared" si="13"/>
        <v>0</v>
      </c>
      <c r="AB39" s="35">
        <f t="shared" si="13"/>
        <v>0</v>
      </c>
      <c r="AC39" s="35">
        <f t="shared" si="13"/>
        <v>0</v>
      </c>
      <c r="AD39" s="35">
        <f t="shared" si="13"/>
        <v>0</v>
      </c>
      <c r="AE39" s="35">
        <f t="shared" si="13"/>
        <v>0</v>
      </c>
      <c r="AF39" s="35">
        <f t="shared" si="13"/>
        <v>0</v>
      </c>
      <c r="AG39" s="35">
        <f t="shared" si="13"/>
        <v>0</v>
      </c>
      <c r="AH39" s="35">
        <f t="shared" si="13"/>
        <v>0</v>
      </c>
      <c r="AI39" s="35">
        <f t="shared" si="13"/>
        <v>0</v>
      </c>
      <c r="AJ39" s="35">
        <f t="shared" si="13"/>
        <v>0</v>
      </c>
      <c r="AK39" s="35">
        <f t="shared" si="13"/>
        <v>0</v>
      </c>
      <c r="AL39" s="35">
        <f t="shared" si="13"/>
        <v>0</v>
      </c>
      <c r="AM39" s="35">
        <f t="shared" si="13"/>
        <v>0</v>
      </c>
      <c r="AN39" s="35">
        <f t="shared" si="13"/>
        <v>0</v>
      </c>
      <c r="AO39" s="35">
        <f t="shared" si="13"/>
        <v>0</v>
      </c>
      <c r="AP39" s="35">
        <f t="shared" si="13"/>
        <v>0</v>
      </c>
      <c r="AQ39" s="35">
        <f t="shared" si="13"/>
        <v>0</v>
      </c>
      <c r="AR39" s="35">
        <f t="shared" si="13"/>
        <v>0</v>
      </c>
      <c r="AS39" s="35">
        <f t="shared" si="13"/>
        <v>0</v>
      </c>
      <c r="AT39" s="35">
        <f t="shared" si="13"/>
        <v>0</v>
      </c>
      <c r="AU39" s="35">
        <f t="shared" si="13"/>
        <v>0</v>
      </c>
      <c r="AV39" s="35">
        <f t="shared" si="13"/>
        <v>0</v>
      </c>
      <c r="AW39" s="35">
        <f t="shared" si="13"/>
        <v>0</v>
      </c>
      <c r="AX39" s="35">
        <f t="shared" si="13"/>
        <v>0</v>
      </c>
      <c r="AY39" s="35">
        <f t="shared" si="13"/>
        <v>0</v>
      </c>
      <c r="AZ39" s="35">
        <f t="shared" si="13"/>
        <v>0</v>
      </c>
      <c r="BA39" s="35">
        <f t="shared" si="13"/>
        <v>0</v>
      </c>
      <c r="BB39" s="35">
        <f t="shared" si="13"/>
        <v>0</v>
      </c>
    </row>
    <row r="40" spans="1:55" ht="26.25">
      <c r="A40" s="19"/>
      <c r="D40" s="19"/>
      <c r="E40" s="5" t="s">
        <v>524</v>
      </c>
      <c r="G40" s="5" t="s">
        <v>248</v>
      </c>
      <c r="H40" s="45" t="s">
        <v>523</v>
      </c>
      <c r="I40" s="15"/>
      <c r="L40" s="55">
        <v>0</v>
      </c>
      <c r="M40" s="55">
        <v>0</v>
      </c>
      <c r="N40" s="55">
        <v>0</v>
      </c>
      <c r="O40" s="56">
        <v>0</v>
      </c>
      <c r="P40" s="35">
        <f t="shared" ref="P40:BB40" si="14">IF(P27=0,P32,P23)</f>
        <v>0</v>
      </c>
      <c r="Q40" s="35">
        <f t="shared" si="14"/>
        <v>0</v>
      </c>
      <c r="R40" s="35">
        <f t="shared" si="14"/>
        <v>0</v>
      </c>
      <c r="S40" s="35">
        <f t="shared" si="14"/>
        <v>0</v>
      </c>
      <c r="T40" s="35">
        <f t="shared" si="14"/>
        <v>0</v>
      </c>
      <c r="U40" s="35">
        <f t="shared" si="14"/>
        <v>0</v>
      </c>
      <c r="V40" s="35">
        <f t="shared" si="14"/>
        <v>0</v>
      </c>
      <c r="W40" s="35">
        <f t="shared" si="14"/>
        <v>0</v>
      </c>
      <c r="X40" s="35">
        <f t="shared" si="14"/>
        <v>0</v>
      </c>
      <c r="Y40" s="35">
        <f t="shared" si="14"/>
        <v>0</v>
      </c>
      <c r="Z40" s="35">
        <f t="shared" si="14"/>
        <v>0</v>
      </c>
      <c r="AA40" s="35">
        <f t="shared" si="14"/>
        <v>0</v>
      </c>
      <c r="AB40" s="35">
        <f t="shared" si="14"/>
        <v>0</v>
      </c>
      <c r="AC40" s="35">
        <f t="shared" si="14"/>
        <v>0</v>
      </c>
      <c r="AD40" s="35">
        <f t="shared" si="14"/>
        <v>0</v>
      </c>
      <c r="AE40" s="35">
        <f t="shared" si="14"/>
        <v>0</v>
      </c>
      <c r="AF40" s="35">
        <f t="shared" si="14"/>
        <v>0</v>
      </c>
      <c r="AG40" s="35">
        <f t="shared" si="14"/>
        <v>0</v>
      </c>
      <c r="AH40" s="35">
        <f t="shared" si="14"/>
        <v>0</v>
      </c>
      <c r="AI40" s="35">
        <f t="shared" si="14"/>
        <v>0</v>
      </c>
      <c r="AJ40" s="35">
        <f t="shared" si="14"/>
        <v>0</v>
      </c>
      <c r="AK40" s="35">
        <f t="shared" si="14"/>
        <v>0</v>
      </c>
      <c r="AL40" s="35">
        <f t="shared" si="14"/>
        <v>0</v>
      </c>
      <c r="AM40" s="35">
        <f t="shared" si="14"/>
        <v>0</v>
      </c>
      <c r="AN40" s="35">
        <f t="shared" si="14"/>
        <v>0</v>
      </c>
      <c r="AO40" s="35">
        <f t="shared" si="14"/>
        <v>0</v>
      </c>
      <c r="AP40" s="35">
        <f t="shared" si="14"/>
        <v>0</v>
      </c>
      <c r="AQ40" s="35">
        <f t="shared" si="14"/>
        <v>0</v>
      </c>
      <c r="AR40" s="35">
        <f t="shared" si="14"/>
        <v>0</v>
      </c>
      <c r="AS40" s="35">
        <f t="shared" si="14"/>
        <v>0</v>
      </c>
      <c r="AT40" s="35">
        <f t="shared" si="14"/>
        <v>0</v>
      </c>
      <c r="AU40" s="35">
        <f t="shared" si="14"/>
        <v>0</v>
      </c>
      <c r="AV40" s="35">
        <f t="shared" si="14"/>
        <v>0</v>
      </c>
      <c r="AW40" s="35">
        <f t="shared" si="14"/>
        <v>0</v>
      </c>
      <c r="AX40" s="35">
        <f t="shared" si="14"/>
        <v>0</v>
      </c>
      <c r="AY40" s="35">
        <f t="shared" si="14"/>
        <v>0</v>
      </c>
      <c r="AZ40" s="35">
        <f t="shared" si="14"/>
        <v>0</v>
      </c>
      <c r="BA40" s="35">
        <f t="shared" si="14"/>
        <v>0</v>
      </c>
      <c r="BB40" s="35">
        <f t="shared" si="14"/>
        <v>0</v>
      </c>
      <c r="BC40" s="35"/>
    </row>
    <row r="41" spans="1:55" ht="15" customHeight="1"/>
    <row r="42" spans="1:55" s="59" customFormat="1" ht="15" customHeight="1">
      <c r="C42" s="38" t="s">
        <v>525</v>
      </c>
      <c r="D42" s="38"/>
      <c r="E42" s="38"/>
      <c r="F42" s="38"/>
      <c r="G42" s="38"/>
      <c r="H42" s="38"/>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row>
    <row r="43" spans="1:55" ht="15" customHeight="1">
      <c r="AK43" s="37"/>
    </row>
    <row r="44" spans="1:55" ht="15" customHeight="1">
      <c r="A44" s="19"/>
      <c r="D44" s="19"/>
      <c r="E44" s="19" t="str">
        <f>"NPV of "&amp;E34</f>
        <v>NPV of Cap (post-availability incentive)</v>
      </c>
      <c r="G44" s="5" t="s">
        <v>248</v>
      </c>
      <c r="H44" s="19" t="s">
        <v>526</v>
      </c>
      <c r="L44" s="31"/>
      <c r="M44" s="31"/>
      <c r="N44" s="31"/>
      <c r="O44" s="31"/>
      <c r="P44" s="35">
        <f t="shared" ref="P44:Y47" si="15">MMULT(L34:P34,P$15:P$19)</f>
        <v>29.309156829215333</v>
      </c>
      <c r="Q44" s="35">
        <f>MMULT(M34:Q34,Q$15:Q$19)</f>
        <v>45.564697093203975</v>
      </c>
      <c r="R44" s="35">
        <f t="shared" si="15"/>
        <v>47.514866128793109</v>
      </c>
      <c r="S44" s="35">
        <f t="shared" si="15"/>
        <v>49.548502399105445</v>
      </c>
      <c r="T44" s="35">
        <f t="shared" si="15"/>
        <v>51.699283891367784</v>
      </c>
      <c r="U44" s="35">
        <f t="shared" si="15"/>
        <v>54.25051262486371</v>
      </c>
      <c r="V44" s="35">
        <f t="shared" si="15"/>
        <v>56.572434565207871</v>
      </c>
      <c r="W44" s="35">
        <f t="shared" si="15"/>
        <v>58.99373476459877</v>
      </c>
      <c r="X44" s="35">
        <f t="shared" si="15"/>
        <v>61.518666612523596</v>
      </c>
      <c r="Y44" s="35">
        <f t="shared" si="15"/>
        <v>64.151665543539593</v>
      </c>
      <c r="Z44" s="35">
        <f t="shared" ref="Z44:AI47" si="16">MMULT(V34:Z34,Z$15:Z$19)</f>
        <v>66.897356828803098</v>
      </c>
      <c r="AA44" s="35">
        <f t="shared" si="16"/>
        <v>69.760563701075853</v>
      </c>
      <c r="AB44" s="35">
        <f t="shared" si="16"/>
        <v>72.746315827481908</v>
      </c>
      <c r="AC44" s="35">
        <f t="shared" si="16"/>
        <v>75.859858144898126</v>
      </c>
      <c r="AD44" s="35">
        <f t="shared" si="16"/>
        <v>79.106660073499754</v>
      </c>
      <c r="AE44" s="35">
        <f t="shared" si="16"/>
        <v>82.49242512464555</v>
      </c>
      <c r="AF44" s="35">
        <f t="shared" si="16"/>
        <v>86.023100919980365</v>
      </c>
      <c r="AG44" s="35">
        <f t="shared" si="16"/>
        <v>89.704889639355528</v>
      </c>
      <c r="AH44" s="35">
        <f t="shared" si="16"/>
        <v>93.54425891591994</v>
      </c>
      <c r="AI44" s="35">
        <f t="shared" si="16"/>
        <v>97.547953197521309</v>
      </c>
      <c r="AJ44" s="35">
        <f t="shared" ref="AJ44:AS47" si="17">MMULT(AF34:AJ34,AJ$15:AJ$19)</f>
        <v>101.72300559437524</v>
      </c>
      <c r="AK44" s="35">
        <f t="shared" si="17"/>
        <v>106.07675023381447</v>
      </c>
      <c r="AL44" s="35">
        <f t="shared" si="17"/>
        <v>110.61683514382173</v>
      </c>
      <c r="AM44" s="35">
        <f t="shared" si="17"/>
        <v>115.35123568797729</v>
      </c>
      <c r="AN44" s="35">
        <f t="shared" si="17"/>
        <v>120.28826857542272</v>
      </c>
      <c r="AO44" s="35">
        <f t="shared" si="17"/>
        <v>41.297062089176485</v>
      </c>
      <c r="AP44" s="35">
        <f t="shared" si="17"/>
        <v>0</v>
      </c>
      <c r="AQ44" s="35">
        <f t="shared" si="17"/>
        <v>0</v>
      </c>
      <c r="AR44" s="35">
        <f t="shared" si="17"/>
        <v>0</v>
      </c>
      <c r="AS44" s="35">
        <f t="shared" si="17"/>
        <v>0</v>
      </c>
      <c r="AT44" s="35">
        <f t="shared" ref="AT44:BB47" si="18">MMULT(AP34:AT34,AT$15:AT$19)</f>
        <v>0</v>
      </c>
      <c r="AU44" s="35">
        <f t="shared" si="18"/>
        <v>0</v>
      </c>
      <c r="AV44" s="35">
        <f t="shared" si="18"/>
        <v>0</v>
      </c>
      <c r="AW44" s="35">
        <f t="shared" si="18"/>
        <v>0</v>
      </c>
      <c r="AX44" s="35">
        <f t="shared" si="18"/>
        <v>0</v>
      </c>
      <c r="AY44" s="35">
        <f t="shared" si="18"/>
        <v>0</v>
      </c>
      <c r="AZ44" s="35">
        <f t="shared" si="18"/>
        <v>0</v>
      </c>
      <c r="BA44" s="35">
        <f t="shared" si="18"/>
        <v>0</v>
      </c>
      <c r="BB44" s="35">
        <f t="shared" si="18"/>
        <v>0</v>
      </c>
    </row>
    <row r="45" spans="1:55" ht="15" customHeight="1">
      <c r="A45" s="19"/>
      <c r="D45" s="19"/>
      <c r="E45" s="19" t="str">
        <f>"NPV of "&amp;E35</f>
        <v>NPV of Revenue assessed for cap</v>
      </c>
      <c r="G45" s="5" t="s">
        <v>248</v>
      </c>
      <c r="H45" s="19" t="s">
        <v>527</v>
      </c>
      <c r="L45" s="31"/>
      <c r="M45" s="31"/>
      <c r="N45" s="31"/>
      <c r="O45" s="31"/>
      <c r="P45" s="35">
        <f t="shared" si="15"/>
        <v>0</v>
      </c>
      <c r="Q45" s="35">
        <f t="shared" si="15"/>
        <v>0</v>
      </c>
      <c r="R45" s="35">
        <f t="shared" si="15"/>
        <v>0</v>
      </c>
      <c r="S45" s="35">
        <f t="shared" si="15"/>
        <v>0</v>
      </c>
      <c r="T45" s="35">
        <f t="shared" si="15"/>
        <v>0</v>
      </c>
      <c r="U45" s="35">
        <f t="shared" si="15"/>
        <v>0</v>
      </c>
      <c r="V45" s="35">
        <f t="shared" si="15"/>
        <v>0</v>
      </c>
      <c r="W45" s="35">
        <f t="shared" si="15"/>
        <v>0</v>
      </c>
      <c r="X45" s="35">
        <f t="shared" si="15"/>
        <v>0</v>
      </c>
      <c r="Y45" s="35">
        <f t="shared" si="15"/>
        <v>0</v>
      </c>
      <c r="Z45" s="35">
        <f t="shared" si="16"/>
        <v>0</v>
      </c>
      <c r="AA45" s="35">
        <f t="shared" si="16"/>
        <v>0</v>
      </c>
      <c r="AB45" s="35">
        <f t="shared" si="16"/>
        <v>0</v>
      </c>
      <c r="AC45" s="35">
        <f t="shared" si="16"/>
        <v>0</v>
      </c>
      <c r="AD45" s="35">
        <f t="shared" si="16"/>
        <v>0</v>
      </c>
      <c r="AE45" s="35">
        <f t="shared" si="16"/>
        <v>0</v>
      </c>
      <c r="AF45" s="35">
        <f t="shared" si="16"/>
        <v>0</v>
      </c>
      <c r="AG45" s="35">
        <f t="shared" si="16"/>
        <v>0</v>
      </c>
      <c r="AH45" s="35">
        <f t="shared" si="16"/>
        <v>0</v>
      </c>
      <c r="AI45" s="35">
        <f t="shared" si="16"/>
        <v>0</v>
      </c>
      <c r="AJ45" s="35">
        <f t="shared" si="17"/>
        <v>0</v>
      </c>
      <c r="AK45" s="35">
        <f t="shared" si="17"/>
        <v>0</v>
      </c>
      <c r="AL45" s="35">
        <f t="shared" si="17"/>
        <v>0</v>
      </c>
      <c r="AM45" s="35">
        <f t="shared" si="17"/>
        <v>0</v>
      </c>
      <c r="AN45" s="35">
        <f t="shared" si="17"/>
        <v>0</v>
      </c>
      <c r="AO45" s="35">
        <f t="shared" si="17"/>
        <v>0</v>
      </c>
      <c r="AP45" s="35">
        <f t="shared" si="17"/>
        <v>0</v>
      </c>
      <c r="AQ45" s="35">
        <f t="shared" si="17"/>
        <v>0</v>
      </c>
      <c r="AR45" s="35">
        <f t="shared" si="17"/>
        <v>0</v>
      </c>
      <c r="AS45" s="35">
        <f t="shared" si="17"/>
        <v>0</v>
      </c>
      <c r="AT45" s="35">
        <f t="shared" si="18"/>
        <v>0</v>
      </c>
      <c r="AU45" s="35">
        <f t="shared" si="18"/>
        <v>0</v>
      </c>
      <c r="AV45" s="35">
        <f t="shared" si="18"/>
        <v>0</v>
      </c>
      <c r="AW45" s="35">
        <f t="shared" si="18"/>
        <v>0</v>
      </c>
      <c r="AX45" s="35">
        <f t="shared" si="18"/>
        <v>0</v>
      </c>
      <c r="AY45" s="35">
        <f t="shared" si="18"/>
        <v>0</v>
      </c>
      <c r="AZ45" s="35">
        <f t="shared" si="18"/>
        <v>0</v>
      </c>
      <c r="BA45" s="35">
        <f t="shared" si="18"/>
        <v>0</v>
      </c>
      <c r="BB45" s="35">
        <f t="shared" si="18"/>
        <v>0</v>
      </c>
    </row>
    <row r="46" spans="1:55" ht="15" customHeight="1">
      <c r="A46" s="19"/>
      <c r="D46" s="19"/>
      <c r="E46" s="19" t="str">
        <f>"NPV of "&amp;E36</f>
        <v>NPV of Notional Floor (post-availability incentive)</v>
      </c>
      <c r="G46" s="5" t="s">
        <v>248</v>
      </c>
      <c r="H46" s="19" t="s">
        <v>528</v>
      </c>
      <c r="L46" s="31"/>
      <c r="M46" s="31"/>
      <c r="N46" s="31"/>
      <c r="O46" s="31"/>
      <c r="P46" s="35">
        <f t="shared" si="15"/>
        <v>0</v>
      </c>
      <c r="Q46" s="35">
        <f t="shared" si="15"/>
        <v>0</v>
      </c>
      <c r="R46" s="35">
        <f t="shared" si="15"/>
        <v>0</v>
      </c>
      <c r="S46" s="35">
        <f t="shared" si="15"/>
        <v>24.205308577085852</v>
      </c>
      <c r="T46" s="35">
        <f t="shared" si="15"/>
        <v>25.339064090865126</v>
      </c>
      <c r="U46" s="35">
        <f t="shared" si="15"/>
        <v>27.328469291029048</v>
      </c>
      <c r="V46" s="35">
        <f t="shared" si="15"/>
        <v>28.498127776685092</v>
      </c>
      <c r="W46" s="35">
        <f t="shared" si="15"/>
        <v>29.717847645527215</v>
      </c>
      <c r="X46" s="35">
        <f t="shared" si="15"/>
        <v>30.989771524755774</v>
      </c>
      <c r="Y46" s="35">
        <f t="shared" si="15"/>
        <v>32.316133746015318</v>
      </c>
      <c r="Z46" s="35">
        <f t="shared" si="16"/>
        <v>33.69926427034477</v>
      </c>
      <c r="AA46" s="35">
        <f t="shared" si="16"/>
        <v>35.141592781115527</v>
      </c>
      <c r="AB46" s="35">
        <f t="shared" si="16"/>
        <v>36.645652952147266</v>
      </c>
      <c r="AC46" s="35">
        <f t="shared" si="16"/>
        <v>38.214086898499168</v>
      </c>
      <c r="AD46" s="35">
        <f t="shared" si="16"/>
        <v>39.84964981775493</v>
      </c>
      <c r="AE46" s="35">
        <f t="shared" si="16"/>
        <v>41.555214829954842</v>
      </c>
      <c r="AF46" s="35">
        <f t="shared" si="16"/>
        <v>43.333778024676917</v>
      </c>
      <c r="AG46" s="35">
        <f t="shared" si="16"/>
        <v>45.188463724133079</v>
      </c>
      <c r="AH46" s="35">
        <f t="shared" si="16"/>
        <v>47.122529971525978</v>
      </c>
      <c r="AI46" s="35">
        <f t="shared" si="16"/>
        <v>49.139374254307278</v>
      </c>
      <c r="AJ46" s="35">
        <f t="shared" si="17"/>
        <v>51.242539472391634</v>
      </c>
      <c r="AK46" s="35">
        <f t="shared" si="17"/>
        <v>53.435720161809996</v>
      </c>
      <c r="AL46" s="35">
        <f t="shared" si="17"/>
        <v>55.72276898473546</v>
      </c>
      <c r="AM46" s="35">
        <f t="shared" si="17"/>
        <v>58.107703497282138</v>
      </c>
      <c r="AN46" s="35">
        <f t="shared" si="17"/>
        <v>60.594713206965807</v>
      </c>
      <c r="AO46" s="35">
        <f t="shared" si="17"/>
        <v>20.803222651882074</v>
      </c>
      <c r="AP46" s="35">
        <f t="shared" si="17"/>
        <v>0</v>
      </c>
      <c r="AQ46" s="35">
        <f t="shared" si="17"/>
        <v>0</v>
      </c>
      <c r="AR46" s="35">
        <f t="shared" si="17"/>
        <v>0</v>
      </c>
      <c r="AS46" s="35">
        <f t="shared" si="17"/>
        <v>0</v>
      </c>
      <c r="AT46" s="35">
        <f t="shared" si="18"/>
        <v>0</v>
      </c>
      <c r="AU46" s="35">
        <f t="shared" si="18"/>
        <v>0</v>
      </c>
      <c r="AV46" s="35">
        <f t="shared" si="18"/>
        <v>0</v>
      </c>
      <c r="AW46" s="35">
        <f t="shared" si="18"/>
        <v>0</v>
      </c>
      <c r="AX46" s="35">
        <f t="shared" si="18"/>
        <v>0</v>
      </c>
      <c r="AY46" s="35">
        <f t="shared" si="18"/>
        <v>0</v>
      </c>
      <c r="AZ46" s="35">
        <f t="shared" si="18"/>
        <v>0</v>
      </c>
      <c r="BA46" s="35">
        <f t="shared" si="18"/>
        <v>0</v>
      </c>
      <c r="BB46" s="35">
        <f t="shared" si="18"/>
        <v>0</v>
      </c>
    </row>
    <row r="47" spans="1:55" ht="15" customHeight="1">
      <c r="A47" s="19"/>
      <c r="D47" s="19"/>
      <c r="E47" s="19" t="str">
        <f>"NPV of "&amp;E37</f>
        <v>NPV of Actual Floor (post-availability incentive)</v>
      </c>
      <c r="G47" s="5" t="s">
        <v>248</v>
      </c>
      <c r="H47" s="19" t="s">
        <v>529</v>
      </c>
      <c r="L47" s="31"/>
      <c r="M47" s="31"/>
      <c r="N47" s="31"/>
      <c r="O47" s="31"/>
      <c r="P47" s="35">
        <f t="shared" si="15"/>
        <v>0</v>
      </c>
      <c r="Q47" s="35">
        <f t="shared" si="15"/>
        <v>0</v>
      </c>
      <c r="R47" s="35">
        <f t="shared" si="15"/>
        <v>0</v>
      </c>
      <c r="S47" s="35">
        <f t="shared" si="15"/>
        <v>24.996499711583155</v>
      </c>
      <c r="T47" s="35">
        <f t="shared" si="15"/>
        <v>25.577046282690425</v>
      </c>
      <c r="U47" s="35">
        <f t="shared" si="15"/>
        <v>24.383897278477871</v>
      </c>
      <c r="V47" s="35">
        <f t="shared" si="15"/>
        <v>25.082200293143497</v>
      </c>
      <c r="W47" s="35">
        <f t="shared" si="15"/>
        <v>25.804520104426306</v>
      </c>
      <c r="X47" s="35">
        <f t="shared" si="15"/>
        <v>26.551784831490533</v>
      </c>
      <c r="Y47" s="35">
        <f t="shared" si="15"/>
        <v>27.324960620405221</v>
      </c>
      <c r="Z47" s="35">
        <f t="shared" si="16"/>
        <v>28.125053242853614</v>
      </c>
      <c r="AA47" s="35">
        <f t="shared" si="16"/>
        <v>28.953109762777018</v>
      </c>
      <c r="AB47" s="35">
        <f t="shared" si="16"/>
        <v>29.810220273852348</v>
      </c>
      <c r="AC47" s="35">
        <f t="shared" si="16"/>
        <v>30.697519710826572</v>
      </c>
      <c r="AD47" s="35">
        <f t="shared" si="16"/>
        <v>31.616189737860612</v>
      </c>
      <c r="AE47" s="35">
        <f t="shared" si="16"/>
        <v>32.567460717169681</v>
      </c>
      <c r="AF47" s="35">
        <f t="shared" si="16"/>
        <v>33.552613761388173</v>
      </c>
      <c r="AG47" s="35">
        <f t="shared" si="16"/>
        <v>34.572982873233116</v>
      </c>
      <c r="AH47" s="35">
        <f t="shared" si="16"/>
        <v>35.629957176193585</v>
      </c>
      <c r="AI47" s="35">
        <f t="shared" si="16"/>
        <v>36.724983240132545</v>
      </c>
      <c r="AJ47" s="35">
        <f t="shared" si="17"/>
        <v>37.859567505853654</v>
      </c>
      <c r="AK47" s="35">
        <f t="shared" si="17"/>
        <v>39.035278812859367</v>
      </c>
      <c r="AL47" s="35">
        <f t="shared" si="17"/>
        <v>38.777353960261244</v>
      </c>
      <c r="AM47" s="35">
        <f t="shared" si="17"/>
        <v>23.38705442240024</v>
      </c>
      <c r="AN47" s="35">
        <f t="shared" si="17"/>
        <v>24.388020351678964</v>
      </c>
      <c r="AO47" s="35">
        <f t="shared" si="17"/>
        <v>8.3728330503309571</v>
      </c>
      <c r="AP47" s="35">
        <f t="shared" si="17"/>
        <v>0</v>
      </c>
      <c r="AQ47" s="35">
        <f t="shared" si="17"/>
        <v>0</v>
      </c>
      <c r="AR47" s="35">
        <f t="shared" si="17"/>
        <v>0</v>
      </c>
      <c r="AS47" s="35">
        <f t="shared" si="17"/>
        <v>0</v>
      </c>
      <c r="AT47" s="35">
        <f t="shared" si="18"/>
        <v>0</v>
      </c>
      <c r="AU47" s="35">
        <f t="shared" si="18"/>
        <v>0</v>
      </c>
      <c r="AV47" s="35">
        <f t="shared" si="18"/>
        <v>0</v>
      </c>
      <c r="AW47" s="35">
        <f t="shared" si="18"/>
        <v>0</v>
      </c>
      <c r="AX47" s="35">
        <f t="shared" si="18"/>
        <v>0</v>
      </c>
      <c r="AY47" s="35">
        <f t="shared" si="18"/>
        <v>0</v>
      </c>
      <c r="AZ47" s="35">
        <f t="shared" si="18"/>
        <v>0</v>
      </c>
      <c r="BA47" s="35">
        <f t="shared" si="18"/>
        <v>0</v>
      </c>
      <c r="BB47" s="35">
        <f t="shared" si="18"/>
        <v>0</v>
      </c>
    </row>
    <row r="48" spans="1:55" ht="15" customHeight="1">
      <c r="A48" s="19"/>
      <c r="D48" s="19"/>
      <c r="E48" s="19" t="str">
        <f>"NPV of "&amp;E39</f>
        <v>NPV of Revenue assessed for Notional floor</v>
      </c>
      <c r="G48" s="5" t="s">
        <v>248</v>
      </c>
      <c r="H48" s="19" t="s">
        <v>527</v>
      </c>
      <c r="L48" s="31"/>
      <c r="M48" s="31"/>
      <c r="N48" s="31"/>
      <c r="O48" s="31"/>
      <c r="P48" s="35">
        <f t="shared" ref="P48:Y49" si="19">MMULT(L39:P39,P$15:P$19)</f>
        <v>0</v>
      </c>
      <c r="Q48" s="35">
        <f t="shared" si="19"/>
        <v>0</v>
      </c>
      <c r="R48" s="35">
        <f t="shared" si="19"/>
        <v>0</v>
      </c>
      <c r="S48" s="35">
        <f t="shared" si="19"/>
        <v>0</v>
      </c>
      <c r="T48" s="35">
        <f t="shared" si="19"/>
        <v>0</v>
      </c>
      <c r="U48" s="35">
        <f t="shared" si="19"/>
        <v>0</v>
      </c>
      <c r="V48" s="35">
        <f t="shared" si="19"/>
        <v>0</v>
      </c>
      <c r="W48" s="35">
        <f t="shared" si="19"/>
        <v>0</v>
      </c>
      <c r="X48" s="35">
        <f t="shared" si="19"/>
        <v>0</v>
      </c>
      <c r="Y48" s="35">
        <f t="shared" si="19"/>
        <v>0</v>
      </c>
      <c r="Z48" s="35">
        <f t="shared" ref="Z48:AI49" si="20">MMULT(V39:Z39,Z$15:Z$19)</f>
        <v>0</v>
      </c>
      <c r="AA48" s="35">
        <f t="shared" si="20"/>
        <v>0</v>
      </c>
      <c r="AB48" s="35">
        <f t="shared" si="20"/>
        <v>0</v>
      </c>
      <c r="AC48" s="35">
        <f t="shared" si="20"/>
        <v>0</v>
      </c>
      <c r="AD48" s="35">
        <f t="shared" si="20"/>
        <v>0</v>
      </c>
      <c r="AE48" s="35">
        <f t="shared" si="20"/>
        <v>0</v>
      </c>
      <c r="AF48" s="35">
        <f t="shared" si="20"/>
        <v>0</v>
      </c>
      <c r="AG48" s="35">
        <f t="shared" si="20"/>
        <v>0</v>
      </c>
      <c r="AH48" s="35">
        <f t="shared" si="20"/>
        <v>0</v>
      </c>
      <c r="AI48" s="35">
        <f t="shared" si="20"/>
        <v>0</v>
      </c>
      <c r="AJ48" s="35">
        <f t="shared" ref="AJ48:AS49" si="21">MMULT(AF39:AJ39,AJ$15:AJ$19)</f>
        <v>0</v>
      </c>
      <c r="AK48" s="35">
        <f t="shared" si="21"/>
        <v>0</v>
      </c>
      <c r="AL48" s="35">
        <f t="shared" si="21"/>
        <v>0</v>
      </c>
      <c r="AM48" s="35">
        <f t="shared" si="21"/>
        <v>0</v>
      </c>
      <c r="AN48" s="35">
        <f t="shared" si="21"/>
        <v>0</v>
      </c>
      <c r="AO48" s="35">
        <f t="shared" si="21"/>
        <v>0</v>
      </c>
      <c r="AP48" s="35">
        <f t="shared" si="21"/>
        <v>0</v>
      </c>
      <c r="AQ48" s="35">
        <f t="shared" si="21"/>
        <v>0</v>
      </c>
      <c r="AR48" s="35">
        <f t="shared" si="21"/>
        <v>0</v>
      </c>
      <c r="AS48" s="35">
        <f t="shared" si="21"/>
        <v>0</v>
      </c>
      <c r="AT48" s="35">
        <f t="shared" ref="AT48:BB49" si="22">MMULT(AP39:AT39,AT$15:AT$19)</f>
        <v>0</v>
      </c>
      <c r="AU48" s="35">
        <f t="shared" si="22"/>
        <v>0</v>
      </c>
      <c r="AV48" s="35">
        <f t="shared" si="22"/>
        <v>0</v>
      </c>
      <c r="AW48" s="35">
        <f t="shared" si="22"/>
        <v>0</v>
      </c>
      <c r="AX48" s="35">
        <f t="shared" si="22"/>
        <v>0</v>
      </c>
      <c r="AY48" s="35">
        <f t="shared" si="22"/>
        <v>0</v>
      </c>
      <c r="AZ48" s="35">
        <f t="shared" si="22"/>
        <v>0</v>
      </c>
      <c r="BA48" s="35">
        <f t="shared" si="22"/>
        <v>0</v>
      </c>
      <c r="BB48" s="35">
        <f t="shared" si="22"/>
        <v>0</v>
      </c>
    </row>
    <row r="49" spans="1:55" ht="15" customHeight="1">
      <c r="A49" s="19"/>
      <c r="D49" s="19"/>
      <c r="E49" s="19" t="str">
        <f>"NPV of "&amp;E40</f>
        <v>NPV of Revenue assessed for Actual floor</v>
      </c>
      <c r="G49" s="5" t="s">
        <v>248</v>
      </c>
      <c r="H49" s="19" t="s">
        <v>528</v>
      </c>
      <c r="L49" s="31"/>
      <c r="M49" s="31"/>
      <c r="N49" s="31"/>
      <c r="O49" s="31"/>
      <c r="P49" s="35">
        <f t="shared" si="19"/>
        <v>0</v>
      </c>
      <c r="Q49" s="35">
        <f t="shared" si="19"/>
        <v>0</v>
      </c>
      <c r="R49" s="35">
        <f t="shared" si="19"/>
        <v>0</v>
      </c>
      <c r="S49" s="35">
        <f t="shared" si="19"/>
        <v>0</v>
      </c>
      <c r="T49" s="35">
        <f t="shared" si="19"/>
        <v>0</v>
      </c>
      <c r="U49" s="35">
        <f t="shared" si="19"/>
        <v>0</v>
      </c>
      <c r="V49" s="35">
        <f t="shared" si="19"/>
        <v>0</v>
      </c>
      <c r="W49" s="35">
        <f t="shared" si="19"/>
        <v>0</v>
      </c>
      <c r="X49" s="35">
        <f t="shared" si="19"/>
        <v>0</v>
      </c>
      <c r="Y49" s="35">
        <f t="shared" si="19"/>
        <v>0</v>
      </c>
      <c r="Z49" s="35">
        <f t="shared" si="20"/>
        <v>0</v>
      </c>
      <c r="AA49" s="35">
        <f t="shared" si="20"/>
        <v>0</v>
      </c>
      <c r="AB49" s="35">
        <f t="shared" si="20"/>
        <v>0</v>
      </c>
      <c r="AC49" s="35">
        <f t="shared" si="20"/>
        <v>0</v>
      </c>
      <c r="AD49" s="35">
        <f t="shared" si="20"/>
        <v>0</v>
      </c>
      <c r="AE49" s="35">
        <f t="shared" si="20"/>
        <v>0</v>
      </c>
      <c r="AF49" s="35">
        <f t="shared" si="20"/>
        <v>0</v>
      </c>
      <c r="AG49" s="35">
        <f t="shared" si="20"/>
        <v>0</v>
      </c>
      <c r="AH49" s="35">
        <f t="shared" si="20"/>
        <v>0</v>
      </c>
      <c r="AI49" s="35">
        <f t="shared" si="20"/>
        <v>0</v>
      </c>
      <c r="AJ49" s="35">
        <f t="shared" si="21"/>
        <v>0</v>
      </c>
      <c r="AK49" s="35">
        <f t="shared" si="21"/>
        <v>0</v>
      </c>
      <c r="AL49" s="35">
        <f t="shared" si="21"/>
        <v>0</v>
      </c>
      <c r="AM49" s="35">
        <f t="shared" si="21"/>
        <v>0</v>
      </c>
      <c r="AN49" s="35">
        <f t="shared" si="21"/>
        <v>0</v>
      </c>
      <c r="AO49" s="35">
        <f t="shared" si="21"/>
        <v>0</v>
      </c>
      <c r="AP49" s="35">
        <f t="shared" si="21"/>
        <v>0</v>
      </c>
      <c r="AQ49" s="35">
        <f t="shared" si="21"/>
        <v>0</v>
      </c>
      <c r="AR49" s="35">
        <f t="shared" si="21"/>
        <v>0</v>
      </c>
      <c r="AS49" s="35">
        <f t="shared" si="21"/>
        <v>0</v>
      </c>
      <c r="AT49" s="35">
        <f t="shared" si="22"/>
        <v>0</v>
      </c>
      <c r="AU49" s="35">
        <f t="shared" si="22"/>
        <v>0</v>
      </c>
      <c r="AV49" s="35">
        <f t="shared" si="22"/>
        <v>0</v>
      </c>
      <c r="AW49" s="35">
        <f t="shared" si="22"/>
        <v>0</v>
      </c>
      <c r="AX49" s="35">
        <f t="shared" si="22"/>
        <v>0</v>
      </c>
      <c r="AY49" s="35">
        <f t="shared" si="22"/>
        <v>0</v>
      </c>
      <c r="AZ49" s="35">
        <f t="shared" si="22"/>
        <v>0</v>
      </c>
      <c r="BA49" s="35">
        <f t="shared" si="22"/>
        <v>0</v>
      </c>
      <c r="BB49" s="35">
        <f t="shared" si="22"/>
        <v>0</v>
      </c>
    </row>
    <row r="50" spans="1:55" ht="15" customHeight="1">
      <c r="A50" s="19"/>
      <c r="D50" s="19"/>
      <c r="O50" s="32"/>
      <c r="P50" s="32"/>
      <c r="Q50" s="32"/>
      <c r="R50" s="32"/>
      <c r="S50" s="32"/>
      <c r="T50" s="32"/>
      <c r="U50" s="32"/>
      <c r="V50" s="32"/>
      <c r="W50" s="32"/>
      <c r="X50" s="32"/>
      <c r="Y50" s="32"/>
      <c r="Z50" s="32"/>
      <c r="AA50" s="32"/>
      <c r="AB50" s="32"/>
      <c r="AC50" s="32"/>
      <c r="AD50" s="32"/>
      <c r="AE50" s="65"/>
      <c r="AF50" s="65"/>
      <c r="AG50" s="65"/>
      <c r="AH50" s="65"/>
      <c r="AI50" s="65"/>
      <c r="AJ50" s="65"/>
      <c r="AK50" s="65"/>
      <c r="AL50" s="65"/>
      <c r="AM50" s="65"/>
      <c r="AN50" s="65"/>
      <c r="AO50" s="65"/>
      <c r="AP50" s="65"/>
      <c r="AQ50" s="65"/>
      <c r="AR50" s="65"/>
      <c r="AS50" s="65"/>
      <c r="AT50" s="65"/>
      <c r="AU50" s="65"/>
      <c r="AV50" s="65"/>
      <c r="AW50" s="65"/>
      <c r="AX50" s="65"/>
      <c r="AY50" s="65"/>
      <c r="AZ50" s="65"/>
      <c r="BA50" s="65"/>
      <c r="BB50" s="65"/>
    </row>
    <row r="51" spans="1:55" s="59" customFormat="1" ht="15" customHeight="1">
      <c r="C51" s="38" t="s">
        <v>530</v>
      </c>
      <c r="D51" s="38"/>
      <c r="E51" s="38"/>
      <c r="F51" s="38"/>
      <c r="G51" s="38"/>
      <c r="H51" s="38"/>
      <c r="I51" s="38"/>
      <c r="J51" s="38"/>
      <c r="K51" s="38"/>
      <c r="L51" s="38"/>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row>
    <row r="52" spans="1:55" ht="15" customHeight="1">
      <c r="A52" s="5"/>
      <c r="B52" s="5"/>
      <c r="C52" s="5"/>
      <c r="D52" s="5"/>
      <c r="E52" s="5"/>
      <c r="F52" s="5"/>
      <c r="G52" s="5"/>
      <c r="H52" s="5"/>
      <c r="I52" s="5"/>
      <c r="J52" s="5"/>
      <c r="K52" s="5"/>
      <c r="L52" s="5"/>
      <c r="M52" s="5"/>
      <c r="N52" s="5"/>
      <c r="O52" s="5"/>
      <c r="P52" s="5"/>
      <c r="Q52" s="5"/>
      <c r="R52" s="5"/>
      <c r="S52" s="5"/>
      <c r="T52" s="5"/>
      <c r="U52" s="5"/>
      <c r="V52" s="5"/>
      <c r="W52" s="5"/>
      <c r="X52" s="5"/>
      <c r="Y52" s="5"/>
      <c r="Z52" s="5"/>
      <c r="AD52" s="65"/>
      <c r="AE52" s="65"/>
      <c r="AF52" s="65"/>
      <c r="AG52" s="65"/>
      <c r="AH52" s="65"/>
      <c r="AI52" s="65"/>
      <c r="AJ52" s="65"/>
      <c r="AK52" s="65"/>
      <c r="AL52" s="65"/>
      <c r="AM52" s="65"/>
      <c r="AN52" s="65"/>
      <c r="AO52" s="65"/>
      <c r="AP52" s="65"/>
      <c r="AQ52" s="65"/>
      <c r="AR52" s="65"/>
      <c r="AS52" s="65"/>
      <c r="AT52" s="65"/>
      <c r="AU52" s="65"/>
      <c r="AV52" s="65"/>
      <c r="AW52" s="65"/>
      <c r="AX52" s="65"/>
      <c r="AY52" s="65"/>
      <c r="AZ52" s="65"/>
      <c r="BA52" s="65"/>
      <c r="BB52" s="65"/>
    </row>
    <row r="53" spans="1:55" ht="15" customHeight="1">
      <c r="A53" s="19"/>
      <c r="D53" s="19"/>
      <c r="E53" s="12" t="str">
        <f>Inputs!E83</f>
        <v>Assessment period length</v>
      </c>
      <c r="F53" s="17"/>
      <c r="G53" s="12" t="str">
        <f>Inputs!G83</f>
        <v>full years</v>
      </c>
      <c r="I53" s="12">
        <f>Inputs!I83</f>
        <v>1</v>
      </c>
      <c r="W53" s="65"/>
      <c r="X53" s="65"/>
      <c r="Y53" s="65"/>
      <c r="Z53" s="65"/>
      <c r="AA53" s="65"/>
      <c r="AB53" s="65"/>
      <c r="AC53" s="65"/>
      <c r="AD53" s="65"/>
      <c r="AE53" s="65"/>
      <c r="AF53" s="65"/>
      <c r="AG53" s="65"/>
      <c r="AH53" s="65"/>
      <c r="AI53" s="65"/>
      <c r="AJ53" s="65"/>
      <c r="AK53" s="65"/>
      <c r="AL53" s="65"/>
      <c r="AM53" s="65"/>
      <c r="AN53" s="65"/>
      <c r="AO53" s="65"/>
      <c r="AP53" s="65"/>
      <c r="AQ53" s="65"/>
      <c r="AR53" s="65"/>
      <c r="AS53" s="65"/>
      <c r="AT53" s="65"/>
      <c r="AU53" s="65"/>
      <c r="AV53" s="65"/>
      <c r="AW53" s="65"/>
      <c r="AX53" s="65"/>
      <c r="AY53" s="65"/>
      <c r="AZ53" s="65"/>
      <c r="BA53" s="65"/>
      <c r="BB53" s="65"/>
    </row>
    <row r="54" spans="1:55" ht="15" customHeight="1">
      <c r="A54" s="19"/>
      <c r="D54" s="19"/>
      <c r="E54" s="19" t="s">
        <v>531</v>
      </c>
      <c r="G54" s="19" t="s">
        <v>188</v>
      </c>
      <c r="L54" s="31"/>
      <c r="M54" s="31"/>
      <c r="N54" s="31"/>
      <c r="O54" s="31"/>
      <c r="P54" s="12" t="b">
        <f t="shared" ref="P54:BB54" si="23">AND(MOD(P$5,$I53)=0,P$5&gt;=$I53)</f>
        <v>1</v>
      </c>
      <c r="Q54" s="12" t="b">
        <f t="shared" si="23"/>
        <v>1</v>
      </c>
      <c r="R54" s="12" t="b">
        <f t="shared" si="23"/>
        <v>1</v>
      </c>
      <c r="S54" s="12" t="b">
        <f t="shared" si="23"/>
        <v>1</v>
      </c>
      <c r="T54" s="12" t="b">
        <f t="shared" si="23"/>
        <v>1</v>
      </c>
      <c r="U54" s="12" t="b">
        <f t="shared" si="23"/>
        <v>1</v>
      </c>
      <c r="V54" s="12" t="b">
        <f t="shared" si="23"/>
        <v>1</v>
      </c>
      <c r="W54" s="12" t="b">
        <f t="shared" si="23"/>
        <v>1</v>
      </c>
      <c r="X54" s="12" t="b">
        <f t="shared" si="23"/>
        <v>1</v>
      </c>
      <c r="Y54" s="12" t="b">
        <f t="shared" si="23"/>
        <v>1</v>
      </c>
      <c r="Z54" s="12" t="b">
        <f t="shared" si="23"/>
        <v>1</v>
      </c>
      <c r="AA54" s="12" t="b">
        <f t="shared" si="23"/>
        <v>1</v>
      </c>
      <c r="AB54" s="12" t="b">
        <f t="shared" si="23"/>
        <v>1</v>
      </c>
      <c r="AC54" s="12" t="b">
        <f t="shared" si="23"/>
        <v>1</v>
      </c>
      <c r="AD54" s="12" t="b">
        <f t="shared" si="23"/>
        <v>1</v>
      </c>
      <c r="AE54" s="12" t="b">
        <f t="shared" si="23"/>
        <v>1</v>
      </c>
      <c r="AF54" s="12" t="b">
        <f t="shared" si="23"/>
        <v>1</v>
      </c>
      <c r="AG54" s="12" t="b">
        <f t="shared" si="23"/>
        <v>1</v>
      </c>
      <c r="AH54" s="12" t="b">
        <f t="shared" si="23"/>
        <v>1</v>
      </c>
      <c r="AI54" s="12" t="b">
        <f t="shared" si="23"/>
        <v>1</v>
      </c>
      <c r="AJ54" s="12" t="b">
        <f t="shared" si="23"/>
        <v>1</v>
      </c>
      <c r="AK54" s="12" t="b">
        <f t="shared" si="23"/>
        <v>1</v>
      </c>
      <c r="AL54" s="12" t="b">
        <f t="shared" si="23"/>
        <v>1</v>
      </c>
      <c r="AM54" s="12" t="b">
        <f t="shared" si="23"/>
        <v>1</v>
      </c>
      <c r="AN54" s="12" t="b">
        <f t="shared" si="23"/>
        <v>1</v>
      </c>
      <c r="AO54" s="12" t="b">
        <f t="shared" si="23"/>
        <v>1</v>
      </c>
      <c r="AP54" s="12" t="b">
        <f t="shared" si="23"/>
        <v>1</v>
      </c>
      <c r="AQ54" s="12" t="b">
        <f t="shared" si="23"/>
        <v>1</v>
      </c>
      <c r="AR54" s="12" t="b">
        <f t="shared" si="23"/>
        <v>1</v>
      </c>
      <c r="AS54" s="12" t="b">
        <f t="shared" si="23"/>
        <v>1</v>
      </c>
      <c r="AT54" s="12" t="b">
        <f t="shared" si="23"/>
        <v>1</v>
      </c>
      <c r="AU54" s="12" t="b">
        <f t="shared" si="23"/>
        <v>1</v>
      </c>
      <c r="AV54" s="12" t="b">
        <f t="shared" si="23"/>
        <v>1</v>
      </c>
      <c r="AW54" s="12" t="b">
        <f t="shared" si="23"/>
        <v>1</v>
      </c>
      <c r="AX54" s="12" t="b">
        <f t="shared" si="23"/>
        <v>1</v>
      </c>
      <c r="AY54" s="12" t="b">
        <f t="shared" si="23"/>
        <v>1</v>
      </c>
      <c r="AZ54" s="12" t="b">
        <f t="shared" si="23"/>
        <v>1</v>
      </c>
      <c r="BA54" s="12" t="b">
        <f t="shared" si="23"/>
        <v>1</v>
      </c>
      <c r="BB54" s="12" t="b">
        <f t="shared" si="23"/>
        <v>1</v>
      </c>
    </row>
    <row r="55" spans="1:55" ht="15" customHeight="1"/>
    <row r="56" spans="1:55" ht="15" customHeight="1">
      <c r="E56" s="19" t="s">
        <v>532</v>
      </c>
      <c r="G56" s="5" t="s">
        <v>248</v>
      </c>
      <c r="H56" s="19" t="s">
        <v>533</v>
      </c>
      <c r="L56" s="31"/>
      <c r="M56" s="31"/>
      <c r="N56" s="31"/>
      <c r="O56" s="31"/>
      <c r="P56" s="35">
        <f t="shared" ref="P56:BB56" si="24">P45-P44</f>
        <v>-29.309156829215333</v>
      </c>
      <c r="Q56" s="35">
        <f t="shared" si="24"/>
        <v>-45.564697093203975</v>
      </c>
      <c r="R56" s="35">
        <f t="shared" si="24"/>
        <v>-47.514866128793109</v>
      </c>
      <c r="S56" s="35">
        <f t="shared" si="24"/>
        <v>-49.548502399105445</v>
      </c>
      <c r="T56" s="35">
        <f t="shared" si="24"/>
        <v>-51.699283891367784</v>
      </c>
      <c r="U56" s="35">
        <f t="shared" si="24"/>
        <v>-54.25051262486371</v>
      </c>
      <c r="V56" s="35">
        <f t="shared" si="24"/>
        <v>-56.572434565207871</v>
      </c>
      <c r="W56" s="35">
        <f t="shared" si="24"/>
        <v>-58.99373476459877</v>
      </c>
      <c r="X56" s="35">
        <f t="shared" si="24"/>
        <v>-61.518666612523596</v>
      </c>
      <c r="Y56" s="35">
        <f t="shared" si="24"/>
        <v>-64.151665543539593</v>
      </c>
      <c r="Z56" s="35">
        <f t="shared" si="24"/>
        <v>-66.897356828803098</v>
      </c>
      <c r="AA56" s="35">
        <f t="shared" si="24"/>
        <v>-69.760563701075853</v>
      </c>
      <c r="AB56" s="35">
        <f t="shared" si="24"/>
        <v>-72.746315827481908</v>
      </c>
      <c r="AC56" s="35">
        <f t="shared" si="24"/>
        <v>-75.859858144898126</v>
      </c>
      <c r="AD56" s="35">
        <f t="shared" si="24"/>
        <v>-79.106660073499754</v>
      </c>
      <c r="AE56" s="35">
        <f t="shared" si="24"/>
        <v>-82.49242512464555</v>
      </c>
      <c r="AF56" s="35">
        <f t="shared" si="24"/>
        <v>-86.023100919980365</v>
      </c>
      <c r="AG56" s="35">
        <f t="shared" si="24"/>
        <v>-89.704889639355528</v>
      </c>
      <c r="AH56" s="35">
        <f t="shared" si="24"/>
        <v>-93.54425891591994</v>
      </c>
      <c r="AI56" s="35">
        <f t="shared" si="24"/>
        <v>-97.547953197521309</v>
      </c>
      <c r="AJ56" s="35">
        <f t="shared" si="24"/>
        <v>-101.72300559437524</v>
      </c>
      <c r="AK56" s="35">
        <f t="shared" si="24"/>
        <v>-106.07675023381447</v>
      </c>
      <c r="AL56" s="35">
        <f t="shared" si="24"/>
        <v>-110.61683514382173</v>
      </c>
      <c r="AM56" s="35">
        <f t="shared" si="24"/>
        <v>-115.35123568797729</v>
      </c>
      <c r="AN56" s="35">
        <f t="shared" si="24"/>
        <v>-120.28826857542272</v>
      </c>
      <c r="AO56" s="35">
        <f t="shared" si="24"/>
        <v>-41.297062089176485</v>
      </c>
      <c r="AP56" s="35">
        <f t="shared" si="24"/>
        <v>0</v>
      </c>
      <c r="AQ56" s="35">
        <f t="shared" si="24"/>
        <v>0</v>
      </c>
      <c r="AR56" s="35">
        <f t="shared" si="24"/>
        <v>0</v>
      </c>
      <c r="AS56" s="35">
        <f t="shared" si="24"/>
        <v>0</v>
      </c>
      <c r="AT56" s="35">
        <f t="shared" si="24"/>
        <v>0</v>
      </c>
      <c r="AU56" s="35">
        <f t="shared" si="24"/>
        <v>0</v>
      </c>
      <c r="AV56" s="35">
        <f t="shared" si="24"/>
        <v>0</v>
      </c>
      <c r="AW56" s="35">
        <f t="shared" si="24"/>
        <v>0</v>
      </c>
      <c r="AX56" s="35">
        <f t="shared" si="24"/>
        <v>0</v>
      </c>
      <c r="AY56" s="35">
        <f t="shared" si="24"/>
        <v>0</v>
      </c>
      <c r="AZ56" s="35">
        <f t="shared" si="24"/>
        <v>0</v>
      </c>
      <c r="BA56" s="35">
        <f t="shared" si="24"/>
        <v>0</v>
      </c>
      <c r="BB56" s="35">
        <f t="shared" si="24"/>
        <v>0</v>
      </c>
    </row>
    <row r="57" spans="1:55" ht="15" customHeight="1">
      <c r="E57" s="19" t="s">
        <v>534</v>
      </c>
      <c r="G57" s="5" t="s">
        <v>248</v>
      </c>
      <c r="H57" s="19" t="s">
        <v>535</v>
      </c>
      <c r="L57" s="31"/>
      <c r="M57" s="31"/>
      <c r="N57" s="31"/>
      <c r="O57" s="31"/>
      <c r="P57" s="35">
        <f t="shared" ref="P57:BB57" si="25">IF(P56&gt;0,P56,0)</f>
        <v>0</v>
      </c>
      <c r="Q57" s="35">
        <f t="shared" si="25"/>
        <v>0</v>
      </c>
      <c r="R57" s="35">
        <f t="shared" si="25"/>
        <v>0</v>
      </c>
      <c r="S57" s="35">
        <f t="shared" si="25"/>
        <v>0</v>
      </c>
      <c r="T57" s="35">
        <f t="shared" si="25"/>
        <v>0</v>
      </c>
      <c r="U57" s="35">
        <f t="shared" si="25"/>
        <v>0</v>
      </c>
      <c r="V57" s="35">
        <f t="shared" si="25"/>
        <v>0</v>
      </c>
      <c r="W57" s="35">
        <f t="shared" si="25"/>
        <v>0</v>
      </c>
      <c r="X57" s="35">
        <f t="shared" si="25"/>
        <v>0</v>
      </c>
      <c r="Y57" s="35">
        <f t="shared" si="25"/>
        <v>0</v>
      </c>
      <c r="Z57" s="35">
        <f t="shared" si="25"/>
        <v>0</v>
      </c>
      <c r="AA57" s="35">
        <f t="shared" si="25"/>
        <v>0</v>
      </c>
      <c r="AB57" s="35">
        <f t="shared" si="25"/>
        <v>0</v>
      </c>
      <c r="AC57" s="35">
        <f t="shared" si="25"/>
        <v>0</v>
      </c>
      <c r="AD57" s="35">
        <f t="shared" si="25"/>
        <v>0</v>
      </c>
      <c r="AE57" s="35">
        <f t="shared" si="25"/>
        <v>0</v>
      </c>
      <c r="AF57" s="35">
        <f t="shared" si="25"/>
        <v>0</v>
      </c>
      <c r="AG57" s="35">
        <f t="shared" si="25"/>
        <v>0</v>
      </c>
      <c r="AH57" s="35">
        <f t="shared" si="25"/>
        <v>0</v>
      </c>
      <c r="AI57" s="35">
        <f t="shared" si="25"/>
        <v>0</v>
      </c>
      <c r="AJ57" s="35">
        <f t="shared" si="25"/>
        <v>0</v>
      </c>
      <c r="AK57" s="35">
        <f t="shared" si="25"/>
        <v>0</v>
      </c>
      <c r="AL57" s="35">
        <f t="shared" si="25"/>
        <v>0</v>
      </c>
      <c r="AM57" s="35">
        <f t="shared" si="25"/>
        <v>0</v>
      </c>
      <c r="AN57" s="35">
        <f t="shared" si="25"/>
        <v>0</v>
      </c>
      <c r="AO57" s="35">
        <f t="shared" si="25"/>
        <v>0</v>
      </c>
      <c r="AP57" s="35">
        <f t="shared" si="25"/>
        <v>0</v>
      </c>
      <c r="AQ57" s="35">
        <f t="shared" si="25"/>
        <v>0</v>
      </c>
      <c r="AR57" s="35">
        <f t="shared" si="25"/>
        <v>0</v>
      </c>
      <c r="AS57" s="35">
        <f t="shared" si="25"/>
        <v>0</v>
      </c>
      <c r="AT57" s="35">
        <f t="shared" si="25"/>
        <v>0</v>
      </c>
      <c r="AU57" s="35">
        <f t="shared" si="25"/>
        <v>0</v>
      </c>
      <c r="AV57" s="35">
        <f t="shared" si="25"/>
        <v>0</v>
      </c>
      <c r="AW57" s="35">
        <f t="shared" si="25"/>
        <v>0</v>
      </c>
      <c r="AX57" s="35">
        <f t="shared" si="25"/>
        <v>0</v>
      </c>
      <c r="AY57" s="35">
        <f t="shared" si="25"/>
        <v>0</v>
      </c>
      <c r="AZ57" s="35">
        <f t="shared" si="25"/>
        <v>0</v>
      </c>
      <c r="BA57" s="35">
        <f t="shared" si="25"/>
        <v>0</v>
      </c>
      <c r="BB57" s="35">
        <f t="shared" si="25"/>
        <v>0</v>
      </c>
    </row>
    <row r="58" spans="1:55" ht="15" customHeight="1">
      <c r="I58" s="30"/>
      <c r="P58" s="35"/>
      <c r="Q58" s="35"/>
      <c r="R58" s="35"/>
      <c r="S58" s="35"/>
      <c r="T58" s="35"/>
      <c r="U58" s="35"/>
      <c r="V58" s="35"/>
      <c r="W58" s="35"/>
      <c r="X58" s="35"/>
      <c r="Y58" s="35"/>
      <c r="Z58" s="35"/>
      <c r="AA58" s="35"/>
      <c r="AB58" s="35"/>
      <c r="AC58" s="35"/>
      <c r="AD58" s="35"/>
      <c r="AE58" s="35"/>
      <c r="AF58" s="35"/>
      <c r="AG58" s="35"/>
      <c r="AH58" s="35"/>
      <c r="AI58" s="35"/>
      <c r="AJ58" s="35"/>
      <c r="AK58" s="35"/>
      <c r="AL58" s="35"/>
      <c r="AM58" s="35"/>
      <c r="AN58" s="35"/>
      <c r="AO58" s="35"/>
      <c r="AP58" s="35"/>
      <c r="AQ58" s="35"/>
      <c r="AR58" s="35"/>
      <c r="AS58" s="35"/>
      <c r="AT58" s="35"/>
      <c r="AU58" s="35"/>
      <c r="AV58" s="35"/>
      <c r="AW58" s="35"/>
      <c r="AX58" s="35"/>
      <c r="AY58" s="35"/>
      <c r="AZ58" s="35"/>
      <c r="BA58" s="35"/>
      <c r="BB58" s="35"/>
    </row>
    <row r="59" spans="1:55" ht="15" customHeight="1">
      <c r="E59" s="19" t="s">
        <v>536</v>
      </c>
      <c r="G59" s="5" t="s">
        <v>248</v>
      </c>
      <c r="H59" s="19" t="s">
        <v>537</v>
      </c>
      <c r="I59" s="30"/>
      <c r="L59" s="31"/>
      <c r="M59" s="31"/>
      <c r="N59" s="31"/>
      <c r="O59" s="31"/>
      <c r="P59" s="35">
        <f t="shared" ref="P59:BB59" si="26">MAX(P48-P46,0)</f>
        <v>0</v>
      </c>
      <c r="Q59" s="35">
        <f t="shared" si="26"/>
        <v>0</v>
      </c>
      <c r="R59" s="35">
        <f t="shared" si="26"/>
        <v>0</v>
      </c>
      <c r="S59" s="35">
        <f t="shared" si="26"/>
        <v>0</v>
      </c>
      <c r="T59" s="35">
        <f t="shared" si="26"/>
        <v>0</v>
      </c>
      <c r="U59" s="35">
        <f t="shared" si="26"/>
        <v>0</v>
      </c>
      <c r="V59" s="35">
        <f t="shared" si="26"/>
        <v>0</v>
      </c>
      <c r="W59" s="35">
        <f t="shared" si="26"/>
        <v>0</v>
      </c>
      <c r="X59" s="35">
        <f t="shared" si="26"/>
        <v>0</v>
      </c>
      <c r="Y59" s="35">
        <f t="shared" si="26"/>
        <v>0</v>
      </c>
      <c r="Z59" s="35">
        <f t="shared" si="26"/>
        <v>0</v>
      </c>
      <c r="AA59" s="35">
        <f t="shared" si="26"/>
        <v>0</v>
      </c>
      <c r="AB59" s="35">
        <f t="shared" si="26"/>
        <v>0</v>
      </c>
      <c r="AC59" s="35">
        <f t="shared" si="26"/>
        <v>0</v>
      </c>
      <c r="AD59" s="35">
        <f t="shared" si="26"/>
        <v>0</v>
      </c>
      <c r="AE59" s="35">
        <f t="shared" si="26"/>
        <v>0</v>
      </c>
      <c r="AF59" s="35">
        <f t="shared" si="26"/>
        <v>0</v>
      </c>
      <c r="AG59" s="35">
        <f t="shared" si="26"/>
        <v>0</v>
      </c>
      <c r="AH59" s="35">
        <f t="shared" si="26"/>
        <v>0</v>
      </c>
      <c r="AI59" s="35">
        <f t="shared" si="26"/>
        <v>0</v>
      </c>
      <c r="AJ59" s="35">
        <f t="shared" si="26"/>
        <v>0</v>
      </c>
      <c r="AK59" s="35">
        <f t="shared" si="26"/>
        <v>0</v>
      </c>
      <c r="AL59" s="35">
        <f t="shared" si="26"/>
        <v>0</v>
      </c>
      <c r="AM59" s="35">
        <f t="shared" si="26"/>
        <v>0</v>
      </c>
      <c r="AN59" s="35">
        <f t="shared" si="26"/>
        <v>0</v>
      </c>
      <c r="AO59" s="35">
        <f t="shared" si="26"/>
        <v>0</v>
      </c>
      <c r="AP59" s="35">
        <f t="shared" si="26"/>
        <v>0</v>
      </c>
      <c r="AQ59" s="35">
        <f t="shared" si="26"/>
        <v>0</v>
      </c>
      <c r="AR59" s="35">
        <f t="shared" si="26"/>
        <v>0</v>
      </c>
      <c r="AS59" s="35">
        <f t="shared" si="26"/>
        <v>0</v>
      </c>
      <c r="AT59" s="35">
        <f t="shared" si="26"/>
        <v>0</v>
      </c>
      <c r="AU59" s="35">
        <f t="shared" si="26"/>
        <v>0</v>
      </c>
      <c r="AV59" s="35">
        <f t="shared" si="26"/>
        <v>0</v>
      </c>
      <c r="AW59" s="35">
        <f t="shared" si="26"/>
        <v>0</v>
      </c>
      <c r="AX59" s="35">
        <f t="shared" si="26"/>
        <v>0</v>
      </c>
      <c r="AY59" s="35">
        <f t="shared" si="26"/>
        <v>0</v>
      </c>
      <c r="AZ59" s="35">
        <f t="shared" si="26"/>
        <v>0</v>
      </c>
      <c r="BA59" s="35">
        <f t="shared" si="26"/>
        <v>0</v>
      </c>
      <c r="BB59" s="35">
        <f t="shared" si="26"/>
        <v>0</v>
      </c>
    </row>
    <row r="60" spans="1:55" ht="15" customHeight="1">
      <c r="E60" s="19" t="s">
        <v>538</v>
      </c>
      <c r="G60" s="5" t="s">
        <v>248</v>
      </c>
      <c r="H60" s="19" t="s">
        <v>539</v>
      </c>
      <c r="I60" s="30"/>
      <c r="L60" s="31"/>
      <c r="M60" s="31"/>
      <c r="N60" s="31"/>
      <c r="O60" s="31"/>
      <c r="P60" s="35">
        <f t="shared" ref="P60:BB60" si="27">MAX(P46-P48,0)</f>
        <v>0</v>
      </c>
      <c r="Q60" s="35">
        <f t="shared" si="27"/>
        <v>0</v>
      </c>
      <c r="R60" s="35">
        <f t="shared" si="27"/>
        <v>0</v>
      </c>
      <c r="S60" s="35">
        <f t="shared" si="27"/>
        <v>24.205308577085852</v>
      </c>
      <c r="T60" s="35">
        <f t="shared" si="27"/>
        <v>25.339064090865126</v>
      </c>
      <c r="U60" s="35">
        <f t="shared" si="27"/>
        <v>27.328469291029048</v>
      </c>
      <c r="V60" s="35">
        <f t="shared" si="27"/>
        <v>28.498127776685092</v>
      </c>
      <c r="W60" s="35">
        <f t="shared" si="27"/>
        <v>29.717847645527215</v>
      </c>
      <c r="X60" s="35">
        <f t="shared" si="27"/>
        <v>30.989771524755774</v>
      </c>
      <c r="Y60" s="35">
        <f t="shared" si="27"/>
        <v>32.316133746015318</v>
      </c>
      <c r="Z60" s="35">
        <f t="shared" si="27"/>
        <v>33.69926427034477</v>
      </c>
      <c r="AA60" s="35">
        <f t="shared" si="27"/>
        <v>35.141592781115527</v>
      </c>
      <c r="AB60" s="35">
        <f t="shared" si="27"/>
        <v>36.645652952147266</v>
      </c>
      <c r="AC60" s="35">
        <f t="shared" si="27"/>
        <v>38.214086898499168</v>
      </c>
      <c r="AD60" s="35">
        <f t="shared" si="27"/>
        <v>39.84964981775493</v>
      </c>
      <c r="AE60" s="35">
        <f t="shared" si="27"/>
        <v>41.555214829954842</v>
      </c>
      <c r="AF60" s="35">
        <f t="shared" si="27"/>
        <v>43.333778024676917</v>
      </c>
      <c r="AG60" s="35">
        <f t="shared" si="27"/>
        <v>45.188463724133079</v>
      </c>
      <c r="AH60" s="35">
        <f t="shared" si="27"/>
        <v>47.122529971525978</v>
      </c>
      <c r="AI60" s="35">
        <f t="shared" si="27"/>
        <v>49.139374254307278</v>
      </c>
      <c r="AJ60" s="35">
        <f t="shared" si="27"/>
        <v>51.242539472391634</v>
      </c>
      <c r="AK60" s="35">
        <f t="shared" si="27"/>
        <v>53.435720161809996</v>
      </c>
      <c r="AL60" s="35">
        <f t="shared" si="27"/>
        <v>55.72276898473546</v>
      </c>
      <c r="AM60" s="35">
        <f t="shared" si="27"/>
        <v>58.107703497282138</v>
      </c>
      <c r="AN60" s="35">
        <f t="shared" si="27"/>
        <v>60.594713206965807</v>
      </c>
      <c r="AO60" s="35">
        <f t="shared" si="27"/>
        <v>20.803222651882074</v>
      </c>
      <c r="AP60" s="35">
        <f t="shared" si="27"/>
        <v>0</v>
      </c>
      <c r="AQ60" s="35">
        <f t="shared" si="27"/>
        <v>0</v>
      </c>
      <c r="AR60" s="35">
        <f t="shared" si="27"/>
        <v>0</v>
      </c>
      <c r="AS60" s="35">
        <f t="shared" si="27"/>
        <v>0</v>
      </c>
      <c r="AT60" s="35">
        <f t="shared" si="27"/>
        <v>0</v>
      </c>
      <c r="AU60" s="35">
        <f t="shared" si="27"/>
        <v>0</v>
      </c>
      <c r="AV60" s="35">
        <f t="shared" si="27"/>
        <v>0</v>
      </c>
      <c r="AW60" s="35">
        <f t="shared" si="27"/>
        <v>0</v>
      </c>
      <c r="AX60" s="35">
        <f t="shared" si="27"/>
        <v>0</v>
      </c>
      <c r="AY60" s="35">
        <f t="shared" si="27"/>
        <v>0</v>
      </c>
      <c r="AZ60" s="35">
        <f t="shared" si="27"/>
        <v>0</v>
      </c>
      <c r="BA60" s="35">
        <f t="shared" si="27"/>
        <v>0</v>
      </c>
      <c r="BB60" s="35">
        <f t="shared" si="27"/>
        <v>0</v>
      </c>
      <c r="BC60" s="5"/>
    </row>
    <row r="61" spans="1:55" ht="15" customHeight="1">
      <c r="A61" s="19"/>
      <c r="D61" s="19"/>
      <c r="E61" s="19" t="s">
        <v>540</v>
      </c>
      <c r="G61" s="5" t="s">
        <v>248</v>
      </c>
      <c r="H61" s="19" t="s">
        <v>541</v>
      </c>
      <c r="L61" s="31"/>
      <c r="M61" s="31"/>
      <c r="N61" s="31"/>
      <c r="O61" s="31"/>
      <c r="P61" s="35">
        <f t="shared" ref="P61:BB61" si="28">IF(P59&gt;0,P59,0)</f>
        <v>0</v>
      </c>
      <c r="Q61" s="35">
        <f t="shared" si="28"/>
        <v>0</v>
      </c>
      <c r="R61" s="35">
        <f t="shared" si="28"/>
        <v>0</v>
      </c>
      <c r="S61" s="35">
        <f t="shared" si="28"/>
        <v>0</v>
      </c>
      <c r="T61" s="35">
        <f t="shared" si="28"/>
        <v>0</v>
      </c>
      <c r="U61" s="35">
        <f t="shared" si="28"/>
        <v>0</v>
      </c>
      <c r="V61" s="35">
        <f t="shared" si="28"/>
        <v>0</v>
      </c>
      <c r="W61" s="35">
        <f t="shared" si="28"/>
        <v>0</v>
      </c>
      <c r="X61" s="35">
        <f t="shared" si="28"/>
        <v>0</v>
      </c>
      <c r="Y61" s="35">
        <f t="shared" si="28"/>
        <v>0</v>
      </c>
      <c r="Z61" s="35">
        <f t="shared" si="28"/>
        <v>0</v>
      </c>
      <c r="AA61" s="35">
        <f t="shared" si="28"/>
        <v>0</v>
      </c>
      <c r="AB61" s="35">
        <f t="shared" si="28"/>
        <v>0</v>
      </c>
      <c r="AC61" s="35">
        <f t="shared" si="28"/>
        <v>0</v>
      </c>
      <c r="AD61" s="35">
        <f t="shared" si="28"/>
        <v>0</v>
      </c>
      <c r="AE61" s="35">
        <f t="shared" si="28"/>
        <v>0</v>
      </c>
      <c r="AF61" s="35">
        <f t="shared" si="28"/>
        <v>0</v>
      </c>
      <c r="AG61" s="35">
        <f t="shared" si="28"/>
        <v>0</v>
      </c>
      <c r="AH61" s="35">
        <f t="shared" si="28"/>
        <v>0</v>
      </c>
      <c r="AI61" s="35">
        <f t="shared" si="28"/>
        <v>0</v>
      </c>
      <c r="AJ61" s="35">
        <f t="shared" si="28"/>
        <v>0</v>
      </c>
      <c r="AK61" s="35">
        <f t="shared" si="28"/>
        <v>0</v>
      </c>
      <c r="AL61" s="35">
        <f t="shared" si="28"/>
        <v>0</v>
      </c>
      <c r="AM61" s="35">
        <f t="shared" si="28"/>
        <v>0</v>
      </c>
      <c r="AN61" s="35">
        <f t="shared" si="28"/>
        <v>0</v>
      </c>
      <c r="AO61" s="35">
        <f t="shared" si="28"/>
        <v>0</v>
      </c>
      <c r="AP61" s="35">
        <f t="shared" si="28"/>
        <v>0</v>
      </c>
      <c r="AQ61" s="35">
        <f t="shared" si="28"/>
        <v>0</v>
      </c>
      <c r="AR61" s="35">
        <f t="shared" si="28"/>
        <v>0</v>
      </c>
      <c r="AS61" s="35">
        <f t="shared" si="28"/>
        <v>0</v>
      </c>
      <c r="AT61" s="35">
        <f t="shared" si="28"/>
        <v>0</v>
      </c>
      <c r="AU61" s="35">
        <f t="shared" si="28"/>
        <v>0</v>
      </c>
      <c r="AV61" s="35">
        <f t="shared" si="28"/>
        <v>0</v>
      </c>
      <c r="AW61" s="35">
        <f t="shared" si="28"/>
        <v>0</v>
      </c>
      <c r="AX61" s="35">
        <f t="shared" si="28"/>
        <v>0</v>
      </c>
      <c r="AY61" s="35">
        <f t="shared" si="28"/>
        <v>0</v>
      </c>
      <c r="AZ61" s="35">
        <f t="shared" si="28"/>
        <v>0</v>
      </c>
      <c r="BA61" s="35">
        <f t="shared" si="28"/>
        <v>0</v>
      </c>
      <c r="BB61" s="35">
        <f t="shared" si="28"/>
        <v>0</v>
      </c>
    </row>
    <row r="62" spans="1:55" ht="15" customHeight="1">
      <c r="E62" s="19" t="s">
        <v>542</v>
      </c>
      <c r="G62" s="5" t="s">
        <v>248</v>
      </c>
      <c r="H62" s="19" t="s">
        <v>543</v>
      </c>
      <c r="I62" s="30"/>
      <c r="L62" s="31"/>
      <c r="M62" s="31"/>
      <c r="N62" s="31"/>
      <c r="O62" s="31"/>
      <c r="P62" s="35">
        <f t="shared" ref="P62:BB62" si="29">IF(P60&gt;0,P60,0)</f>
        <v>0</v>
      </c>
      <c r="Q62" s="35">
        <f t="shared" si="29"/>
        <v>0</v>
      </c>
      <c r="R62" s="35">
        <f t="shared" si="29"/>
        <v>0</v>
      </c>
      <c r="S62" s="35">
        <f t="shared" si="29"/>
        <v>24.205308577085852</v>
      </c>
      <c r="T62" s="35">
        <f t="shared" si="29"/>
        <v>25.339064090865126</v>
      </c>
      <c r="U62" s="35">
        <f t="shared" si="29"/>
        <v>27.328469291029048</v>
      </c>
      <c r="V62" s="35">
        <f t="shared" si="29"/>
        <v>28.498127776685092</v>
      </c>
      <c r="W62" s="35">
        <f t="shared" si="29"/>
        <v>29.717847645527215</v>
      </c>
      <c r="X62" s="35">
        <f t="shared" si="29"/>
        <v>30.989771524755774</v>
      </c>
      <c r="Y62" s="35">
        <f t="shared" si="29"/>
        <v>32.316133746015318</v>
      </c>
      <c r="Z62" s="35">
        <f t="shared" si="29"/>
        <v>33.69926427034477</v>
      </c>
      <c r="AA62" s="35">
        <f t="shared" si="29"/>
        <v>35.141592781115527</v>
      </c>
      <c r="AB62" s="35">
        <f t="shared" si="29"/>
        <v>36.645652952147266</v>
      </c>
      <c r="AC62" s="35">
        <f t="shared" si="29"/>
        <v>38.214086898499168</v>
      </c>
      <c r="AD62" s="35">
        <f t="shared" si="29"/>
        <v>39.84964981775493</v>
      </c>
      <c r="AE62" s="35">
        <f t="shared" si="29"/>
        <v>41.555214829954842</v>
      </c>
      <c r="AF62" s="35">
        <f t="shared" si="29"/>
        <v>43.333778024676917</v>
      </c>
      <c r="AG62" s="35">
        <f t="shared" si="29"/>
        <v>45.188463724133079</v>
      </c>
      <c r="AH62" s="35">
        <f t="shared" si="29"/>
        <v>47.122529971525978</v>
      </c>
      <c r="AI62" s="35">
        <f t="shared" si="29"/>
        <v>49.139374254307278</v>
      </c>
      <c r="AJ62" s="35">
        <f t="shared" si="29"/>
        <v>51.242539472391634</v>
      </c>
      <c r="AK62" s="35">
        <f t="shared" si="29"/>
        <v>53.435720161809996</v>
      </c>
      <c r="AL62" s="35">
        <f t="shared" si="29"/>
        <v>55.72276898473546</v>
      </c>
      <c r="AM62" s="35">
        <f t="shared" si="29"/>
        <v>58.107703497282138</v>
      </c>
      <c r="AN62" s="35">
        <f t="shared" si="29"/>
        <v>60.594713206965807</v>
      </c>
      <c r="AO62" s="35">
        <f t="shared" si="29"/>
        <v>20.803222651882074</v>
      </c>
      <c r="AP62" s="35">
        <f t="shared" si="29"/>
        <v>0</v>
      </c>
      <c r="AQ62" s="35">
        <f t="shared" si="29"/>
        <v>0</v>
      </c>
      <c r="AR62" s="35">
        <f t="shared" si="29"/>
        <v>0</v>
      </c>
      <c r="AS62" s="35">
        <f t="shared" si="29"/>
        <v>0</v>
      </c>
      <c r="AT62" s="35">
        <f t="shared" si="29"/>
        <v>0</v>
      </c>
      <c r="AU62" s="35">
        <f t="shared" si="29"/>
        <v>0</v>
      </c>
      <c r="AV62" s="35">
        <f t="shared" si="29"/>
        <v>0</v>
      </c>
      <c r="AW62" s="35">
        <f t="shared" si="29"/>
        <v>0</v>
      </c>
      <c r="AX62" s="35">
        <f t="shared" si="29"/>
        <v>0</v>
      </c>
      <c r="AY62" s="35">
        <f t="shared" si="29"/>
        <v>0</v>
      </c>
      <c r="AZ62" s="35">
        <f t="shared" si="29"/>
        <v>0</v>
      </c>
      <c r="BA62" s="35">
        <f t="shared" si="29"/>
        <v>0</v>
      </c>
      <c r="BB62" s="35">
        <f t="shared" si="29"/>
        <v>0</v>
      </c>
    </row>
    <row r="63" spans="1:55" ht="15" customHeight="1">
      <c r="C63" s="164"/>
      <c r="G63" s="5"/>
      <c r="I63" s="30"/>
      <c r="L63" s="5"/>
      <c r="M63" s="5"/>
      <c r="N63" s="5"/>
      <c r="O63" s="5"/>
      <c r="P63" s="35"/>
      <c r="Q63" s="35"/>
      <c r="R63" s="35"/>
      <c r="S63" s="35"/>
      <c r="T63" s="35"/>
      <c r="U63" s="35"/>
      <c r="V63" s="35"/>
      <c r="W63" s="35"/>
      <c r="X63" s="35"/>
      <c r="Y63" s="35"/>
      <c r="Z63" s="35"/>
      <c r="AA63" s="35"/>
      <c r="AB63" s="35"/>
      <c r="AC63" s="35"/>
      <c r="AD63" s="35"/>
      <c r="AE63" s="35"/>
      <c r="AF63" s="35"/>
      <c r="AG63" s="35"/>
      <c r="AH63" s="35"/>
      <c r="AI63" s="35"/>
      <c r="AJ63" s="35"/>
      <c r="AK63" s="35"/>
      <c r="AL63" s="35"/>
      <c r="AM63" s="35"/>
      <c r="AN63" s="35"/>
      <c r="AO63" s="35"/>
      <c r="AP63" s="35"/>
      <c r="AQ63" s="35"/>
      <c r="AR63" s="35"/>
      <c r="AS63" s="35"/>
      <c r="AT63" s="35"/>
      <c r="AU63" s="35"/>
      <c r="AV63" s="35"/>
      <c r="AW63" s="35"/>
      <c r="AX63" s="35"/>
      <c r="AY63" s="35"/>
      <c r="AZ63" s="35"/>
      <c r="BA63" s="35"/>
      <c r="BB63" s="35"/>
    </row>
    <row r="64" spans="1:55" ht="15" customHeight="1">
      <c r="E64" s="19" t="s">
        <v>544</v>
      </c>
      <c r="G64" s="5" t="s">
        <v>248</v>
      </c>
      <c r="H64" s="19" t="s">
        <v>545</v>
      </c>
      <c r="I64" s="30"/>
      <c r="L64" s="31"/>
      <c r="M64" s="31"/>
      <c r="N64" s="31"/>
      <c r="O64" s="31"/>
      <c r="P64" s="35">
        <f t="shared" ref="P64:BB64" si="30">MAX(P49-P47,0)</f>
        <v>0</v>
      </c>
      <c r="Q64" s="35">
        <f t="shared" si="30"/>
        <v>0</v>
      </c>
      <c r="R64" s="35">
        <f t="shared" si="30"/>
        <v>0</v>
      </c>
      <c r="S64" s="35">
        <f t="shared" si="30"/>
        <v>0</v>
      </c>
      <c r="T64" s="35">
        <f t="shared" si="30"/>
        <v>0</v>
      </c>
      <c r="U64" s="35">
        <f t="shared" si="30"/>
        <v>0</v>
      </c>
      <c r="V64" s="35">
        <f t="shared" si="30"/>
        <v>0</v>
      </c>
      <c r="W64" s="35">
        <f t="shared" si="30"/>
        <v>0</v>
      </c>
      <c r="X64" s="35">
        <f t="shared" si="30"/>
        <v>0</v>
      </c>
      <c r="Y64" s="35">
        <f t="shared" si="30"/>
        <v>0</v>
      </c>
      <c r="Z64" s="35">
        <f t="shared" si="30"/>
        <v>0</v>
      </c>
      <c r="AA64" s="35">
        <f t="shared" si="30"/>
        <v>0</v>
      </c>
      <c r="AB64" s="35">
        <f t="shared" si="30"/>
        <v>0</v>
      </c>
      <c r="AC64" s="35">
        <f t="shared" si="30"/>
        <v>0</v>
      </c>
      <c r="AD64" s="35">
        <f t="shared" si="30"/>
        <v>0</v>
      </c>
      <c r="AE64" s="35">
        <f t="shared" si="30"/>
        <v>0</v>
      </c>
      <c r="AF64" s="35">
        <f t="shared" si="30"/>
        <v>0</v>
      </c>
      <c r="AG64" s="35">
        <f t="shared" si="30"/>
        <v>0</v>
      </c>
      <c r="AH64" s="35">
        <f t="shared" si="30"/>
        <v>0</v>
      </c>
      <c r="AI64" s="35">
        <f t="shared" si="30"/>
        <v>0</v>
      </c>
      <c r="AJ64" s="35">
        <f t="shared" si="30"/>
        <v>0</v>
      </c>
      <c r="AK64" s="35">
        <f t="shared" si="30"/>
        <v>0</v>
      </c>
      <c r="AL64" s="35">
        <f t="shared" si="30"/>
        <v>0</v>
      </c>
      <c r="AM64" s="35">
        <f t="shared" si="30"/>
        <v>0</v>
      </c>
      <c r="AN64" s="35">
        <f t="shared" si="30"/>
        <v>0</v>
      </c>
      <c r="AO64" s="35">
        <f t="shared" si="30"/>
        <v>0</v>
      </c>
      <c r="AP64" s="35">
        <f t="shared" si="30"/>
        <v>0</v>
      </c>
      <c r="AQ64" s="35">
        <f t="shared" si="30"/>
        <v>0</v>
      </c>
      <c r="AR64" s="35">
        <f t="shared" si="30"/>
        <v>0</v>
      </c>
      <c r="AS64" s="35">
        <f t="shared" si="30"/>
        <v>0</v>
      </c>
      <c r="AT64" s="35">
        <f t="shared" si="30"/>
        <v>0</v>
      </c>
      <c r="AU64" s="35">
        <f t="shared" si="30"/>
        <v>0</v>
      </c>
      <c r="AV64" s="35">
        <f t="shared" si="30"/>
        <v>0</v>
      </c>
      <c r="AW64" s="35">
        <f t="shared" si="30"/>
        <v>0</v>
      </c>
      <c r="AX64" s="35">
        <f t="shared" si="30"/>
        <v>0</v>
      </c>
      <c r="AY64" s="35">
        <f t="shared" si="30"/>
        <v>0</v>
      </c>
      <c r="AZ64" s="35">
        <f t="shared" si="30"/>
        <v>0</v>
      </c>
      <c r="BA64" s="35">
        <f t="shared" si="30"/>
        <v>0</v>
      </c>
      <c r="BB64" s="35">
        <f t="shared" si="30"/>
        <v>0</v>
      </c>
    </row>
    <row r="65" spans="1:54" ht="15" customHeight="1">
      <c r="E65" s="19" t="s">
        <v>546</v>
      </c>
      <c r="G65" s="5" t="s">
        <v>248</v>
      </c>
      <c r="H65" s="19" t="s">
        <v>547</v>
      </c>
      <c r="I65" s="30"/>
      <c r="L65" s="31"/>
      <c r="M65" s="31"/>
      <c r="N65" s="31"/>
      <c r="O65" s="31"/>
      <c r="P65" s="35">
        <f t="shared" ref="P65:BB65" si="31">MAX(P47-P49,0)</f>
        <v>0</v>
      </c>
      <c r="Q65" s="35">
        <f t="shared" si="31"/>
        <v>0</v>
      </c>
      <c r="R65" s="35">
        <f t="shared" si="31"/>
        <v>0</v>
      </c>
      <c r="S65" s="35">
        <f t="shared" si="31"/>
        <v>24.996499711583155</v>
      </c>
      <c r="T65" s="35">
        <f t="shared" si="31"/>
        <v>25.577046282690425</v>
      </c>
      <c r="U65" s="35">
        <f t="shared" si="31"/>
        <v>24.383897278477871</v>
      </c>
      <c r="V65" s="35">
        <f t="shared" si="31"/>
        <v>25.082200293143497</v>
      </c>
      <c r="W65" s="35">
        <f t="shared" si="31"/>
        <v>25.804520104426306</v>
      </c>
      <c r="X65" s="35">
        <f t="shared" si="31"/>
        <v>26.551784831490533</v>
      </c>
      <c r="Y65" s="35">
        <f t="shared" si="31"/>
        <v>27.324960620405221</v>
      </c>
      <c r="Z65" s="35">
        <f t="shared" si="31"/>
        <v>28.125053242853614</v>
      </c>
      <c r="AA65" s="35">
        <f t="shared" si="31"/>
        <v>28.953109762777018</v>
      </c>
      <c r="AB65" s="35">
        <f t="shared" si="31"/>
        <v>29.810220273852348</v>
      </c>
      <c r="AC65" s="35">
        <f t="shared" si="31"/>
        <v>30.697519710826572</v>
      </c>
      <c r="AD65" s="35">
        <f t="shared" si="31"/>
        <v>31.616189737860612</v>
      </c>
      <c r="AE65" s="35">
        <f t="shared" si="31"/>
        <v>32.567460717169681</v>
      </c>
      <c r="AF65" s="35">
        <f t="shared" si="31"/>
        <v>33.552613761388173</v>
      </c>
      <c r="AG65" s="35">
        <f t="shared" si="31"/>
        <v>34.572982873233116</v>
      </c>
      <c r="AH65" s="35">
        <f t="shared" si="31"/>
        <v>35.629957176193585</v>
      </c>
      <c r="AI65" s="35">
        <f t="shared" si="31"/>
        <v>36.724983240132545</v>
      </c>
      <c r="AJ65" s="35">
        <f t="shared" si="31"/>
        <v>37.859567505853654</v>
      </c>
      <c r="AK65" s="35">
        <f t="shared" si="31"/>
        <v>39.035278812859367</v>
      </c>
      <c r="AL65" s="35">
        <f t="shared" si="31"/>
        <v>38.777353960261244</v>
      </c>
      <c r="AM65" s="35">
        <f t="shared" si="31"/>
        <v>23.38705442240024</v>
      </c>
      <c r="AN65" s="35">
        <f t="shared" si="31"/>
        <v>24.388020351678964</v>
      </c>
      <c r="AO65" s="35">
        <f t="shared" si="31"/>
        <v>8.3728330503309571</v>
      </c>
      <c r="AP65" s="35">
        <f t="shared" si="31"/>
        <v>0</v>
      </c>
      <c r="AQ65" s="35">
        <f t="shared" si="31"/>
        <v>0</v>
      </c>
      <c r="AR65" s="35">
        <f t="shared" si="31"/>
        <v>0</v>
      </c>
      <c r="AS65" s="35">
        <f t="shared" si="31"/>
        <v>0</v>
      </c>
      <c r="AT65" s="35">
        <f t="shared" si="31"/>
        <v>0</v>
      </c>
      <c r="AU65" s="35">
        <f t="shared" si="31"/>
        <v>0</v>
      </c>
      <c r="AV65" s="35">
        <f t="shared" si="31"/>
        <v>0</v>
      </c>
      <c r="AW65" s="35">
        <f t="shared" si="31"/>
        <v>0</v>
      </c>
      <c r="AX65" s="35">
        <f t="shared" si="31"/>
        <v>0</v>
      </c>
      <c r="AY65" s="35">
        <f t="shared" si="31"/>
        <v>0</v>
      </c>
      <c r="AZ65" s="35">
        <f t="shared" si="31"/>
        <v>0</v>
      </c>
      <c r="BA65" s="35">
        <f t="shared" si="31"/>
        <v>0</v>
      </c>
      <c r="BB65" s="35">
        <f t="shared" si="31"/>
        <v>0</v>
      </c>
    </row>
    <row r="66" spans="1:54" ht="15" customHeight="1">
      <c r="A66" s="19"/>
      <c r="D66" s="19"/>
      <c r="E66" s="19" t="s">
        <v>548</v>
      </c>
      <c r="G66" s="5" t="s">
        <v>248</v>
      </c>
      <c r="H66" s="19" t="s">
        <v>549</v>
      </c>
      <c r="L66" s="31"/>
      <c r="M66" s="31"/>
      <c r="N66" s="31"/>
      <c r="O66" s="31"/>
      <c r="P66" s="35">
        <f t="shared" ref="P66:BB66" si="32">IF(P64&gt;0,P64,0)</f>
        <v>0</v>
      </c>
      <c r="Q66" s="35">
        <f t="shared" si="32"/>
        <v>0</v>
      </c>
      <c r="R66" s="35">
        <f t="shared" si="32"/>
        <v>0</v>
      </c>
      <c r="S66" s="35">
        <f t="shared" si="32"/>
        <v>0</v>
      </c>
      <c r="T66" s="35">
        <f t="shared" si="32"/>
        <v>0</v>
      </c>
      <c r="U66" s="35">
        <f t="shared" si="32"/>
        <v>0</v>
      </c>
      <c r="V66" s="35">
        <f t="shared" si="32"/>
        <v>0</v>
      </c>
      <c r="W66" s="35">
        <f t="shared" si="32"/>
        <v>0</v>
      </c>
      <c r="X66" s="35">
        <f t="shared" si="32"/>
        <v>0</v>
      </c>
      <c r="Y66" s="35">
        <f t="shared" si="32"/>
        <v>0</v>
      </c>
      <c r="Z66" s="35">
        <f t="shared" si="32"/>
        <v>0</v>
      </c>
      <c r="AA66" s="35">
        <f t="shared" si="32"/>
        <v>0</v>
      </c>
      <c r="AB66" s="35">
        <f t="shared" si="32"/>
        <v>0</v>
      </c>
      <c r="AC66" s="35">
        <f t="shared" si="32"/>
        <v>0</v>
      </c>
      <c r="AD66" s="35">
        <f t="shared" si="32"/>
        <v>0</v>
      </c>
      <c r="AE66" s="35">
        <f t="shared" si="32"/>
        <v>0</v>
      </c>
      <c r="AF66" s="35">
        <f t="shared" si="32"/>
        <v>0</v>
      </c>
      <c r="AG66" s="35">
        <f t="shared" si="32"/>
        <v>0</v>
      </c>
      <c r="AH66" s="35">
        <f t="shared" si="32"/>
        <v>0</v>
      </c>
      <c r="AI66" s="35">
        <f t="shared" si="32"/>
        <v>0</v>
      </c>
      <c r="AJ66" s="35">
        <f t="shared" si="32"/>
        <v>0</v>
      </c>
      <c r="AK66" s="35">
        <f t="shared" si="32"/>
        <v>0</v>
      </c>
      <c r="AL66" s="35">
        <f t="shared" si="32"/>
        <v>0</v>
      </c>
      <c r="AM66" s="35">
        <f t="shared" si="32"/>
        <v>0</v>
      </c>
      <c r="AN66" s="35">
        <f t="shared" si="32"/>
        <v>0</v>
      </c>
      <c r="AO66" s="35">
        <f t="shared" si="32"/>
        <v>0</v>
      </c>
      <c r="AP66" s="35">
        <f t="shared" si="32"/>
        <v>0</v>
      </c>
      <c r="AQ66" s="35">
        <f t="shared" si="32"/>
        <v>0</v>
      </c>
      <c r="AR66" s="35">
        <f t="shared" si="32"/>
        <v>0</v>
      </c>
      <c r="AS66" s="35">
        <f t="shared" si="32"/>
        <v>0</v>
      </c>
      <c r="AT66" s="35">
        <f t="shared" si="32"/>
        <v>0</v>
      </c>
      <c r="AU66" s="35">
        <f t="shared" si="32"/>
        <v>0</v>
      </c>
      <c r="AV66" s="35">
        <f t="shared" si="32"/>
        <v>0</v>
      </c>
      <c r="AW66" s="35">
        <f t="shared" si="32"/>
        <v>0</v>
      </c>
      <c r="AX66" s="35">
        <f t="shared" si="32"/>
        <v>0</v>
      </c>
      <c r="AY66" s="35">
        <f t="shared" si="32"/>
        <v>0</v>
      </c>
      <c r="AZ66" s="35">
        <f t="shared" si="32"/>
        <v>0</v>
      </c>
      <c r="BA66" s="35">
        <f t="shared" si="32"/>
        <v>0</v>
      </c>
      <c r="BB66" s="35">
        <f t="shared" si="32"/>
        <v>0</v>
      </c>
    </row>
    <row r="67" spans="1:54" ht="15" customHeight="1">
      <c r="E67" s="19" t="s">
        <v>550</v>
      </c>
      <c r="G67" s="5" t="s">
        <v>248</v>
      </c>
      <c r="H67" s="19" t="s">
        <v>543</v>
      </c>
      <c r="I67" s="30"/>
      <c r="L67" s="31"/>
      <c r="M67" s="31"/>
      <c r="N67" s="31"/>
      <c r="O67" s="31"/>
      <c r="P67" s="35">
        <f t="shared" ref="P67:BB67" si="33">IF(P65&gt;0,P65,0)</f>
        <v>0</v>
      </c>
      <c r="Q67" s="35">
        <f t="shared" si="33"/>
        <v>0</v>
      </c>
      <c r="R67" s="35">
        <f t="shared" si="33"/>
        <v>0</v>
      </c>
      <c r="S67" s="35">
        <f t="shared" si="33"/>
        <v>24.996499711583155</v>
      </c>
      <c r="T67" s="35">
        <f t="shared" si="33"/>
        <v>25.577046282690425</v>
      </c>
      <c r="U67" s="35">
        <f t="shared" si="33"/>
        <v>24.383897278477871</v>
      </c>
      <c r="V67" s="35">
        <f t="shared" si="33"/>
        <v>25.082200293143497</v>
      </c>
      <c r="W67" s="35">
        <f t="shared" si="33"/>
        <v>25.804520104426306</v>
      </c>
      <c r="X67" s="35">
        <f t="shared" si="33"/>
        <v>26.551784831490533</v>
      </c>
      <c r="Y67" s="35">
        <f t="shared" si="33"/>
        <v>27.324960620405221</v>
      </c>
      <c r="Z67" s="35">
        <f t="shared" si="33"/>
        <v>28.125053242853614</v>
      </c>
      <c r="AA67" s="35">
        <f t="shared" si="33"/>
        <v>28.953109762777018</v>
      </c>
      <c r="AB67" s="35">
        <f t="shared" si="33"/>
        <v>29.810220273852348</v>
      </c>
      <c r="AC67" s="35">
        <f t="shared" si="33"/>
        <v>30.697519710826572</v>
      </c>
      <c r="AD67" s="35">
        <f t="shared" si="33"/>
        <v>31.616189737860612</v>
      </c>
      <c r="AE67" s="35">
        <f t="shared" si="33"/>
        <v>32.567460717169681</v>
      </c>
      <c r="AF67" s="35">
        <f t="shared" si="33"/>
        <v>33.552613761388173</v>
      </c>
      <c r="AG67" s="35">
        <f t="shared" si="33"/>
        <v>34.572982873233116</v>
      </c>
      <c r="AH67" s="35">
        <f t="shared" si="33"/>
        <v>35.629957176193585</v>
      </c>
      <c r="AI67" s="35">
        <f t="shared" si="33"/>
        <v>36.724983240132545</v>
      </c>
      <c r="AJ67" s="35">
        <f t="shared" si="33"/>
        <v>37.859567505853654</v>
      </c>
      <c r="AK67" s="35">
        <f t="shared" si="33"/>
        <v>39.035278812859367</v>
      </c>
      <c r="AL67" s="35">
        <f t="shared" si="33"/>
        <v>38.777353960261244</v>
      </c>
      <c r="AM67" s="35">
        <f t="shared" si="33"/>
        <v>23.38705442240024</v>
      </c>
      <c r="AN67" s="35">
        <f t="shared" si="33"/>
        <v>24.388020351678964</v>
      </c>
      <c r="AO67" s="35">
        <f t="shared" si="33"/>
        <v>8.3728330503309571</v>
      </c>
      <c r="AP67" s="35">
        <f t="shared" si="33"/>
        <v>0</v>
      </c>
      <c r="AQ67" s="35">
        <f t="shared" si="33"/>
        <v>0</v>
      </c>
      <c r="AR67" s="35">
        <f t="shared" si="33"/>
        <v>0</v>
      </c>
      <c r="AS67" s="35">
        <f t="shared" si="33"/>
        <v>0</v>
      </c>
      <c r="AT67" s="35">
        <f t="shared" si="33"/>
        <v>0</v>
      </c>
      <c r="AU67" s="35">
        <f t="shared" si="33"/>
        <v>0</v>
      </c>
      <c r="AV67" s="35">
        <f t="shared" si="33"/>
        <v>0</v>
      </c>
      <c r="AW67" s="35">
        <f t="shared" si="33"/>
        <v>0</v>
      </c>
      <c r="AX67" s="35">
        <f t="shared" si="33"/>
        <v>0</v>
      </c>
      <c r="AY67" s="35">
        <f t="shared" si="33"/>
        <v>0</v>
      </c>
      <c r="AZ67" s="35">
        <f t="shared" si="33"/>
        <v>0</v>
      </c>
      <c r="BA67" s="35">
        <f t="shared" si="33"/>
        <v>0</v>
      </c>
      <c r="BB67" s="35">
        <f t="shared" si="33"/>
        <v>0</v>
      </c>
    </row>
    <row r="68" spans="1:54" ht="15" customHeight="1">
      <c r="G68" s="5"/>
      <c r="I68" s="30"/>
      <c r="L68" s="5"/>
      <c r="M68" s="5"/>
      <c r="N68" s="5"/>
      <c r="O68" s="5"/>
      <c r="P68" s="35"/>
      <c r="Q68" s="35"/>
      <c r="R68" s="35"/>
      <c r="S68" s="35"/>
      <c r="T68" s="35"/>
      <c r="U68" s="35"/>
      <c r="V68" s="35"/>
      <c r="W68" s="35"/>
      <c r="X68" s="35"/>
      <c r="Y68" s="35"/>
      <c r="Z68" s="35"/>
      <c r="AA68" s="35"/>
      <c r="AB68" s="35"/>
      <c r="AC68" s="35"/>
      <c r="AD68" s="35"/>
      <c r="AE68" s="35"/>
      <c r="AF68" s="35"/>
      <c r="AG68" s="35"/>
      <c r="AH68" s="35"/>
      <c r="AI68" s="35"/>
      <c r="AJ68" s="35"/>
      <c r="AK68" s="35"/>
      <c r="AL68" s="35"/>
      <c r="AM68" s="35"/>
      <c r="AN68" s="35"/>
      <c r="AO68" s="35"/>
      <c r="AP68" s="35"/>
      <c r="AQ68" s="35"/>
      <c r="AR68" s="35"/>
      <c r="AS68" s="35"/>
      <c r="AT68" s="35"/>
      <c r="AU68" s="35"/>
      <c r="AV68" s="35"/>
      <c r="AW68" s="35"/>
      <c r="AX68" s="35"/>
      <c r="AY68" s="35"/>
      <c r="AZ68" s="35"/>
      <c r="BA68" s="35"/>
      <c r="BB68" s="35"/>
    </row>
    <row r="69" spans="1:54" ht="26.25">
      <c r="A69" s="30"/>
      <c r="E69" s="45" t="s">
        <v>551</v>
      </c>
      <c r="G69" s="5" t="s">
        <v>248</v>
      </c>
      <c r="L69" s="31"/>
      <c r="M69" s="31"/>
      <c r="N69" s="31"/>
      <c r="O69" s="31"/>
      <c r="P69" s="35">
        <f>IF(P57&gt;0,-P57,IF(P62&gt;0,P62,0))</f>
        <v>0</v>
      </c>
      <c r="Q69" s="35">
        <f t="shared" ref="Q69:BB69" si="34">IF(Q57&gt;0,-Q57,IF(Q62&gt;0,Q62,0))</f>
        <v>0</v>
      </c>
      <c r="R69" s="35">
        <f t="shared" si="34"/>
        <v>0</v>
      </c>
      <c r="S69" s="35">
        <f t="shared" si="34"/>
        <v>24.205308577085852</v>
      </c>
      <c r="T69" s="35">
        <f t="shared" si="34"/>
        <v>25.339064090865126</v>
      </c>
      <c r="U69" s="35">
        <f t="shared" si="34"/>
        <v>27.328469291029048</v>
      </c>
      <c r="V69" s="35">
        <f t="shared" si="34"/>
        <v>28.498127776685092</v>
      </c>
      <c r="W69" s="35">
        <f t="shared" si="34"/>
        <v>29.717847645527215</v>
      </c>
      <c r="X69" s="35">
        <f t="shared" si="34"/>
        <v>30.989771524755774</v>
      </c>
      <c r="Y69" s="35">
        <f t="shared" si="34"/>
        <v>32.316133746015318</v>
      </c>
      <c r="Z69" s="35">
        <f t="shared" si="34"/>
        <v>33.69926427034477</v>
      </c>
      <c r="AA69" s="35">
        <f t="shared" si="34"/>
        <v>35.141592781115527</v>
      </c>
      <c r="AB69" s="35">
        <f t="shared" si="34"/>
        <v>36.645652952147266</v>
      </c>
      <c r="AC69" s="35">
        <f t="shared" si="34"/>
        <v>38.214086898499168</v>
      </c>
      <c r="AD69" s="35">
        <f t="shared" si="34"/>
        <v>39.84964981775493</v>
      </c>
      <c r="AE69" s="35">
        <f t="shared" si="34"/>
        <v>41.555214829954842</v>
      </c>
      <c r="AF69" s="35">
        <f t="shared" si="34"/>
        <v>43.333778024676917</v>
      </c>
      <c r="AG69" s="35">
        <f t="shared" si="34"/>
        <v>45.188463724133079</v>
      </c>
      <c r="AH69" s="35">
        <f t="shared" si="34"/>
        <v>47.122529971525978</v>
      </c>
      <c r="AI69" s="35">
        <f t="shared" si="34"/>
        <v>49.139374254307278</v>
      </c>
      <c r="AJ69" s="35">
        <f t="shared" si="34"/>
        <v>51.242539472391634</v>
      </c>
      <c r="AK69" s="35">
        <f t="shared" si="34"/>
        <v>53.435720161809996</v>
      </c>
      <c r="AL69" s="35">
        <f t="shared" si="34"/>
        <v>55.72276898473546</v>
      </c>
      <c r="AM69" s="35">
        <f t="shared" si="34"/>
        <v>58.107703497282138</v>
      </c>
      <c r="AN69" s="35">
        <f t="shared" si="34"/>
        <v>60.594713206965807</v>
      </c>
      <c r="AO69" s="35">
        <f t="shared" si="34"/>
        <v>20.803222651882074</v>
      </c>
      <c r="AP69" s="35">
        <f t="shared" si="34"/>
        <v>0</v>
      </c>
      <c r="AQ69" s="35">
        <f t="shared" si="34"/>
        <v>0</v>
      </c>
      <c r="AR69" s="35">
        <f t="shared" si="34"/>
        <v>0</v>
      </c>
      <c r="AS69" s="35">
        <f t="shared" si="34"/>
        <v>0</v>
      </c>
      <c r="AT69" s="35">
        <f t="shared" si="34"/>
        <v>0</v>
      </c>
      <c r="AU69" s="35">
        <f t="shared" si="34"/>
        <v>0</v>
      </c>
      <c r="AV69" s="35">
        <f t="shared" si="34"/>
        <v>0</v>
      </c>
      <c r="AW69" s="35">
        <f t="shared" si="34"/>
        <v>0</v>
      </c>
      <c r="AX69" s="35">
        <f t="shared" si="34"/>
        <v>0</v>
      </c>
      <c r="AY69" s="35">
        <f t="shared" si="34"/>
        <v>0</v>
      </c>
      <c r="AZ69" s="35">
        <f t="shared" si="34"/>
        <v>0</v>
      </c>
      <c r="BA69" s="35">
        <f t="shared" si="34"/>
        <v>0</v>
      </c>
      <c r="BB69" s="35">
        <f t="shared" si="34"/>
        <v>0</v>
      </c>
    </row>
    <row r="70" spans="1:54" ht="26.25">
      <c r="A70" s="30"/>
      <c r="E70" s="45" t="s">
        <v>552</v>
      </c>
      <c r="G70" s="5" t="s">
        <v>248</v>
      </c>
      <c r="L70" s="31"/>
      <c r="M70" s="31"/>
      <c r="N70" s="31"/>
      <c r="O70" s="31"/>
      <c r="P70" s="35">
        <f>IF(P57&gt;0,-P57,IF(P67&gt;0,P67,0))</f>
        <v>0</v>
      </c>
      <c r="Q70" s="35">
        <f t="shared" ref="Q70:BB70" si="35">IF(Q57&gt;0,-Q57,IF(Q67&gt;0,Q67,0))</f>
        <v>0</v>
      </c>
      <c r="R70" s="35">
        <f t="shared" si="35"/>
        <v>0</v>
      </c>
      <c r="S70" s="35">
        <f t="shared" si="35"/>
        <v>24.996499711583155</v>
      </c>
      <c r="T70" s="35">
        <f t="shared" si="35"/>
        <v>25.577046282690425</v>
      </c>
      <c r="U70" s="35">
        <f t="shared" si="35"/>
        <v>24.383897278477871</v>
      </c>
      <c r="V70" s="35">
        <f t="shared" si="35"/>
        <v>25.082200293143497</v>
      </c>
      <c r="W70" s="35">
        <f t="shared" si="35"/>
        <v>25.804520104426306</v>
      </c>
      <c r="X70" s="35">
        <f t="shared" si="35"/>
        <v>26.551784831490533</v>
      </c>
      <c r="Y70" s="35">
        <f t="shared" si="35"/>
        <v>27.324960620405221</v>
      </c>
      <c r="Z70" s="35">
        <f t="shared" si="35"/>
        <v>28.125053242853614</v>
      </c>
      <c r="AA70" s="35">
        <f t="shared" si="35"/>
        <v>28.953109762777018</v>
      </c>
      <c r="AB70" s="35">
        <f t="shared" si="35"/>
        <v>29.810220273852348</v>
      </c>
      <c r="AC70" s="35">
        <f t="shared" si="35"/>
        <v>30.697519710826572</v>
      </c>
      <c r="AD70" s="35">
        <f t="shared" si="35"/>
        <v>31.616189737860612</v>
      </c>
      <c r="AE70" s="35">
        <f t="shared" si="35"/>
        <v>32.567460717169681</v>
      </c>
      <c r="AF70" s="35">
        <f t="shared" si="35"/>
        <v>33.552613761388173</v>
      </c>
      <c r="AG70" s="35">
        <f t="shared" si="35"/>
        <v>34.572982873233116</v>
      </c>
      <c r="AH70" s="35">
        <f t="shared" si="35"/>
        <v>35.629957176193585</v>
      </c>
      <c r="AI70" s="35">
        <f t="shared" si="35"/>
        <v>36.724983240132545</v>
      </c>
      <c r="AJ70" s="35">
        <f t="shared" si="35"/>
        <v>37.859567505853654</v>
      </c>
      <c r="AK70" s="35">
        <f t="shared" si="35"/>
        <v>39.035278812859367</v>
      </c>
      <c r="AL70" s="35">
        <f t="shared" si="35"/>
        <v>38.777353960261244</v>
      </c>
      <c r="AM70" s="35">
        <f t="shared" si="35"/>
        <v>23.38705442240024</v>
      </c>
      <c r="AN70" s="35">
        <f t="shared" si="35"/>
        <v>24.388020351678964</v>
      </c>
      <c r="AO70" s="35">
        <f t="shared" si="35"/>
        <v>8.3728330503309571</v>
      </c>
      <c r="AP70" s="35">
        <f t="shared" si="35"/>
        <v>0</v>
      </c>
      <c r="AQ70" s="35">
        <f t="shared" si="35"/>
        <v>0</v>
      </c>
      <c r="AR70" s="35">
        <f t="shared" si="35"/>
        <v>0</v>
      </c>
      <c r="AS70" s="35">
        <f t="shared" si="35"/>
        <v>0</v>
      </c>
      <c r="AT70" s="35">
        <f t="shared" si="35"/>
        <v>0</v>
      </c>
      <c r="AU70" s="35">
        <f t="shared" si="35"/>
        <v>0</v>
      </c>
      <c r="AV70" s="35">
        <f t="shared" si="35"/>
        <v>0</v>
      </c>
      <c r="AW70" s="35">
        <f t="shared" si="35"/>
        <v>0</v>
      </c>
      <c r="AX70" s="35">
        <f t="shared" si="35"/>
        <v>0</v>
      </c>
      <c r="AY70" s="35">
        <f t="shared" si="35"/>
        <v>0</v>
      </c>
      <c r="AZ70" s="35">
        <f t="shared" si="35"/>
        <v>0</v>
      </c>
      <c r="BA70" s="35">
        <f t="shared" si="35"/>
        <v>0</v>
      </c>
      <c r="BB70" s="35">
        <f t="shared" si="35"/>
        <v>0</v>
      </c>
    </row>
    <row r="71" spans="1:54" ht="15" customHeight="1">
      <c r="G71" s="5"/>
      <c r="L71" s="5"/>
      <c r="M71" s="5"/>
      <c r="N71" s="5"/>
      <c r="O71" s="5"/>
      <c r="P71" s="35"/>
      <c r="Q71" s="35"/>
      <c r="R71" s="35"/>
      <c r="S71" s="35"/>
      <c r="T71" s="35"/>
      <c r="U71" s="35"/>
      <c r="V71" s="35"/>
      <c r="W71" s="35"/>
      <c r="X71" s="35"/>
      <c r="Y71" s="35"/>
      <c r="Z71" s="35"/>
      <c r="AA71" s="35"/>
      <c r="AB71" s="35"/>
      <c r="AC71" s="35"/>
      <c r="AD71" s="35"/>
      <c r="AE71" s="35"/>
      <c r="AF71" s="35"/>
      <c r="AG71" s="35"/>
      <c r="AH71" s="35"/>
      <c r="AI71" s="35"/>
      <c r="AJ71" s="35"/>
      <c r="AK71" s="35"/>
      <c r="AL71" s="35"/>
      <c r="AM71" s="35"/>
      <c r="AN71" s="35"/>
      <c r="AO71" s="35"/>
      <c r="AP71" s="35"/>
      <c r="AQ71" s="35"/>
      <c r="AR71" s="35"/>
      <c r="AS71" s="35"/>
      <c r="AT71" s="35"/>
      <c r="AU71" s="35"/>
      <c r="AV71" s="35"/>
      <c r="AW71" s="35"/>
      <c r="AX71" s="35"/>
      <c r="AY71" s="35"/>
      <c r="AZ71" s="35"/>
      <c r="BA71" s="35"/>
      <c r="BB71" s="35"/>
    </row>
    <row r="72" spans="1:54" ht="15" customHeight="1">
      <c r="E72" s="19" t="s">
        <v>553</v>
      </c>
      <c r="G72" s="5" t="s">
        <v>248</v>
      </c>
      <c r="H72" s="19" t="s">
        <v>554</v>
      </c>
      <c r="L72" s="31"/>
      <c r="M72" s="31"/>
      <c r="N72" s="31"/>
      <c r="O72" s="31"/>
      <c r="P72" s="186">
        <f t="shared" ref="P72:BB72" si="36">P69*P54</f>
        <v>0</v>
      </c>
      <c r="Q72" s="186">
        <f t="shared" si="36"/>
        <v>0</v>
      </c>
      <c r="R72" s="186">
        <f t="shared" si="36"/>
        <v>0</v>
      </c>
      <c r="S72" s="186">
        <f t="shared" si="36"/>
        <v>24.205308577085852</v>
      </c>
      <c r="T72" s="186">
        <f t="shared" si="36"/>
        <v>25.339064090865126</v>
      </c>
      <c r="U72" s="186">
        <f t="shared" si="36"/>
        <v>27.328469291029048</v>
      </c>
      <c r="V72" s="186">
        <f t="shared" si="36"/>
        <v>28.498127776685092</v>
      </c>
      <c r="W72" s="186">
        <f t="shared" si="36"/>
        <v>29.717847645527215</v>
      </c>
      <c r="X72" s="186">
        <f t="shared" si="36"/>
        <v>30.989771524755774</v>
      </c>
      <c r="Y72" s="186">
        <f t="shared" si="36"/>
        <v>32.316133746015318</v>
      </c>
      <c r="Z72" s="186">
        <f t="shared" si="36"/>
        <v>33.69926427034477</v>
      </c>
      <c r="AA72" s="186">
        <f t="shared" si="36"/>
        <v>35.141592781115527</v>
      </c>
      <c r="AB72" s="186">
        <f t="shared" si="36"/>
        <v>36.645652952147266</v>
      </c>
      <c r="AC72" s="186">
        <f t="shared" si="36"/>
        <v>38.214086898499168</v>
      </c>
      <c r="AD72" s="186">
        <f t="shared" si="36"/>
        <v>39.84964981775493</v>
      </c>
      <c r="AE72" s="186">
        <f t="shared" si="36"/>
        <v>41.555214829954842</v>
      </c>
      <c r="AF72" s="186">
        <f t="shared" si="36"/>
        <v>43.333778024676917</v>
      </c>
      <c r="AG72" s="186">
        <f t="shared" si="36"/>
        <v>45.188463724133079</v>
      </c>
      <c r="AH72" s="186">
        <f t="shared" si="36"/>
        <v>47.122529971525978</v>
      </c>
      <c r="AI72" s="186">
        <f t="shared" si="36"/>
        <v>49.139374254307278</v>
      </c>
      <c r="AJ72" s="186">
        <f t="shared" si="36"/>
        <v>51.242539472391634</v>
      </c>
      <c r="AK72" s="186">
        <f t="shared" si="36"/>
        <v>53.435720161809996</v>
      </c>
      <c r="AL72" s="186">
        <f t="shared" si="36"/>
        <v>55.72276898473546</v>
      </c>
      <c r="AM72" s="186">
        <f t="shared" si="36"/>
        <v>58.107703497282138</v>
      </c>
      <c r="AN72" s="186">
        <f t="shared" si="36"/>
        <v>60.594713206965807</v>
      </c>
      <c r="AO72" s="186">
        <f t="shared" si="36"/>
        <v>20.803222651882074</v>
      </c>
      <c r="AP72" s="186">
        <f t="shared" si="36"/>
        <v>0</v>
      </c>
      <c r="AQ72" s="186">
        <f t="shared" si="36"/>
        <v>0</v>
      </c>
      <c r="AR72" s="186">
        <f t="shared" si="36"/>
        <v>0</v>
      </c>
      <c r="AS72" s="186">
        <f t="shared" si="36"/>
        <v>0</v>
      </c>
      <c r="AT72" s="186">
        <f t="shared" si="36"/>
        <v>0</v>
      </c>
      <c r="AU72" s="186">
        <f t="shared" si="36"/>
        <v>0</v>
      </c>
      <c r="AV72" s="186">
        <f t="shared" si="36"/>
        <v>0</v>
      </c>
      <c r="AW72" s="186">
        <f t="shared" si="36"/>
        <v>0</v>
      </c>
      <c r="AX72" s="186">
        <f t="shared" si="36"/>
        <v>0</v>
      </c>
      <c r="AY72" s="186">
        <f t="shared" si="36"/>
        <v>0</v>
      </c>
      <c r="AZ72" s="186">
        <f t="shared" si="36"/>
        <v>0</v>
      </c>
      <c r="BA72" s="186">
        <f t="shared" si="36"/>
        <v>0</v>
      </c>
      <c r="BB72" s="186">
        <f t="shared" si="36"/>
        <v>0</v>
      </c>
    </row>
    <row r="73" spans="1:54" ht="15" customHeight="1">
      <c r="E73" s="19" t="s">
        <v>555</v>
      </c>
      <c r="G73" s="5" t="s">
        <v>248</v>
      </c>
      <c r="H73" s="19" t="s">
        <v>556</v>
      </c>
      <c r="L73" s="31"/>
      <c r="M73" s="31"/>
      <c r="N73" s="31"/>
      <c r="O73" s="31"/>
      <c r="P73" s="186">
        <f t="shared" ref="P73:BB73" si="37">P70*P54</f>
        <v>0</v>
      </c>
      <c r="Q73" s="186">
        <f t="shared" si="37"/>
        <v>0</v>
      </c>
      <c r="R73" s="186">
        <f t="shared" si="37"/>
        <v>0</v>
      </c>
      <c r="S73" s="186">
        <f t="shared" si="37"/>
        <v>24.996499711583155</v>
      </c>
      <c r="T73" s="186">
        <f t="shared" si="37"/>
        <v>25.577046282690425</v>
      </c>
      <c r="U73" s="186">
        <f t="shared" si="37"/>
        <v>24.383897278477871</v>
      </c>
      <c r="V73" s="186">
        <f t="shared" si="37"/>
        <v>25.082200293143497</v>
      </c>
      <c r="W73" s="186">
        <f t="shared" si="37"/>
        <v>25.804520104426306</v>
      </c>
      <c r="X73" s="186">
        <f t="shared" si="37"/>
        <v>26.551784831490533</v>
      </c>
      <c r="Y73" s="186">
        <f t="shared" si="37"/>
        <v>27.324960620405221</v>
      </c>
      <c r="Z73" s="186">
        <f t="shared" si="37"/>
        <v>28.125053242853614</v>
      </c>
      <c r="AA73" s="186">
        <f t="shared" si="37"/>
        <v>28.953109762777018</v>
      </c>
      <c r="AB73" s="186">
        <f t="shared" si="37"/>
        <v>29.810220273852348</v>
      </c>
      <c r="AC73" s="186">
        <f t="shared" si="37"/>
        <v>30.697519710826572</v>
      </c>
      <c r="AD73" s="186">
        <f t="shared" si="37"/>
        <v>31.616189737860612</v>
      </c>
      <c r="AE73" s="186">
        <f t="shared" si="37"/>
        <v>32.567460717169681</v>
      </c>
      <c r="AF73" s="186">
        <f t="shared" si="37"/>
        <v>33.552613761388173</v>
      </c>
      <c r="AG73" s="186">
        <f t="shared" si="37"/>
        <v>34.572982873233116</v>
      </c>
      <c r="AH73" s="186">
        <f t="shared" si="37"/>
        <v>35.629957176193585</v>
      </c>
      <c r="AI73" s="186">
        <f t="shared" si="37"/>
        <v>36.724983240132545</v>
      </c>
      <c r="AJ73" s="186">
        <f t="shared" si="37"/>
        <v>37.859567505853654</v>
      </c>
      <c r="AK73" s="186">
        <f t="shared" si="37"/>
        <v>39.035278812859367</v>
      </c>
      <c r="AL73" s="186">
        <f t="shared" si="37"/>
        <v>38.777353960261244</v>
      </c>
      <c r="AM73" s="186">
        <f t="shared" si="37"/>
        <v>23.38705442240024</v>
      </c>
      <c r="AN73" s="186">
        <f t="shared" si="37"/>
        <v>24.388020351678964</v>
      </c>
      <c r="AO73" s="186">
        <f t="shared" si="37"/>
        <v>8.3728330503309571</v>
      </c>
      <c r="AP73" s="186">
        <f t="shared" si="37"/>
        <v>0</v>
      </c>
      <c r="AQ73" s="186">
        <f t="shared" si="37"/>
        <v>0</v>
      </c>
      <c r="AR73" s="186">
        <f t="shared" si="37"/>
        <v>0</v>
      </c>
      <c r="AS73" s="186">
        <f t="shared" si="37"/>
        <v>0</v>
      </c>
      <c r="AT73" s="186">
        <f t="shared" si="37"/>
        <v>0</v>
      </c>
      <c r="AU73" s="186">
        <f t="shared" si="37"/>
        <v>0</v>
      </c>
      <c r="AV73" s="186">
        <f t="shared" si="37"/>
        <v>0</v>
      </c>
      <c r="AW73" s="186">
        <f t="shared" si="37"/>
        <v>0</v>
      </c>
      <c r="AX73" s="186">
        <f t="shared" si="37"/>
        <v>0</v>
      </c>
      <c r="AY73" s="186">
        <f t="shared" si="37"/>
        <v>0</v>
      </c>
      <c r="AZ73" s="186">
        <f t="shared" si="37"/>
        <v>0</v>
      </c>
      <c r="BA73" s="186">
        <f t="shared" si="37"/>
        <v>0</v>
      </c>
      <c r="BB73" s="186">
        <f t="shared" si="37"/>
        <v>0</v>
      </c>
    </row>
    <row r="74" spans="1:54" ht="15" customHeight="1">
      <c r="A74" s="19"/>
      <c r="C74" s="30"/>
      <c r="D74" s="19"/>
      <c r="O74" s="32"/>
      <c r="P74" s="32"/>
      <c r="Q74" s="32"/>
      <c r="R74" s="32"/>
      <c r="S74" s="32"/>
      <c r="T74" s="32"/>
      <c r="U74" s="32"/>
      <c r="V74" s="32"/>
      <c r="W74" s="32"/>
      <c r="X74" s="32"/>
      <c r="Y74" s="32"/>
      <c r="Z74" s="32"/>
      <c r="AA74" s="32"/>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row>
    <row r="75" spans="1:54" s="4" customFormat="1" ht="15" customHeight="1">
      <c r="B75" s="166" t="s">
        <v>557</v>
      </c>
      <c r="C75" s="8"/>
      <c r="D75" s="8"/>
      <c r="E75" s="8"/>
      <c r="F75" s="8"/>
      <c r="G75" s="8"/>
      <c r="H75" s="8"/>
      <c r="I75" s="8"/>
      <c r="J75" s="8"/>
      <c r="K75" s="8"/>
      <c r="L75" s="8"/>
      <c r="M75" s="8"/>
      <c r="N75" s="8"/>
      <c r="O75" s="8"/>
      <c r="P75" s="8"/>
      <c r="Q75" s="8"/>
      <c r="R75" s="8"/>
      <c r="S75" s="8"/>
      <c r="T75" s="8"/>
      <c r="U75" s="8"/>
      <c r="V75" s="8"/>
      <c r="W75" s="8"/>
      <c r="X75" s="8"/>
      <c r="Y75" s="8"/>
      <c r="Z75" s="8"/>
      <c r="AA75" s="8"/>
      <c r="AB75" s="8"/>
      <c r="AC75" s="8"/>
      <c r="AD75" s="8"/>
      <c r="AE75" s="8"/>
      <c r="AF75" s="8"/>
      <c r="AG75" s="8"/>
      <c r="AH75" s="8"/>
      <c r="AI75" s="8"/>
      <c r="AJ75" s="8"/>
      <c r="AK75" s="8"/>
      <c r="AL75" s="8"/>
      <c r="AM75" s="8"/>
      <c r="AN75" s="8"/>
      <c r="AO75" s="8"/>
      <c r="AP75" s="8"/>
      <c r="AQ75" s="8"/>
      <c r="AR75" s="8"/>
      <c r="AS75" s="8"/>
      <c r="AT75" s="8"/>
      <c r="AU75" s="8"/>
      <c r="AV75" s="8"/>
      <c r="AW75" s="8"/>
      <c r="AX75" s="8"/>
      <c r="AY75" s="8"/>
      <c r="AZ75" s="8"/>
      <c r="BA75" s="8"/>
      <c r="BB75" s="8"/>
    </row>
    <row r="76" spans="1:54" ht="15" customHeight="1">
      <c r="A76" s="19"/>
      <c r="D76" s="19"/>
      <c r="W76" s="65"/>
      <c r="X76" s="65"/>
      <c r="Y76" s="65"/>
      <c r="Z76" s="65"/>
      <c r="AA76" s="65"/>
      <c r="AB76" s="65"/>
      <c r="AC76" s="65"/>
      <c r="AD76" s="65"/>
      <c r="AE76" s="65"/>
      <c r="AF76" s="65"/>
      <c r="AG76" s="65"/>
      <c r="AH76" s="65"/>
      <c r="AI76" s="65"/>
      <c r="AJ76" s="65"/>
      <c r="AK76" s="65"/>
      <c r="AL76" s="65"/>
      <c r="AM76" s="65"/>
      <c r="AN76" s="65"/>
      <c r="AO76" s="65"/>
      <c r="AP76" s="65"/>
      <c r="AQ76" s="65"/>
      <c r="AR76" s="65"/>
      <c r="AS76" s="65"/>
      <c r="AT76" s="65"/>
      <c r="AU76" s="65"/>
      <c r="AV76" s="65"/>
      <c r="AW76" s="65"/>
      <c r="AX76" s="65"/>
      <c r="AY76" s="65"/>
      <c r="AZ76" s="65"/>
      <c r="BA76" s="65"/>
      <c r="BB76" s="65"/>
    </row>
    <row r="77" spans="1:54" s="59" customFormat="1" ht="15" customHeight="1">
      <c r="A77" s="19"/>
      <c r="C77" s="38" t="s">
        <v>558</v>
      </c>
      <c r="D77" s="38"/>
      <c r="E77" s="38"/>
      <c r="F77" s="38"/>
      <c r="G77" s="38"/>
      <c r="H77" s="38"/>
      <c r="I77" s="38"/>
      <c r="J77" s="38"/>
      <c r="K77" s="38"/>
      <c r="L77" s="38"/>
      <c r="M77" s="38"/>
      <c r="N77" s="38"/>
      <c r="O77" s="38"/>
      <c r="P77" s="38"/>
      <c r="Q77" s="38"/>
      <c r="R77" s="38"/>
      <c r="S77" s="38"/>
      <c r="T77" s="38"/>
      <c r="U77" s="38"/>
      <c r="V77" s="38"/>
      <c r="W77" s="38"/>
      <c r="X77" s="38"/>
      <c r="Y77" s="38"/>
      <c r="Z77" s="38"/>
      <c r="AA77" s="38"/>
      <c r="AB77" s="38"/>
      <c r="AC77" s="38"/>
      <c r="AD77" s="38"/>
      <c r="AE77" s="38"/>
      <c r="AF77" s="38"/>
      <c r="AG77" s="38"/>
      <c r="AH77" s="38"/>
      <c r="AI77" s="38"/>
      <c r="AJ77" s="38"/>
      <c r="AK77" s="38"/>
      <c r="AL77" s="38"/>
      <c r="AM77" s="38"/>
      <c r="AN77" s="38"/>
      <c r="AO77" s="38"/>
      <c r="AP77" s="38"/>
      <c r="AQ77" s="38"/>
      <c r="AR77" s="38"/>
      <c r="AS77" s="38"/>
      <c r="AT77" s="38"/>
      <c r="AU77" s="38"/>
      <c r="AV77" s="38"/>
      <c r="AW77" s="38"/>
      <c r="AX77" s="38"/>
      <c r="AY77" s="38"/>
      <c r="AZ77" s="38"/>
      <c r="BA77" s="38"/>
      <c r="BB77" s="38"/>
    </row>
    <row r="78" spans="1:54" ht="15" customHeight="1">
      <c r="A78" s="19"/>
      <c r="D78" s="19"/>
      <c r="W78" s="65"/>
      <c r="X78" s="65"/>
      <c r="Y78" s="65"/>
      <c r="Z78" s="65"/>
      <c r="AA78" s="65"/>
      <c r="AB78" s="65"/>
      <c r="AC78" s="65"/>
      <c r="AD78" s="65"/>
      <c r="AE78" s="65"/>
      <c r="AF78" s="65"/>
      <c r="AG78" s="65"/>
      <c r="AH78" s="65"/>
      <c r="AI78" s="65"/>
      <c r="AJ78" s="65"/>
      <c r="AK78" s="65"/>
      <c r="AL78" s="65"/>
      <c r="AM78" s="65"/>
      <c r="AN78" s="65"/>
      <c r="AO78" s="65"/>
      <c r="AP78" s="65"/>
      <c r="AQ78" s="65"/>
      <c r="AR78" s="65"/>
      <c r="AS78" s="65"/>
      <c r="AT78" s="65"/>
      <c r="AU78" s="65"/>
      <c r="AV78" s="65"/>
      <c r="AW78" s="65"/>
      <c r="AX78" s="65"/>
      <c r="AY78" s="65"/>
      <c r="AZ78" s="65"/>
      <c r="BA78" s="65"/>
      <c r="BB78" s="65"/>
    </row>
    <row r="79" spans="1:54" ht="15" customHeight="1">
      <c r="A79" s="19"/>
      <c r="D79" s="19"/>
      <c r="E79" s="19" t="s">
        <v>559</v>
      </c>
      <c r="G79" s="5" t="s">
        <v>193</v>
      </c>
      <c r="H79" s="19" t="s">
        <v>482</v>
      </c>
      <c r="L79" s="31"/>
      <c r="M79" s="31"/>
      <c r="N79" s="31"/>
      <c r="O79" s="31"/>
      <c r="P79" s="204">
        <f>Availability!P47</f>
        <v>0</v>
      </c>
      <c r="Q79" s="204">
        <f>Availability!Q47</f>
        <v>0</v>
      </c>
      <c r="R79" s="204">
        <f>Availability!R47</f>
        <v>0</v>
      </c>
      <c r="S79" s="204">
        <f>Availability!S47</f>
        <v>1.25</v>
      </c>
      <c r="T79" s="204">
        <f>Availability!T47</f>
        <v>1.25</v>
      </c>
      <c r="U79" s="204">
        <f>Availability!U47</f>
        <v>1.25</v>
      </c>
      <c r="V79" s="204">
        <f>Availability!V47</f>
        <v>1.25</v>
      </c>
      <c r="W79" s="204">
        <f>Availability!W47</f>
        <v>1.25</v>
      </c>
      <c r="X79" s="204">
        <f>Availability!X47</f>
        <v>1.25</v>
      </c>
      <c r="Y79" s="204">
        <f>Availability!Y47</f>
        <v>1.25</v>
      </c>
      <c r="Z79" s="204">
        <f>Availability!Z47</f>
        <v>1.25</v>
      </c>
      <c r="AA79" s="204">
        <f>Availability!AA47</f>
        <v>1.25</v>
      </c>
      <c r="AB79" s="204">
        <f>Availability!AB47</f>
        <v>1.25</v>
      </c>
      <c r="AC79" s="204">
        <f>Availability!AC47</f>
        <v>1.25</v>
      </c>
      <c r="AD79" s="204">
        <f>Availability!AD47</f>
        <v>1.25</v>
      </c>
      <c r="AE79" s="204">
        <f>Availability!AE47</f>
        <v>1.25</v>
      </c>
      <c r="AF79" s="204">
        <f>Availability!AF47</f>
        <v>1.25</v>
      </c>
      <c r="AG79" s="204">
        <f>Availability!AG47</f>
        <v>1.25</v>
      </c>
      <c r="AH79" s="204">
        <f>Availability!AH47</f>
        <v>1.25</v>
      </c>
      <c r="AI79" s="204">
        <f>Availability!AI47</f>
        <v>1.25</v>
      </c>
      <c r="AJ79" s="204">
        <f>Availability!AJ47</f>
        <v>1.25</v>
      </c>
      <c r="AK79" s="204">
        <f>Availability!AK47</f>
        <v>1.25</v>
      </c>
      <c r="AL79" s="204">
        <f>Availability!AL47</f>
        <v>1.25</v>
      </c>
      <c r="AM79" s="204">
        <f>Availability!AM47</f>
        <v>1.25</v>
      </c>
      <c r="AN79" s="204">
        <f>Availability!AN47</f>
        <v>1.25</v>
      </c>
      <c r="AO79" s="204">
        <f>Availability!AO47</f>
        <v>1.25</v>
      </c>
      <c r="AP79" s="204">
        <f>Availability!AP47</f>
        <v>0</v>
      </c>
      <c r="AQ79" s="204">
        <f>Availability!AQ47</f>
        <v>0</v>
      </c>
      <c r="AR79" s="204">
        <f>Availability!AR47</f>
        <v>0</v>
      </c>
      <c r="AS79" s="204">
        <f>Availability!AS47</f>
        <v>0</v>
      </c>
      <c r="AT79" s="204">
        <f>Availability!AT47</f>
        <v>0</v>
      </c>
      <c r="AU79" s="204">
        <f>Availability!AU47</f>
        <v>0</v>
      </c>
      <c r="AV79" s="204">
        <f>Availability!AV47</f>
        <v>0</v>
      </c>
      <c r="AW79" s="204">
        <f>Availability!AW47</f>
        <v>0</v>
      </c>
      <c r="AX79" s="204">
        <f>Availability!AX47</f>
        <v>0</v>
      </c>
      <c r="AY79" s="204">
        <f>Availability!AY47</f>
        <v>0</v>
      </c>
      <c r="AZ79" s="204">
        <f>Availability!AZ47</f>
        <v>0</v>
      </c>
      <c r="BA79" s="204">
        <f>Availability!BA47</f>
        <v>0</v>
      </c>
      <c r="BB79" s="204">
        <f>Availability!BB47</f>
        <v>0</v>
      </c>
    </row>
    <row r="80" spans="1:54" ht="15" customHeight="1">
      <c r="A80" s="19"/>
      <c r="B80" s="5"/>
      <c r="C80" s="5"/>
      <c r="D80" s="5"/>
      <c r="E80" s="19" t="s">
        <v>485</v>
      </c>
      <c r="G80" s="5" t="s">
        <v>193</v>
      </c>
      <c r="H80" s="19" t="s">
        <v>486</v>
      </c>
      <c r="J80" s="15"/>
      <c r="K80" s="15"/>
      <c r="L80" s="31"/>
      <c r="M80" s="31"/>
      <c r="N80" s="31"/>
      <c r="O80" s="31"/>
      <c r="P80" s="204">
        <f>Availability!P53</f>
        <v>0</v>
      </c>
      <c r="Q80" s="204">
        <f>Availability!Q53</f>
        <v>0</v>
      </c>
      <c r="R80" s="204">
        <f>Availability!R53</f>
        <v>0</v>
      </c>
      <c r="S80" s="204">
        <f>Availability!S53</f>
        <v>1</v>
      </c>
      <c r="T80" s="204">
        <f>Availability!T53</f>
        <v>1</v>
      </c>
      <c r="U80" s="204">
        <f>Availability!U53</f>
        <v>1</v>
      </c>
      <c r="V80" s="204">
        <f>Availability!V53</f>
        <v>1</v>
      </c>
      <c r="W80" s="204">
        <f>Availability!W53</f>
        <v>1</v>
      </c>
      <c r="X80" s="204">
        <f>Availability!X53</f>
        <v>1</v>
      </c>
      <c r="Y80" s="204">
        <f>Availability!Y53</f>
        <v>1</v>
      </c>
      <c r="Z80" s="204">
        <f>Availability!Z53</f>
        <v>1</v>
      </c>
      <c r="AA80" s="204">
        <f>Availability!AA53</f>
        <v>1</v>
      </c>
      <c r="AB80" s="204">
        <f>Availability!AB53</f>
        <v>1</v>
      </c>
      <c r="AC80" s="204">
        <f>Availability!AC53</f>
        <v>1</v>
      </c>
      <c r="AD80" s="204">
        <f>Availability!AD53</f>
        <v>1</v>
      </c>
      <c r="AE80" s="204">
        <f>Availability!AE53</f>
        <v>1</v>
      </c>
      <c r="AF80" s="204">
        <f>Availability!AF53</f>
        <v>1</v>
      </c>
      <c r="AG80" s="204">
        <f>Availability!AG53</f>
        <v>1</v>
      </c>
      <c r="AH80" s="204">
        <f>Availability!AH53</f>
        <v>1</v>
      </c>
      <c r="AI80" s="204">
        <f>Availability!AI53</f>
        <v>1</v>
      </c>
      <c r="AJ80" s="204">
        <f>Availability!AJ53</f>
        <v>1</v>
      </c>
      <c r="AK80" s="204">
        <f>Availability!AK53</f>
        <v>1</v>
      </c>
      <c r="AL80" s="204">
        <f>Availability!AL53</f>
        <v>1</v>
      </c>
      <c r="AM80" s="204">
        <f>Availability!AM53</f>
        <v>1</v>
      </c>
      <c r="AN80" s="204">
        <f>Availability!AN53</f>
        <v>1</v>
      </c>
      <c r="AO80" s="204">
        <f>Availability!AO53</f>
        <v>1</v>
      </c>
      <c r="AP80" s="204">
        <f>Availability!AP53</f>
        <v>0</v>
      </c>
      <c r="AQ80" s="204">
        <f>Availability!AQ53</f>
        <v>0</v>
      </c>
      <c r="AR80" s="204">
        <f>Availability!AR53</f>
        <v>0</v>
      </c>
      <c r="AS80" s="204">
        <f>Availability!AS53</f>
        <v>0</v>
      </c>
      <c r="AT80" s="204">
        <f>Availability!AT53</f>
        <v>0</v>
      </c>
      <c r="AU80" s="204">
        <f>Availability!AU53</f>
        <v>0</v>
      </c>
      <c r="AV80" s="204">
        <f>Availability!AV53</f>
        <v>0</v>
      </c>
      <c r="AW80" s="204">
        <f>Availability!AW53</f>
        <v>0</v>
      </c>
      <c r="AX80" s="204">
        <f>Availability!AX53</f>
        <v>0</v>
      </c>
      <c r="AY80" s="204">
        <f>Availability!AY53</f>
        <v>0</v>
      </c>
      <c r="AZ80" s="204">
        <f>Availability!AZ53</f>
        <v>0</v>
      </c>
      <c r="BA80" s="204">
        <f>Availability!BA53</f>
        <v>0</v>
      </c>
      <c r="BB80" s="204">
        <f>Availability!BB53</f>
        <v>0</v>
      </c>
    </row>
    <row r="81" spans="1:55" ht="15" customHeight="1">
      <c r="A81" s="19"/>
      <c r="D81" s="19"/>
      <c r="W81" s="65"/>
      <c r="X81" s="65"/>
      <c r="Y81" s="65"/>
      <c r="Z81" s="65"/>
      <c r="AA81" s="65"/>
      <c r="AB81" s="65"/>
      <c r="AC81" s="65"/>
      <c r="AD81" s="65"/>
      <c r="AE81" s="65"/>
      <c r="AF81" s="65"/>
      <c r="AG81" s="65"/>
      <c r="AH81" s="65"/>
      <c r="AI81" s="65"/>
      <c r="AJ81" s="65"/>
      <c r="AK81" s="65"/>
      <c r="AL81" s="65"/>
      <c r="AM81" s="65"/>
      <c r="AN81" s="65"/>
      <c r="AO81" s="65"/>
      <c r="AP81" s="65"/>
      <c r="AQ81" s="65"/>
      <c r="AR81" s="65"/>
      <c r="AS81" s="65"/>
      <c r="AT81" s="65"/>
      <c r="AU81" s="65"/>
      <c r="AV81" s="65"/>
      <c r="AW81" s="65"/>
      <c r="AX81" s="65"/>
      <c r="AY81" s="65"/>
      <c r="AZ81" s="65"/>
      <c r="BA81" s="65"/>
      <c r="BB81" s="65"/>
    </row>
    <row r="82" spans="1:55" ht="15" customHeight="1">
      <c r="A82" s="19"/>
      <c r="D82" s="19"/>
      <c r="E82" s="19" t="s">
        <v>483</v>
      </c>
      <c r="G82" s="5" t="s">
        <v>248</v>
      </c>
      <c r="I82" s="30"/>
      <c r="L82" s="31"/>
      <c r="M82" s="31"/>
      <c r="N82" s="31"/>
      <c r="O82" s="31"/>
      <c r="P82" s="35">
        <f>P24*Inputs!$I$123</f>
        <v>0</v>
      </c>
      <c r="Q82" s="35">
        <f>Q24*Inputs!$I$123</f>
        <v>0</v>
      </c>
      <c r="R82" s="35">
        <f>R24*Inputs!$I$123</f>
        <v>0</v>
      </c>
      <c r="S82" s="35">
        <f>S24*Inputs!$I$123</f>
        <v>96.821234308343406</v>
      </c>
      <c r="T82" s="35">
        <f>T24*Inputs!$I$123</f>
        <v>101.3562563634605</v>
      </c>
      <c r="U82" s="35">
        <f>U24*Inputs!$I$123</f>
        <v>109.31387716411619</v>
      </c>
      <c r="V82" s="35">
        <f>V24*Inputs!$I$123</f>
        <v>113.99251110674037</v>
      </c>
      <c r="W82" s="35">
        <f>W24*Inputs!$I$123</f>
        <v>118.87139058210886</v>
      </c>
      <c r="X82" s="35">
        <f>X24*Inputs!$I$123</f>
        <v>123.9590860990231</v>
      </c>
      <c r="Y82" s="35">
        <f>Y24*Inputs!$I$123</f>
        <v>129.26453498406127</v>
      </c>
      <c r="Z82" s="35">
        <f>Z24*Inputs!$I$123</f>
        <v>134.79705708137908</v>
      </c>
      <c r="AA82" s="35">
        <f>AA24*Inputs!$I$123</f>
        <v>140.56637112446211</v>
      </c>
      <c r="AB82" s="35">
        <f>AB24*Inputs!$I$123</f>
        <v>146.58261180858906</v>
      </c>
      <c r="AC82" s="35">
        <f>AC24*Inputs!$I$123</f>
        <v>152.85634759399667</v>
      </c>
      <c r="AD82" s="35">
        <f>AD24*Inputs!$I$123</f>
        <v>159.39859927101972</v>
      </c>
      <c r="AE82" s="35">
        <f>AE24*Inputs!$I$123</f>
        <v>166.22085931981937</v>
      </c>
      <c r="AF82" s="35">
        <f>AF24*Inputs!$I$123</f>
        <v>173.33511209870767</v>
      </c>
      <c r="AG82" s="35">
        <f>AG24*Inputs!$I$123</f>
        <v>180.75385489653232</v>
      </c>
      <c r="AH82" s="35">
        <f>AH24*Inputs!$I$123</f>
        <v>188.49011988610391</v>
      </c>
      <c r="AI82" s="35">
        <f>AI24*Inputs!$I$123</f>
        <v>196.55749701722911</v>
      </c>
      <c r="AJ82" s="35">
        <f>AJ24*Inputs!$I$123</f>
        <v>204.97015788956654</v>
      </c>
      <c r="AK82" s="35">
        <f>AK24*Inputs!$I$123</f>
        <v>213.74288064723999</v>
      </c>
      <c r="AL82" s="35">
        <f>AL24*Inputs!$I$123</f>
        <v>222.89107593894184</v>
      </c>
      <c r="AM82" s="35">
        <f>AM24*Inputs!$I$123</f>
        <v>232.43081398912855</v>
      </c>
      <c r="AN82" s="35">
        <f>AN24*Inputs!$I$123</f>
        <v>242.37885282786323</v>
      </c>
      <c r="AO82" s="35">
        <f>AO24*Inputs!$I$123</f>
        <v>83.212890607528294</v>
      </c>
      <c r="AP82" s="35">
        <f>AP24*Inputs!$I$123</f>
        <v>0</v>
      </c>
      <c r="AQ82" s="35">
        <f>AQ24*Inputs!$I$123</f>
        <v>0</v>
      </c>
      <c r="AR82" s="35">
        <f>AR24*Inputs!$I$123</f>
        <v>0</v>
      </c>
      <c r="AS82" s="35">
        <f>AS24*Inputs!$I$123</f>
        <v>0</v>
      </c>
      <c r="AT82" s="35">
        <f>AT24*Inputs!$I$123</f>
        <v>0</v>
      </c>
      <c r="AU82" s="35">
        <f>AU24*Inputs!$I$123</f>
        <v>0</v>
      </c>
      <c r="AV82" s="35">
        <f>AV24*Inputs!$I$123</f>
        <v>0</v>
      </c>
      <c r="AW82" s="35">
        <f>AW24*Inputs!$I$123</f>
        <v>0</v>
      </c>
      <c r="AX82" s="35">
        <f>AX24*Inputs!$I$123</f>
        <v>0</v>
      </c>
      <c r="AY82" s="35">
        <f>AY24*Inputs!$I$123</f>
        <v>0</v>
      </c>
      <c r="AZ82" s="35">
        <f>AZ24*Inputs!$I$123</f>
        <v>0</v>
      </c>
      <c r="BA82" s="35">
        <f>BA24*Inputs!$I$123</f>
        <v>0</v>
      </c>
      <c r="BB82" s="35">
        <f>BB24*Inputs!$I$123</f>
        <v>0</v>
      </c>
      <c r="BC82" s="5"/>
    </row>
    <row r="83" spans="1:55" ht="15" customHeight="1">
      <c r="A83" s="19"/>
      <c r="D83" s="19"/>
      <c r="P83" s="35"/>
      <c r="Q83" s="35"/>
      <c r="R83" s="35"/>
      <c r="S83" s="35"/>
      <c r="T83" s="35"/>
      <c r="U83" s="35"/>
      <c r="V83" s="35"/>
      <c r="W83" s="35"/>
      <c r="X83" s="35"/>
      <c r="Y83" s="35"/>
      <c r="Z83" s="35"/>
      <c r="AA83" s="35"/>
      <c r="AB83" s="35"/>
      <c r="AC83" s="35"/>
      <c r="AD83" s="35"/>
      <c r="AE83" s="35"/>
      <c r="AF83" s="35"/>
      <c r="AG83" s="35"/>
      <c r="AH83" s="35"/>
      <c r="AI83" s="35"/>
      <c r="AJ83" s="35"/>
      <c r="AK83" s="35"/>
      <c r="AL83" s="35"/>
      <c r="AM83" s="35"/>
      <c r="AN83" s="35"/>
      <c r="AO83" s="35"/>
      <c r="AP83" s="35"/>
      <c r="AQ83" s="35"/>
      <c r="AR83" s="35"/>
      <c r="AS83" s="35"/>
      <c r="AT83" s="35"/>
      <c r="AU83" s="35"/>
      <c r="AV83" s="35"/>
      <c r="AW83" s="35"/>
      <c r="AX83" s="35"/>
      <c r="AY83" s="35"/>
      <c r="AZ83" s="35"/>
      <c r="BA83" s="35"/>
      <c r="BB83" s="35"/>
    </row>
    <row r="84" spans="1:55" ht="15" customHeight="1">
      <c r="A84" s="19"/>
      <c r="D84" s="19"/>
      <c r="E84" s="19" t="s">
        <v>557</v>
      </c>
      <c r="G84" s="5" t="s">
        <v>248</v>
      </c>
      <c r="H84" s="19" t="s">
        <v>560</v>
      </c>
      <c r="I84" s="30"/>
      <c r="L84" s="31"/>
      <c r="M84" s="31"/>
      <c r="N84" s="31"/>
      <c r="O84" s="31"/>
      <c r="P84" s="35">
        <f t="shared" ref="P84:BB84" si="38">IF(AND(P57=0,P79&lt;1,P80&lt;=1,P62&gt;0),P62,0)</f>
        <v>0</v>
      </c>
      <c r="Q84" s="35">
        <f t="shared" si="38"/>
        <v>0</v>
      </c>
      <c r="R84" s="35">
        <f t="shared" si="38"/>
        <v>0</v>
      </c>
      <c r="S84" s="35">
        <f t="shared" si="38"/>
        <v>0</v>
      </c>
      <c r="T84" s="35">
        <f t="shared" si="38"/>
        <v>0</v>
      </c>
      <c r="U84" s="35">
        <f t="shared" si="38"/>
        <v>0</v>
      </c>
      <c r="V84" s="35">
        <f t="shared" si="38"/>
        <v>0</v>
      </c>
      <c r="W84" s="35">
        <f t="shared" si="38"/>
        <v>0</v>
      </c>
      <c r="X84" s="35">
        <f t="shared" si="38"/>
        <v>0</v>
      </c>
      <c r="Y84" s="35">
        <f t="shared" si="38"/>
        <v>0</v>
      </c>
      <c r="Z84" s="35">
        <f t="shared" si="38"/>
        <v>0</v>
      </c>
      <c r="AA84" s="35">
        <f t="shared" si="38"/>
        <v>0</v>
      </c>
      <c r="AB84" s="35">
        <f t="shared" si="38"/>
        <v>0</v>
      </c>
      <c r="AC84" s="35">
        <f t="shared" si="38"/>
        <v>0</v>
      </c>
      <c r="AD84" s="35">
        <f t="shared" si="38"/>
        <v>0</v>
      </c>
      <c r="AE84" s="35">
        <f t="shared" si="38"/>
        <v>0</v>
      </c>
      <c r="AF84" s="35">
        <f t="shared" si="38"/>
        <v>0</v>
      </c>
      <c r="AG84" s="35">
        <f t="shared" si="38"/>
        <v>0</v>
      </c>
      <c r="AH84" s="35">
        <f t="shared" si="38"/>
        <v>0</v>
      </c>
      <c r="AI84" s="35">
        <f t="shared" si="38"/>
        <v>0</v>
      </c>
      <c r="AJ84" s="35">
        <f t="shared" si="38"/>
        <v>0</v>
      </c>
      <c r="AK84" s="35">
        <f t="shared" si="38"/>
        <v>0</v>
      </c>
      <c r="AL84" s="35">
        <f t="shared" si="38"/>
        <v>0</v>
      </c>
      <c r="AM84" s="35">
        <f t="shared" si="38"/>
        <v>0</v>
      </c>
      <c r="AN84" s="35">
        <f t="shared" si="38"/>
        <v>0</v>
      </c>
      <c r="AO84" s="35">
        <f t="shared" si="38"/>
        <v>0</v>
      </c>
      <c r="AP84" s="35">
        <f t="shared" si="38"/>
        <v>0</v>
      </c>
      <c r="AQ84" s="35">
        <f t="shared" si="38"/>
        <v>0</v>
      </c>
      <c r="AR84" s="35">
        <f t="shared" si="38"/>
        <v>0</v>
      </c>
      <c r="AS84" s="35">
        <f t="shared" si="38"/>
        <v>0</v>
      </c>
      <c r="AT84" s="35">
        <f t="shared" si="38"/>
        <v>0</v>
      </c>
      <c r="AU84" s="35">
        <f t="shared" si="38"/>
        <v>0</v>
      </c>
      <c r="AV84" s="35">
        <f t="shared" si="38"/>
        <v>0</v>
      </c>
      <c r="AW84" s="35">
        <f t="shared" si="38"/>
        <v>0</v>
      </c>
      <c r="AX84" s="35">
        <f t="shared" si="38"/>
        <v>0</v>
      </c>
      <c r="AY84" s="35">
        <f t="shared" si="38"/>
        <v>0</v>
      </c>
      <c r="AZ84" s="35">
        <f t="shared" si="38"/>
        <v>0</v>
      </c>
      <c r="BA84" s="35">
        <f t="shared" si="38"/>
        <v>0</v>
      </c>
      <c r="BB84" s="35">
        <f t="shared" si="38"/>
        <v>0</v>
      </c>
    </row>
    <row r="85" spans="1:55" ht="15" customHeight="1">
      <c r="A85" s="19"/>
      <c r="D85" s="19"/>
      <c r="E85" s="19" t="s">
        <v>561</v>
      </c>
      <c r="G85" s="5" t="s">
        <v>248</v>
      </c>
      <c r="I85" s="30"/>
      <c r="L85" s="31"/>
      <c r="M85" s="31"/>
      <c r="N85" s="31"/>
      <c r="O85" s="31"/>
      <c r="P85" s="35">
        <f t="shared" ref="P85:BB85" si="39">MAX(MIN(P84,P82-P90-P91),0)</f>
        <v>0</v>
      </c>
      <c r="Q85" s="35">
        <f t="shared" si="39"/>
        <v>0</v>
      </c>
      <c r="R85" s="35">
        <f t="shared" si="39"/>
        <v>0</v>
      </c>
      <c r="S85" s="35">
        <f t="shared" si="39"/>
        <v>0</v>
      </c>
      <c r="T85" s="35">
        <f t="shared" si="39"/>
        <v>0</v>
      </c>
      <c r="U85" s="35">
        <f t="shared" si="39"/>
        <v>0</v>
      </c>
      <c r="V85" s="35">
        <f t="shared" si="39"/>
        <v>0</v>
      </c>
      <c r="W85" s="35">
        <f t="shared" si="39"/>
        <v>0</v>
      </c>
      <c r="X85" s="35">
        <f t="shared" si="39"/>
        <v>0</v>
      </c>
      <c r="Y85" s="35">
        <f t="shared" si="39"/>
        <v>0</v>
      </c>
      <c r="Z85" s="35">
        <f t="shared" si="39"/>
        <v>0</v>
      </c>
      <c r="AA85" s="35">
        <f t="shared" si="39"/>
        <v>0</v>
      </c>
      <c r="AB85" s="35">
        <f t="shared" si="39"/>
        <v>0</v>
      </c>
      <c r="AC85" s="35">
        <f t="shared" si="39"/>
        <v>0</v>
      </c>
      <c r="AD85" s="35">
        <f t="shared" si="39"/>
        <v>0</v>
      </c>
      <c r="AE85" s="35">
        <f t="shared" si="39"/>
        <v>0</v>
      </c>
      <c r="AF85" s="35">
        <f t="shared" si="39"/>
        <v>0</v>
      </c>
      <c r="AG85" s="35">
        <f t="shared" si="39"/>
        <v>0</v>
      </c>
      <c r="AH85" s="35">
        <f t="shared" si="39"/>
        <v>0</v>
      </c>
      <c r="AI85" s="35">
        <f t="shared" si="39"/>
        <v>0</v>
      </c>
      <c r="AJ85" s="35">
        <f t="shared" si="39"/>
        <v>0</v>
      </c>
      <c r="AK85" s="35">
        <f t="shared" si="39"/>
        <v>0</v>
      </c>
      <c r="AL85" s="35">
        <f t="shared" si="39"/>
        <v>0</v>
      </c>
      <c r="AM85" s="35">
        <f t="shared" si="39"/>
        <v>0</v>
      </c>
      <c r="AN85" s="35">
        <f t="shared" si="39"/>
        <v>0</v>
      </c>
      <c r="AO85" s="35">
        <f t="shared" si="39"/>
        <v>0</v>
      </c>
      <c r="AP85" s="35">
        <f t="shared" si="39"/>
        <v>0</v>
      </c>
      <c r="AQ85" s="35">
        <f t="shared" si="39"/>
        <v>0</v>
      </c>
      <c r="AR85" s="35">
        <f t="shared" si="39"/>
        <v>0</v>
      </c>
      <c r="AS85" s="35">
        <f t="shared" si="39"/>
        <v>0</v>
      </c>
      <c r="AT85" s="35">
        <f t="shared" si="39"/>
        <v>0</v>
      </c>
      <c r="AU85" s="35">
        <f t="shared" si="39"/>
        <v>0</v>
      </c>
      <c r="AV85" s="35">
        <f t="shared" si="39"/>
        <v>0</v>
      </c>
      <c r="AW85" s="35">
        <f t="shared" si="39"/>
        <v>0</v>
      </c>
      <c r="AX85" s="35">
        <f t="shared" si="39"/>
        <v>0</v>
      </c>
      <c r="AY85" s="35">
        <f t="shared" si="39"/>
        <v>0</v>
      </c>
      <c r="AZ85" s="35">
        <f t="shared" si="39"/>
        <v>0</v>
      </c>
      <c r="BA85" s="35">
        <f t="shared" si="39"/>
        <v>0</v>
      </c>
      <c r="BB85" s="35">
        <f t="shared" si="39"/>
        <v>0</v>
      </c>
      <c r="BC85" s="5"/>
    </row>
    <row r="86" spans="1:55" ht="15" customHeight="1">
      <c r="A86" s="19"/>
      <c r="D86" s="19"/>
      <c r="E86" s="19" t="s">
        <v>562</v>
      </c>
      <c r="G86" s="19" t="s">
        <v>188</v>
      </c>
      <c r="L86" s="31"/>
      <c r="M86" s="31"/>
      <c r="N86" s="31"/>
      <c r="O86" s="31"/>
      <c r="P86" s="12">
        <f t="shared" ref="P86:BB86" si="40">IF(AND(O85+O90+O91+O92+O93&gt;=O82,P90&gt;0),1,0)</f>
        <v>0</v>
      </c>
      <c r="Q86" s="12">
        <f t="shared" si="40"/>
        <v>0</v>
      </c>
      <c r="R86" s="12">
        <f t="shared" si="40"/>
        <v>0</v>
      </c>
      <c r="S86" s="12">
        <f t="shared" si="40"/>
        <v>0</v>
      </c>
      <c r="T86" s="12">
        <f t="shared" si="40"/>
        <v>0</v>
      </c>
      <c r="U86" s="12">
        <f t="shared" si="40"/>
        <v>0</v>
      </c>
      <c r="V86" s="12">
        <f t="shared" si="40"/>
        <v>0</v>
      </c>
      <c r="W86" s="12">
        <f t="shared" si="40"/>
        <v>0</v>
      </c>
      <c r="X86" s="12">
        <f t="shared" si="40"/>
        <v>0</v>
      </c>
      <c r="Y86" s="12">
        <f t="shared" si="40"/>
        <v>0</v>
      </c>
      <c r="Z86" s="12">
        <f t="shared" si="40"/>
        <v>0</v>
      </c>
      <c r="AA86" s="12">
        <f t="shared" si="40"/>
        <v>0</v>
      </c>
      <c r="AB86" s="12">
        <f t="shared" si="40"/>
        <v>0</v>
      </c>
      <c r="AC86" s="12">
        <f t="shared" si="40"/>
        <v>0</v>
      </c>
      <c r="AD86" s="12">
        <f t="shared" si="40"/>
        <v>0</v>
      </c>
      <c r="AE86" s="12">
        <f t="shared" si="40"/>
        <v>0</v>
      </c>
      <c r="AF86" s="12">
        <f t="shared" si="40"/>
        <v>0</v>
      </c>
      <c r="AG86" s="12">
        <f t="shared" si="40"/>
        <v>0</v>
      </c>
      <c r="AH86" s="12">
        <f t="shared" si="40"/>
        <v>0</v>
      </c>
      <c r="AI86" s="12">
        <f t="shared" si="40"/>
        <v>0</v>
      </c>
      <c r="AJ86" s="12">
        <f t="shared" si="40"/>
        <v>0</v>
      </c>
      <c r="AK86" s="12">
        <f t="shared" si="40"/>
        <v>0</v>
      </c>
      <c r="AL86" s="12">
        <f t="shared" si="40"/>
        <v>0</v>
      </c>
      <c r="AM86" s="12">
        <f t="shared" si="40"/>
        <v>0</v>
      </c>
      <c r="AN86" s="12">
        <f t="shared" si="40"/>
        <v>0</v>
      </c>
      <c r="AO86" s="12">
        <f t="shared" si="40"/>
        <v>0</v>
      </c>
      <c r="AP86" s="12">
        <f t="shared" si="40"/>
        <v>0</v>
      </c>
      <c r="AQ86" s="12">
        <f t="shared" si="40"/>
        <v>0</v>
      </c>
      <c r="AR86" s="12">
        <f t="shared" si="40"/>
        <v>0</v>
      </c>
      <c r="AS86" s="12">
        <f t="shared" si="40"/>
        <v>0</v>
      </c>
      <c r="AT86" s="12">
        <f t="shared" si="40"/>
        <v>0</v>
      </c>
      <c r="AU86" s="12">
        <f t="shared" si="40"/>
        <v>0</v>
      </c>
      <c r="AV86" s="12">
        <f t="shared" si="40"/>
        <v>0</v>
      </c>
      <c r="AW86" s="12">
        <f t="shared" si="40"/>
        <v>0</v>
      </c>
      <c r="AX86" s="12">
        <f t="shared" si="40"/>
        <v>0</v>
      </c>
      <c r="AY86" s="12">
        <f t="shared" si="40"/>
        <v>0</v>
      </c>
      <c r="AZ86" s="12">
        <f t="shared" si="40"/>
        <v>0</v>
      </c>
      <c r="BA86" s="12">
        <f t="shared" si="40"/>
        <v>0</v>
      </c>
      <c r="BB86" s="12">
        <f t="shared" si="40"/>
        <v>0</v>
      </c>
      <c r="BC86" s="5"/>
    </row>
    <row r="87" spans="1:55" ht="15" customHeight="1">
      <c r="A87" s="19"/>
      <c r="D87" s="19"/>
      <c r="W87" s="65"/>
      <c r="X87" s="65"/>
      <c r="Y87" s="65"/>
      <c r="Z87" s="65"/>
      <c r="AA87" s="65"/>
      <c r="AB87" s="65"/>
      <c r="AC87" s="65"/>
      <c r="AD87" s="65"/>
      <c r="AE87" s="65"/>
      <c r="AF87" s="65"/>
      <c r="AG87" s="65"/>
      <c r="AH87" s="65"/>
      <c r="AI87" s="65"/>
      <c r="AJ87" s="65"/>
      <c r="AK87" s="65"/>
      <c r="AL87" s="65"/>
      <c r="AM87" s="65"/>
      <c r="AN87" s="65"/>
      <c r="AO87" s="65"/>
      <c r="AP87" s="65"/>
      <c r="AQ87" s="65"/>
      <c r="AR87" s="65"/>
      <c r="AS87" s="65"/>
      <c r="AT87" s="65"/>
      <c r="AU87" s="65"/>
      <c r="AV87" s="65"/>
      <c r="AW87" s="65"/>
      <c r="AX87" s="65"/>
      <c r="AY87" s="65"/>
      <c r="AZ87" s="65"/>
      <c r="BA87" s="65"/>
      <c r="BB87" s="65"/>
    </row>
    <row r="88" spans="1:55" s="59" customFormat="1" ht="15" customHeight="1">
      <c r="A88" s="19"/>
      <c r="C88" s="38" t="s">
        <v>563</v>
      </c>
      <c r="D88" s="38"/>
      <c r="E88" s="38"/>
      <c r="F88" s="38"/>
      <c r="G88" s="38"/>
      <c r="H88" s="38"/>
      <c r="I88" s="38"/>
      <c r="J88" s="38"/>
      <c r="K88" s="38"/>
      <c r="L88" s="38"/>
      <c r="M88" s="38"/>
      <c r="N88" s="38"/>
      <c r="O88" s="38"/>
      <c r="P88" s="38"/>
      <c r="Q88" s="38"/>
      <c r="R88" s="38"/>
      <c r="S88" s="38"/>
      <c r="T88" s="38"/>
      <c r="U88" s="38"/>
      <c r="V88" s="38"/>
      <c r="W88" s="38"/>
      <c r="X88" s="38"/>
      <c r="Y88" s="38"/>
      <c r="Z88" s="38"/>
      <c r="AA88" s="38"/>
      <c r="AB88" s="38"/>
      <c r="AC88" s="38"/>
      <c r="AD88" s="38"/>
      <c r="AE88" s="38"/>
      <c r="AF88" s="38"/>
      <c r="AG88" s="38"/>
      <c r="AH88" s="38"/>
      <c r="AI88" s="38"/>
      <c r="AJ88" s="38"/>
      <c r="AK88" s="38"/>
      <c r="AL88" s="38"/>
      <c r="AM88" s="38"/>
      <c r="AN88" s="38"/>
      <c r="AO88" s="38"/>
      <c r="AP88" s="38"/>
      <c r="AQ88" s="38"/>
      <c r="AR88" s="38"/>
      <c r="AS88" s="38"/>
      <c r="AT88" s="38"/>
      <c r="AU88" s="38"/>
      <c r="AV88" s="38"/>
      <c r="AW88" s="38"/>
      <c r="AX88" s="38"/>
      <c r="AY88" s="38"/>
      <c r="AZ88" s="38"/>
      <c r="BA88" s="38"/>
      <c r="BB88" s="38"/>
    </row>
    <row r="89" spans="1:55" ht="15" customHeight="1">
      <c r="A89" s="19"/>
      <c r="D89" s="19"/>
      <c r="W89" s="65"/>
      <c r="X89" s="65"/>
      <c r="Y89" s="65"/>
      <c r="Z89" s="65"/>
      <c r="AA89" s="65"/>
      <c r="AB89" s="65"/>
      <c r="AC89" s="65"/>
      <c r="AD89" s="65"/>
      <c r="AE89" s="65"/>
      <c r="AF89" s="65"/>
      <c r="AG89" s="65"/>
      <c r="AH89" s="65"/>
      <c r="AI89" s="65"/>
      <c r="AJ89" s="65"/>
      <c r="AK89" s="65"/>
      <c r="AL89" s="65"/>
      <c r="AM89" s="65"/>
      <c r="AN89" s="65"/>
      <c r="AO89" s="65"/>
      <c r="AP89" s="65"/>
      <c r="AQ89" s="65"/>
      <c r="AR89" s="65"/>
      <c r="AS89" s="65"/>
      <c r="AT89" s="65"/>
      <c r="AU89" s="65"/>
      <c r="AV89" s="65"/>
      <c r="AW89" s="65"/>
      <c r="AX89" s="65"/>
      <c r="AY89" s="65"/>
      <c r="AZ89" s="65"/>
      <c r="BA89" s="65"/>
      <c r="BB89" s="65"/>
    </row>
    <row r="90" spans="1:55" ht="15" customHeight="1">
      <c r="A90" s="19"/>
      <c r="D90" s="19"/>
      <c r="E90" s="19" t="s">
        <v>564</v>
      </c>
      <c r="G90" s="5" t="s">
        <v>248</v>
      </c>
      <c r="H90" s="19" t="s">
        <v>565</v>
      </c>
      <c r="I90" s="30"/>
      <c r="L90" s="31"/>
      <c r="M90" s="31"/>
      <c r="N90" s="31"/>
      <c r="O90" s="31"/>
      <c r="P90" s="35">
        <f t="shared" ref="P90:BB90" si="41">O95</f>
        <v>0</v>
      </c>
      <c r="Q90" s="35">
        <f t="shared" si="41"/>
        <v>0</v>
      </c>
      <c r="R90" s="35">
        <f t="shared" si="41"/>
        <v>0</v>
      </c>
      <c r="S90" s="35">
        <f t="shared" si="41"/>
        <v>0</v>
      </c>
      <c r="T90" s="35">
        <f t="shared" si="41"/>
        <v>0</v>
      </c>
      <c r="U90" s="35">
        <f t="shared" si="41"/>
        <v>0</v>
      </c>
      <c r="V90" s="35">
        <f t="shared" si="41"/>
        <v>0</v>
      </c>
      <c r="W90" s="35">
        <f t="shared" si="41"/>
        <v>0</v>
      </c>
      <c r="X90" s="35">
        <f t="shared" si="41"/>
        <v>0</v>
      </c>
      <c r="Y90" s="35">
        <f t="shared" si="41"/>
        <v>0</v>
      </c>
      <c r="Z90" s="35">
        <f t="shared" si="41"/>
        <v>0</v>
      </c>
      <c r="AA90" s="35">
        <f t="shared" si="41"/>
        <v>0</v>
      </c>
      <c r="AB90" s="35">
        <f t="shared" si="41"/>
        <v>0</v>
      </c>
      <c r="AC90" s="35">
        <f t="shared" si="41"/>
        <v>0</v>
      </c>
      <c r="AD90" s="35">
        <f t="shared" si="41"/>
        <v>0</v>
      </c>
      <c r="AE90" s="35">
        <f t="shared" si="41"/>
        <v>0</v>
      </c>
      <c r="AF90" s="35">
        <f t="shared" si="41"/>
        <v>0</v>
      </c>
      <c r="AG90" s="35">
        <f t="shared" si="41"/>
        <v>0</v>
      </c>
      <c r="AH90" s="35">
        <f t="shared" si="41"/>
        <v>0</v>
      </c>
      <c r="AI90" s="35">
        <f t="shared" si="41"/>
        <v>0</v>
      </c>
      <c r="AJ90" s="35">
        <f t="shared" si="41"/>
        <v>0</v>
      </c>
      <c r="AK90" s="35">
        <f t="shared" si="41"/>
        <v>0</v>
      </c>
      <c r="AL90" s="35">
        <f t="shared" si="41"/>
        <v>0</v>
      </c>
      <c r="AM90" s="35">
        <f t="shared" si="41"/>
        <v>0</v>
      </c>
      <c r="AN90" s="35">
        <f t="shared" si="41"/>
        <v>0</v>
      </c>
      <c r="AO90" s="35">
        <f t="shared" si="41"/>
        <v>0</v>
      </c>
      <c r="AP90" s="35">
        <f t="shared" si="41"/>
        <v>0</v>
      </c>
      <c r="AQ90" s="35">
        <f t="shared" si="41"/>
        <v>0</v>
      </c>
      <c r="AR90" s="35">
        <f t="shared" si="41"/>
        <v>0</v>
      </c>
      <c r="AS90" s="35">
        <f t="shared" si="41"/>
        <v>0</v>
      </c>
      <c r="AT90" s="35">
        <f t="shared" si="41"/>
        <v>0</v>
      </c>
      <c r="AU90" s="35">
        <f t="shared" si="41"/>
        <v>0</v>
      </c>
      <c r="AV90" s="35">
        <f t="shared" si="41"/>
        <v>0</v>
      </c>
      <c r="AW90" s="35">
        <f t="shared" si="41"/>
        <v>0</v>
      </c>
      <c r="AX90" s="35">
        <f t="shared" si="41"/>
        <v>0</v>
      </c>
      <c r="AY90" s="35">
        <f t="shared" si="41"/>
        <v>0</v>
      </c>
      <c r="AZ90" s="35">
        <f t="shared" si="41"/>
        <v>0</v>
      </c>
      <c r="BA90" s="35">
        <f t="shared" si="41"/>
        <v>0</v>
      </c>
      <c r="BB90" s="35">
        <f t="shared" si="41"/>
        <v>0</v>
      </c>
    </row>
    <row r="91" spans="1:55" ht="15" customHeight="1">
      <c r="A91" s="19"/>
      <c r="D91" s="19"/>
      <c r="E91" s="19" t="s">
        <v>566</v>
      </c>
      <c r="G91" s="5" t="s">
        <v>248</v>
      </c>
      <c r="L91" s="31"/>
      <c r="M91" s="31"/>
      <c r="N91" s="31"/>
      <c r="O91" s="31"/>
      <c r="P91" s="35">
        <f t="shared" ref="P91:BB91" si="42">P$13*P90</f>
        <v>0</v>
      </c>
      <c r="Q91" s="35">
        <f t="shared" si="42"/>
        <v>0</v>
      </c>
      <c r="R91" s="35">
        <f t="shared" si="42"/>
        <v>0</v>
      </c>
      <c r="S91" s="35">
        <f t="shared" si="42"/>
        <v>0</v>
      </c>
      <c r="T91" s="35">
        <f t="shared" si="42"/>
        <v>0</v>
      </c>
      <c r="U91" s="35">
        <f t="shared" si="42"/>
        <v>0</v>
      </c>
      <c r="V91" s="35">
        <f t="shared" si="42"/>
        <v>0</v>
      </c>
      <c r="W91" s="35">
        <f t="shared" si="42"/>
        <v>0</v>
      </c>
      <c r="X91" s="35">
        <f t="shared" si="42"/>
        <v>0</v>
      </c>
      <c r="Y91" s="35">
        <f t="shared" si="42"/>
        <v>0</v>
      </c>
      <c r="Z91" s="35">
        <f t="shared" si="42"/>
        <v>0</v>
      </c>
      <c r="AA91" s="35">
        <f t="shared" si="42"/>
        <v>0</v>
      </c>
      <c r="AB91" s="35">
        <f t="shared" si="42"/>
        <v>0</v>
      </c>
      <c r="AC91" s="35">
        <f t="shared" si="42"/>
        <v>0</v>
      </c>
      <c r="AD91" s="35">
        <f t="shared" si="42"/>
        <v>0</v>
      </c>
      <c r="AE91" s="35">
        <f t="shared" si="42"/>
        <v>0</v>
      </c>
      <c r="AF91" s="35">
        <f t="shared" si="42"/>
        <v>0</v>
      </c>
      <c r="AG91" s="35">
        <f t="shared" si="42"/>
        <v>0</v>
      </c>
      <c r="AH91" s="35">
        <f t="shared" si="42"/>
        <v>0</v>
      </c>
      <c r="AI91" s="35">
        <f t="shared" si="42"/>
        <v>0</v>
      </c>
      <c r="AJ91" s="35">
        <f t="shared" si="42"/>
        <v>0</v>
      </c>
      <c r="AK91" s="35">
        <f t="shared" si="42"/>
        <v>0</v>
      </c>
      <c r="AL91" s="35">
        <f t="shared" si="42"/>
        <v>0</v>
      </c>
      <c r="AM91" s="35">
        <f t="shared" si="42"/>
        <v>0</v>
      </c>
      <c r="AN91" s="35">
        <f t="shared" si="42"/>
        <v>0</v>
      </c>
      <c r="AO91" s="35">
        <f t="shared" si="42"/>
        <v>0</v>
      </c>
      <c r="AP91" s="35">
        <f t="shared" si="42"/>
        <v>0</v>
      </c>
      <c r="AQ91" s="35">
        <f t="shared" si="42"/>
        <v>0</v>
      </c>
      <c r="AR91" s="35">
        <f t="shared" si="42"/>
        <v>0</v>
      </c>
      <c r="AS91" s="35">
        <f t="shared" si="42"/>
        <v>0</v>
      </c>
      <c r="AT91" s="35">
        <f t="shared" si="42"/>
        <v>0</v>
      </c>
      <c r="AU91" s="35">
        <f t="shared" si="42"/>
        <v>0</v>
      </c>
      <c r="AV91" s="35">
        <f t="shared" si="42"/>
        <v>0</v>
      </c>
      <c r="AW91" s="35">
        <f t="shared" si="42"/>
        <v>0</v>
      </c>
      <c r="AX91" s="35">
        <f t="shared" si="42"/>
        <v>0</v>
      </c>
      <c r="AY91" s="35">
        <f t="shared" si="42"/>
        <v>0</v>
      </c>
      <c r="AZ91" s="35">
        <f t="shared" si="42"/>
        <v>0</v>
      </c>
      <c r="BA91" s="35">
        <f t="shared" si="42"/>
        <v>0</v>
      </c>
      <c r="BB91" s="35">
        <f t="shared" si="42"/>
        <v>0</v>
      </c>
    </row>
    <row r="92" spans="1:55" ht="15" customHeight="1">
      <c r="A92" s="19"/>
      <c r="D92" s="19"/>
      <c r="E92" s="19" t="s">
        <v>563</v>
      </c>
      <c r="G92" s="5" t="s">
        <v>248</v>
      </c>
      <c r="H92" s="19" t="s">
        <v>567</v>
      </c>
      <c r="L92" s="31"/>
      <c r="M92" s="31"/>
      <c r="N92" s="31"/>
      <c r="O92" s="31"/>
      <c r="P92" s="35">
        <f t="shared" ref="P92:BB92" si="43">-MIN(P61-P57,P90+P91)</f>
        <v>0</v>
      </c>
      <c r="Q92" s="35">
        <f t="shared" si="43"/>
        <v>0</v>
      </c>
      <c r="R92" s="35">
        <f t="shared" si="43"/>
        <v>0</v>
      </c>
      <c r="S92" s="35">
        <f t="shared" si="43"/>
        <v>0</v>
      </c>
      <c r="T92" s="35">
        <f t="shared" si="43"/>
        <v>0</v>
      </c>
      <c r="U92" s="35">
        <f t="shared" si="43"/>
        <v>0</v>
      </c>
      <c r="V92" s="35">
        <f t="shared" si="43"/>
        <v>0</v>
      </c>
      <c r="W92" s="35">
        <f t="shared" si="43"/>
        <v>0</v>
      </c>
      <c r="X92" s="35">
        <f t="shared" si="43"/>
        <v>0</v>
      </c>
      <c r="Y92" s="35">
        <f t="shared" si="43"/>
        <v>0</v>
      </c>
      <c r="Z92" s="35">
        <f t="shared" si="43"/>
        <v>0</v>
      </c>
      <c r="AA92" s="35">
        <f t="shared" si="43"/>
        <v>0</v>
      </c>
      <c r="AB92" s="35">
        <f t="shared" si="43"/>
        <v>0</v>
      </c>
      <c r="AC92" s="35">
        <f t="shared" si="43"/>
        <v>0</v>
      </c>
      <c r="AD92" s="35">
        <f t="shared" si="43"/>
        <v>0</v>
      </c>
      <c r="AE92" s="35">
        <f t="shared" si="43"/>
        <v>0</v>
      </c>
      <c r="AF92" s="35">
        <f t="shared" si="43"/>
        <v>0</v>
      </c>
      <c r="AG92" s="35">
        <f t="shared" si="43"/>
        <v>0</v>
      </c>
      <c r="AH92" s="35">
        <f t="shared" si="43"/>
        <v>0</v>
      </c>
      <c r="AI92" s="35">
        <f t="shared" si="43"/>
        <v>0</v>
      </c>
      <c r="AJ92" s="35">
        <f t="shared" si="43"/>
        <v>0</v>
      </c>
      <c r="AK92" s="35">
        <f t="shared" si="43"/>
        <v>0</v>
      </c>
      <c r="AL92" s="35">
        <f t="shared" si="43"/>
        <v>0</v>
      </c>
      <c r="AM92" s="35">
        <f t="shared" si="43"/>
        <v>0</v>
      </c>
      <c r="AN92" s="35">
        <f t="shared" si="43"/>
        <v>0</v>
      </c>
      <c r="AO92" s="35">
        <f t="shared" si="43"/>
        <v>0</v>
      </c>
      <c r="AP92" s="35">
        <f t="shared" si="43"/>
        <v>0</v>
      </c>
      <c r="AQ92" s="35">
        <f t="shared" si="43"/>
        <v>0</v>
      </c>
      <c r="AR92" s="35">
        <f t="shared" si="43"/>
        <v>0</v>
      </c>
      <c r="AS92" s="35">
        <f t="shared" si="43"/>
        <v>0</v>
      </c>
      <c r="AT92" s="35">
        <f t="shared" si="43"/>
        <v>0</v>
      </c>
      <c r="AU92" s="35">
        <f t="shared" si="43"/>
        <v>0</v>
      </c>
      <c r="AV92" s="35">
        <f t="shared" si="43"/>
        <v>0</v>
      </c>
      <c r="AW92" s="35">
        <f t="shared" si="43"/>
        <v>0</v>
      </c>
      <c r="AX92" s="35">
        <f t="shared" si="43"/>
        <v>0</v>
      </c>
      <c r="AY92" s="35">
        <f t="shared" si="43"/>
        <v>0</v>
      </c>
      <c r="AZ92" s="35">
        <f t="shared" si="43"/>
        <v>0</v>
      </c>
      <c r="BA92" s="35">
        <f t="shared" si="43"/>
        <v>0</v>
      </c>
      <c r="BB92" s="35">
        <f t="shared" si="43"/>
        <v>0</v>
      </c>
      <c r="BC92" s="5"/>
    </row>
    <row r="93" spans="1:55" ht="15" customHeight="1">
      <c r="A93" s="19"/>
      <c r="D93" s="19"/>
      <c r="E93" s="19" t="s">
        <v>568</v>
      </c>
      <c r="G93" s="5" t="s">
        <v>248</v>
      </c>
      <c r="H93" s="19" t="s">
        <v>569</v>
      </c>
      <c r="L93" s="31"/>
      <c r="M93" s="31"/>
      <c r="N93" s="31"/>
      <c r="O93" s="31"/>
      <c r="P93" s="200">
        <f>Inputs!P125</f>
        <v>0</v>
      </c>
      <c r="Q93" s="200">
        <f>Inputs!Q125</f>
        <v>0</v>
      </c>
      <c r="R93" s="200">
        <f>Inputs!R125</f>
        <v>0</v>
      </c>
      <c r="S93" s="200">
        <f>Inputs!S125</f>
        <v>0</v>
      </c>
      <c r="T93" s="200">
        <f>Inputs!T125</f>
        <v>0</v>
      </c>
      <c r="U93" s="200">
        <f>Inputs!U125</f>
        <v>0</v>
      </c>
      <c r="V93" s="200">
        <f>Inputs!V125</f>
        <v>0</v>
      </c>
      <c r="W93" s="200">
        <f>Inputs!W125</f>
        <v>0</v>
      </c>
      <c r="X93" s="200">
        <f>Inputs!X125</f>
        <v>0</v>
      </c>
      <c r="Y93" s="200">
        <f>Inputs!Y125</f>
        <v>0</v>
      </c>
      <c r="Z93" s="200">
        <f>Inputs!Z125</f>
        <v>0</v>
      </c>
      <c r="AA93" s="200">
        <f>Inputs!AA125</f>
        <v>0</v>
      </c>
      <c r="AB93" s="200">
        <f>Inputs!AB125</f>
        <v>0</v>
      </c>
      <c r="AC93" s="200">
        <f>Inputs!AC125</f>
        <v>0</v>
      </c>
      <c r="AD93" s="200">
        <f>Inputs!AD125</f>
        <v>0</v>
      </c>
      <c r="AE93" s="200">
        <f>Inputs!AE125</f>
        <v>0</v>
      </c>
      <c r="AF93" s="200">
        <f>Inputs!AF125</f>
        <v>0</v>
      </c>
      <c r="AG93" s="200">
        <f>Inputs!AG125</f>
        <v>0</v>
      </c>
      <c r="AH93" s="200">
        <f>Inputs!AH125</f>
        <v>0</v>
      </c>
      <c r="AI93" s="200">
        <f>Inputs!AI125</f>
        <v>0</v>
      </c>
      <c r="AJ93" s="200">
        <f>Inputs!AJ125</f>
        <v>0</v>
      </c>
      <c r="AK93" s="200">
        <f>Inputs!AK125</f>
        <v>0</v>
      </c>
      <c r="AL93" s="200">
        <f>Inputs!AL125</f>
        <v>0</v>
      </c>
      <c r="AM93" s="200">
        <f>Inputs!AM125</f>
        <v>0</v>
      </c>
      <c r="AN93" s="200">
        <f>Inputs!AN125</f>
        <v>0</v>
      </c>
      <c r="AO93" s="200">
        <f>Inputs!AO125</f>
        <v>0</v>
      </c>
      <c r="AP93" s="200">
        <f>Inputs!AP125</f>
        <v>0</v>
      </c>
      <c r="AQ93" s="200">
        <f>Inputs!AQ125</f>
        <v>0</v>
      </c>
      <c r="AR93" s="200">
        <f>Inputs!AR125</f>
        <v>0</v>
      </c>
      <c r="AS93" s="200">
        <f>Inputs!AS125</f>
        <v>0</v>
      </c>
      <c r="AT93" s="200">
        <f>Inputs!AT125</f>
        <v>0</v>
      </c>
      <c r="AU93" s="200">
        <f>Inputs!AU125</f>
        <v>0</v>
      </c>
      <c r="AV93" s="200">
        <f>Inputs!AV125</f>
        <v>0</v>
      </c>
      <c r="AW93" s="200">
        <f>Inputs!AW125</f>
        <v>0</v>
      </c>
      <c r="AX93" s="200">
        <f>Inputs!AX125</f>
        <v>0</v>
      </c>
      <c r="AY93" s="200">
        <f>Inputs!AY125</f>
        <v>0</v>
      </c>
      <c r="AZ93" s="200">
        <f>Inputs!AZ125</f>
        <v>0</v>
      </c>
      <c r="BA93" s="200">
        <f>Inputs!BA125</f>
        <v>0</v>
      </c>
      <c r="BB93" s="200">
        <f>Inputs!BB125</f>
        <v>0</v>
      </c>
    </row>
    <row r="94" spans="1:55" ht="15" customHeight="1">
      <c r="A94" s="19"/>
      <c r="D94" s="19"/>
      <c r="E94" s="19" t="s">
        <v>557</v>
      </c>
      <c r="G94" s="5" t="s">
        <v>248</v>
      </c>
      <c r="H94" s="19" t="s">
        <v>560</v>
      </c>
      <c r="L94" s="31"/>
      <c r="M94" s="31"/>
      <c r="N94" s="31"/>
      <c r="O94" s="31"/>
      <c r="P94" s="35">
        <f>P84</f>
        <v>0</v>
      </c>
      <c r="Q94" s="35">
        <f t="shared" ref="Q94:BB94" si="44">Q85</f>
        <v>0</v>
      </c>
      <c r="R94" s="35">
        <f t="shared" si="44"/>
        <v>0</v>
      </c>
      <c r="S94" s="35">
        <f t="shared" si="44"/>
        <v>0</v>
      </c>
      <c r="T94" s="35">
        <f t="shared" si="44"/>
        <v>0</v>
      </c>
      <c r="U94" s="35">
        <f t="shared" si="44"/>
        <v>0</v>
      </c>
      <c r="V94" s="35">
        <f t="shared" si="44"/>
        <v>0</v>
      </c>
      <c r="W94" s="35">
        <f t="shared" si="44"/>
        <v>0</v>
      </c>
      <c r="X94" s="35">
        <f t="shared" si="44"/>
        <v>0</v>
      </c>
      <c r="Y94" s="35">
        <f t="shared" si="44"/>
        <v>0</v>
      </c>
      <c r="Z94" s="35">
        <f t="shared" si="44"/>
        <v>0</v>
      </c>
      <c r="AA94" s="35">
        <f t="shared" si="44"/>
        <v>0</v>
      </c>
      <c r="AB94" s="35">
        <f t="shared" si="44"/>
        <v>0</v>
      </c>
      <c r="AC94" s="35">
        <f t="shared" si="44"/>
        <v>0</v>
      </c>
      <c r="AD94" s="35">
        <f t="shared" si="44"/>
        <v>0</v>
      </c>
      <c r="AE94" s="35">
        <f t="shared" si="44"/>
        <v>0</v>
      </c>
      <c r="AF94" s="35">
        <f t="shared" si="44"/>
        <v>0</v>
      </c>
      <c r="AG94" s="35">
        <f t="shared" si="44"/>
        <v>0</v>
      </c>
      <c r="AH94" s="35">
        <f t="shared" si="44"/>
        <v>0</v>
      </c>
      <c r="AI94" s="35">
        <f t="shared" si="44"/>
        <v>0</v>
      </c>
      <c r="AJ94" s="35">
        <f t="shared" si="44"/>
        <v>0</v>
      </c>
      <c r="AK94" s="35">
        <f t="shared" si="44"/>
        <v>0</v>
      </c>
      <c r="AL94" s="35">
        <f t="shared" si="44"/>
        <v>0</v>
      </c>
      <c r="AM94" s="35">
        <f t="shared" si="44"/>
        <v>0</v>
      </c>
      <c r="AN94" s="35">
        <f t="shared" si="44"/>
        <v>0</v>
      </c>
      <c r="AO94" s="35">
        <f t="shared" si="44"/>
        <v>0</v>
      </c>
      <c r="AP94" s="35">
        <f t="shared" si="44"/>
        <v>0</v>
      </c>
      <c r="AQ94" s="35">
        <f t="shared" si="44"/>
        <v>0</v>
      </c>
      <c r="AR94" s="35">
        <f t="shared" si="44"/>
        <v>0</v>
      </c>
      <c r="AS94" s="35">
        <f t="shared" si="44"/>
        <v>0</v>
      </c>
      <c r="AT94" s="35">
        <f t="shared" si="44"/>
        <v>0</v>
      </c>
      <c r="AU94" s="35">
        <f t="shared" si="44"/>
        <v>0</v>
      </c>
      <c r="AV94" s="35">
        <f t="shared" si="44"/>
        <v>0</v>
      </c>
      <c r="AW94" s="35">
        <f t="shared" si="44"/>
        <v>0</v>
      </c>
      <c r="AX94" s="35">
        <f t="shared" si="44"/>
        <v>0</v>
      </c>
      <c r="AY94" s="35">
        <f t="shared" si="44"/>
        <v>0</v>
      </c>
      <c r="AZ94" s="35">
        <f t="shared" si="44"/>
        <v>0</v>
      </c>
      <c r="BA94" s="35">
        <f t="shared" si="44"/>
        <v>0</v>
      </c>
      <c r="BB94" s="35">
        <f t="shared" si="44"/>
        <v>0</v>
      </c>
    </row>
    <row r="95" spans="1:55" ht="15" customHeight="1">
      <c r="A95" s="19"/>
      <c r="D95" s="19"/>
      <c r="E95" s="19" t="s">
        <v>570</v>
      </c>
      <c r="G95" s="5" t="s">
        <v>248</v>
      </c>
      <c r="H95" s="19" t="s">
        <v>571</v>
      </c>
      <c r="I95" s="30"/>
      <c r="L95" s="31"/>
      <c r="M95" s="31"/>
      <c r="N95" s="31"/>
      <c r="O95" s="31"/>
      <c r="P95" s="35">
        <f t="shared" ref="P95:BB95" si="45">SUM(P90:P94)</f>
        <v>0</v>
      </c>
      <c r="Q95" s="35">
        <f t="shared" si="45"/>
        <v>0</v>
      </c>
      <c r="R95" s="35">
        <f t="shared" si="45"/>
        <v>0</v>
      </c>
      <c r="S95" s="35">
        <f t="shared" si="45"/>
        <v>0</v>
      </c>
      <c r="T95" s="35">
        <f t="shared" si="45"/>
        <v>0</v>
      </c>
      <c r="U95" s="35">
        <f t="shared" si="45"/>
        <v>0</v>
      </c>
      <c r="V95" s="35">
        <f t="shared" si="45"/>
        <v>0</v>
      </c>
      <c r="W95" s="35">
        <f t="shared" si="45"/>
        <v>0</v>
      </c>
      <c r="X95" s="35">
        <f t="shared" si="45"/>
        <v>0</v>
      </c>
      <c r="Y95" s="35">
        <f t="shared" si="45"/>
        <v>0</v>
      </c>
      <c r="Z95" s="35">
        <f t="shared" si="45"/>
        <v>0</v>
      </c>
      <c r="AA95" s="35">
        <f t="shared" si="45"/>
        <v>0</v>
      </c>
      <c r="AB95" s="35">
        <f t="shared" si="45"/>
        <v>0</v>
      </c>
      <c r="AC95" s="35">
        <f t="shared" si="45"/>
        <v>0</v>
      </c>
      <c r="AD95" s="35">
        <f t="shared" si="45"/>
        <v>0</v>
      </c>
      <c r="AE95" s="35">
        <f t="shared" si="45"/>
        <v>0</v>
      </c>
      <c r="AF95" s="35">
        <f t="shared" si="45"/>
        <v>0</v>
      </c>
      <c r="AG95" s="35">
        <f t="shared" si="45"/>
        <v>0</v>
      </c>
      <c r="AH95" s="35">
        <f t="shared" si="45"/>
        <v>0</v>
      </c>
      <c r="AI95" s="35">
        <f t="shared" si="45"/>
        <v>0</v>
      </c>
      <c r="AJ95" s="35">
        <f t="shared" si="45"/>
        <v>0</v>
      </c>
      <c r="AK95" s="35">
        <f t="shared" si="45"/>
        <v>0</v>
      </c>
      <c r="AL95" s="35">
        <f t="shared" si="45"/>
        <v>0</v>
      </c>
      <c r="AM95" s="35">
        <f t="shared" si="45"/>
        <v>0</v>
      </c>
      <c r="AN95" s="35">
        <f t="shared" si="45"/>
        <v>0</v>
      </c>
      <c r="AO95" s="35">
        <f t="shared" si="45"/>
        <v>0</v>
      </c>
      <c r="AP95" s="35">
        <f t="shared" si="45"/>
        <v>0</v>
      </c>
      <c r="AQ95" s="35">
        <f t="shared" si="45"/>
        <v>0</v>
      </c>
      <c r="AR95" s="35">
        <f t="shared" si="45"/>
        <v>0</v>
      </c>
      <c r="AS95" s="35">
        <f t="shared" si="45"/>
        <v>0</v>
      </c>
      <c r="AT95" s="35">
        <f t="shared" si="45"/>
        <v>0</v>
      </c>
      <c r="AU95" s="35">
        <f t="shared" si="45"/>
        <v>0</v>
      </c>
      <c r="AV95" s="35">
        <f t="shared" si="45"/>
        <v>0</v>
      </c>
      <c r="AW95" s="35">
        <f t="shared" si="45"/>
        <v>0</v>
      </c>
      <c r="AX95" s="35">
        <f t="shared" si="45"/>
        <v>0</v>
      </c>
      <c r="AY95" s="35">
        <f t="shared" si="45"/>
        <v>0</v>
      </c>
      <c r="AZ95" s="35">
        <f t="shared" si="45"/>
        <v>0</v>
      </c>
      <c r="BA95" s="35">
        <f t="shared" si="45"/>
        <v>0</v>
      </c>
      <c r="BB95" s="35">
        <f t="shared" si="45"/>
        <v>0</v>
      </c>
    </row>
    <row r="96" spans="1:55" ht="15" customHeight="1">
      <c r="A96" s="19"/>
      <c r="D96" s="19"/>
      <c r="W96" s="65"/>
      <c r="X96" s="65"/>
      <c r="Y96" s="65"/>
      <c r="Z96" s="65"/>
      <c r="AA96" s="65"/>
      <c r="AB96" s="65"/>
      <c r="AC96" s="65"/>
      <c r="AD96" s="65"/>
      <c r="AE96" s="65"/>
      <c r="AF96" s="65"/>
      <c r="AG96" s="65"/>
      <c r="AH96" s="65"/>
      <c r="AI96" s="65"/>
      <c r="AJ96" s="65"/>
      <c r="AK96" s="65"/>
      <c r="AL96" s="65"/>
      <c r="AM96" s="65"/>
      <c r="AN96" s="65"/>
      <c r="AO96" s="65"/>
      <c r="AP96" s="65"/>
      <c r="AQ96" s="65"/>
      <c r="AR96" s="65"/>
      <c r="AS96" s="65"/>
      <c r="AT96" s="65"/>
      <c r="AU96" s="65"/>
      <c r="AV96" s="65"/>
      <c r="AW96" s="65"/>
      <c r="AX96" s="65"/>
      <c r="AY96" s="65"/>
      <c r="AZ96" s="65"/>
      <c r="BA96" s="65"/>
      <c r="BB96" s="65"/>
    </row>
    <row r="97" spans="1:55" s="4" customFormat="1" ht="15" customHeight="1">
      <c r="B97" s="166" t="s">
        <v>572</v>
      </c>
      <c r="C97" s="8"/>
      <c r="D97" s="8"/>
      <c r="E97" s="8"/>
      <c r="F97" s="8"/>
      <c r="G97" s="8"/>
      <c r="H97" s="8"/>
      <c r="I97" s="8"/>
      <c r="J97" s="8"/>
      <c r="K97" s="8"/>
      <c r="L97" s="8"/>
      <c r="M97" s="8"/>
      <c r="N97" s="8"/>
      <c r="O97" s="8"/>
      <c r="P97" s="8"/>
      <c r="Q97" s="8"/>
      <c r="R97" s="8"/>
      <c r="S97" s="8"/>
      <c r="T97" s="8"/>
      <c r="U97" s="8"/>
      <c r="V97" s="8"/>
      <c r="W97" s="8"/>
      <c r="X97" s="8"/>
      <c r="Y97" s="8"/>
      <c r="Z97" s="8"/>
      <c r="AA97" s="8"/>
      <c r="AB97" s="8"/>
      <c r="AC97" s="8"/>
      <c r="AD97" s="8"/>
      <c r="AE97" s="8"/>
      <c r="AF97" s="8"/>
      <c r="AG97" s="8"/>
      <c r="AH97" s="8"/>
      <c r="AI97" s="8"/>
      <c r="AJ97" s="8"/>
      <c r="AK97" s="8"/>
      <c r="AL97" s="8"/>
      <c r="AM97" s="8"/>
      <c r="AN97" s="8"/>
      <c r="AO97" s="8"/>
      <c r="AP97" s="8"/>
      <c r="AQ97" s="8"/>
      <c r="AR97" s="8"/>
      <c r="AS97" s="8"/>
      <c r="AT97" s="8"/>
      <c r="AU97" s="8"/>
      <c r="AV97" s="8"/>
      <c r="AW97" s="8"/>
      <c r="AX97" s="8"/>
      <c r="AY97" s="8"/>
      <c r="AZ97" s="8"/>
      <c r="BA97" s="8"/>
      <c r="BB97" s="8"/>
    </row>
    <row r="98" spans="1:55" ht="15" customHeight="1">
      <c r="A98" s="19"/>
      <c r="D98" s="19"/>
      <c r="W98" s="65"/>
      <c r="X98" s="65"/>
      <c r="Y98" s="65"/>
      <c r="Z98" s="65"/>
      <c r="AA98" s="65"/>
      <c r="AB98" s="65"/>
      <c r="AC98" s="65"/>
      <c r="AD98" s="65"/>
      <c r="AE98" s="65"/>
      <c r="AF98" s="65"/>
      <c r="AG98" s="65"/>
      <c r="AH98" s="65"/>
      <c r="AI98" s="65"/>
      <c r="AJ98" s="65"/>
      <c r="AK98" s="65"/>
      <c r="AL98" s="65"/>
      <c r="AM98" s="65"/>
      <c r="AN98" s="65"/>
      <c r="AO98" s="65"/>
      <c r="AP98" s="65"/>
      <c r="AQ98" s="65"/>
      <c r="AR98" s="65"/>
      <c r="AS98" s="65"/>
      <c r="AT98" s="65"/>
      <c r="AU98" s="65"/>
      <c r="AV98" s="65"/>
      <c r="AW98" s="65"/>
      <c r="AX98" s="65"/>
      <c r="AY98" s="65"/>
      <c r="AZ98" s="65"/>
      <c r="BA98" s="65"/>
      <c r="BB98" s="65"/>
    </row>
    <row r="99" spans="1:55" s="59" customFormat="1" ht="15" customHeight="1">
      <c r="A99" s="19"/>
      <c r="C99" s="38" t="s">
        <v>573</v>
      </c>
      <c r="D99" s="38"/>
      <c r="E99" s="38"/>
      <c r="F99" s="38"/>
      <c r="G99" s="38"/>
      <c r="H99" s="38"/>
      <c r="I99" s="38"/>
      <c r="J99" s="38"/>
      <c r="K99" s="38"/>
      <c r="L99" s="38"/>
      <c r="M99" s="38"/>
      <c r="N99" s="38"/>
      <c r="O99" s="38"/>
      <c r="P99" s="38"/>
      <c r="Q99" s="38"/>
      <c r="R99" s="38"/>
      <c r="S99" s="38"/>
      <c r="T99" s="38"/>
      <c r="U99" s="38"/>
      <c r="V99" s="38"/>
      <c r="W99" s="38"/>
      <c r="X99" s="38"/>
      <c r="Y99" s="38"/>
      <c r="Z99" s="38"/>
      <c r="AA99" s="38"/>
      <c r="AB99" s="38"/>
      <c r="AC99" s="38"/>
      <c r="AD99" s="38"/>
      <c r="AE99" s="38"/>
      <c r="AF99" s="38"/>
      <c r="AG99" s="38"/>
      <c r="AH99" s="38"/>
      <c r="AI99" s="38"/>
      <c r="AJ99" s="38"/>
      <c r="AK99" s="38"/>
      <c r="AL99" s="38"/>
      <c r="AM99" s="38"/>
      <c r="AN99" s="38"/>
      <c r="AO99" s="38"/>
      <c r="AP99" s="38"/>
      <c r="AQ99" s="38"/>
      <c r="AR99" s="38"/>
      <c r="AS99" s="38"/>
      <c r="AT99" s="38"/>
      <c r="AU99" s="38"/>
      <c r="AV99" s="38"/>
      <c r="AW99" s="38"/>
      <c r="AX99" s="38"/>
      <c r="AY99" s="38"/>
      <c r="AZ99" s="38"/>
      <c r="BA99" s="38"/>
      <c r="BB99" s="38"/>
    </row>
    <row r="100" spans="1:55" ht="15" customHeight="1">
      <c r="A100" s="19"/>
      <c r="D100" s="19"/>
      <c r="W100" s="65"/>
      <c r="X100" s="65"/>
      <c r="Y100" s="65"/>
      <c r="Z100" s="65"/>
      <c r="AA100" s="65"/>
      <c r="AB100" s="65"/>
      <c r="AC100" s="65"/>
      <c r="AD100" s="65"/>
      <c r="AE100" s="65"/>
      <c r="AF100" s="65"/>
      <c r="AG100" s="65"/>
      <c r="AH100" s="65"/>
      <c r="AI100" s="65"/>
      <c r="AJ100" s="65"/>
      <c r="AK100" s="65"/>
      <c r="AL100" s="65"/>
      <c r="AM100" s="65"/>
      <c r="AN100" s="65"/>
      <c r="AO100" s="65"/>
      <c r="AP100" s="65"/>
      <c r="AQ100" s="65"/>
      <c r="AR100" s="65"/>
      <c r="AS100" s="65"/>
      <c r="AT100" s="65"/>
      <c r="AU100" s="65"/>
      <c r="AV100" s="65"/>
      <c r="AW100" s="65"/>
      <c r="AX100" s="65"/>
      <c r="AY100" s="65"/>
      <c r="AZ100" s="65"/>
      <c r="BA100" s="65"/>
      <c r="BB100" s="65"/>
    </row>
    <row r="101" spans="1:55" ht="15" customHeight="1">
      <c r="A101" s="19"/>
      <c r="D101" s="19"/>
      <c r="E101" s="19" t="s">
        <v>559</v>
      </c>
      <c r="G101" s="5" t="s">
        <v>193</v>
      </c>
      <c r="H101" s="19" t="s">
        <v>482</v>
      </c>
      <c r="L101" s="31"/>
      <c r="M101" s="31"/>
      <c r="N101" s="31"/>
      <c r="O101" s="31"/>
      <c r="P101" s="204">
        <f>Availability!P47</f>
        <v>0</v>
      </c>
      <c r="Q101" s="204">
        <f>Availability!Q47</f>
        <v>0</v>
      </c>
      <c r="R101" s="204">
        <f>Availability!R47</f>
        <v>0</v>
      </c>
      <c r="S101" s="204">
        <f>Availability!S47</f>
        <v>1.25</v>
      </c>
      <c r="T101" s="204">
        <f>Availability!T47</f>
        <v>1.25</v>
      </c>
      <c r="U101" s="204">
        <f>Availability!U47</f>
        <v>1.25</v>
      </c>
      <c r="V101" s="204">
        <f>Availability!V47</f>
        <v>1.25</v>
      </c>
      <c r="W101" s="204">
        <f>Availability!W47</f>
        <v>1.25</v>
      </c>
      <c r="X101" s="204">
        <f>Availability!X47</f>
        <v>1.25</v>
      </c>
      <c r="Y101" s="204">
        <f>Availability!Y47</f>
        <v>1.25</v>
      </c>
      <c r="Z101" s="204">
        <f>Availability!Z47</f>
        <v>1.25</v>
      </c>
      <c r="AA101" s="204">
        <f>Availability!AA47</f>
        <v>1.25</v>
      </c>
      <c r="AB101" s="204">
        <f>Availability!AB47</f>
        <v>1.25</v>
      </c>
      <c r="AC101" s="204">
        <f>Availability!AC47</f>
        <v>1.25</v>
      </c>
      <c r="AD101" s="204">
        <f>Availability!AD47</f>
        <v>1.25</v>
      </c>
      <c r="AE101" s="204">
        <f>Availability!AE47</f>
        <v>1.25</v>
      </c>
      <c r="AF101" s="204">
        <f>Availability!AF47</f>
        <v>1.25</v>
      </c>
      <c r="AG101" s="204">
        <f>Availability!AG47</f>
        <v>1.25</v>
      </c>
      <c r="AH101" s="204">
        <f>Availability!AH47</f>
        <v>1.25</v>
      </c>
      <c r="AI101" s="204">
        <f>Availability!AI47</f>
        <v>1.25</v>
      </c>
      <c r="AJ101" s="204">
        <f>Availability!AJ47</f>
        <v>1.25</v>
      </c>
      <c r="AK101" s="204">
        <f>Availability!AK47</f>
        <v>1.25</v>
      </c>
      <c r="AL101" s="204">
        <f>Availability!AL47</f>
        <v>1.25</v>
      </c>
      <c r="AM101" s="204">
        <f>Availability!AM47</f>
        <v>1.25</v>
      </c>
      <c r="AN101" s="204">
        <f>Availability!AN47</f>
        <v>1.25</v>
      </c>
      <c r="AO101" s="204">
        <f>Availability!AO47</f>
        <v>1.25</v>
      </c>
      <c r="AP101" s="204">
        <f>Availability!AP47</f>
        <v>0</v>
      </c>
      <c r="AQ101" s="204">
        <f>Availability!AQ47</f>
        <v>0</v>
      </c>
      <c r="AR101" s="204">
        <f>Availability!AR47</f>
        <v>0</v>
      </c>
      <c r="AS101" s="204">
        <f>Availability!AS47</f>
        <v>0</v>
      </c>
      <c r="AT101" s="204">
        <f>Availability!AT47</f>
        <v>0</v>
      </c>
      <c r="AU101" s="204">
        <f>Availability!AU47</f>
        <v>0</v>
      </c>
      <c r="AV101" s="204">
        <f>Availability!AV47</f>
        <v>0</v>
      </c>
      <c r="AW101" s="204">
        <f>Availability!AW47</f>
        <v>0</v>
      </c>
      <c r="AX101" s="204">
        <f>Availability!AX47</f>
        <v>0</v>
      </c>
      <c r="AY101" s="204">
        <f>Availability!AY47</f>
        <v>0</v>
      </c>
      <c r="AZ101" s="204">
        <f>Availability!AZ47</f>
        <v>0</v>
      </c>
      <c r="BA101" s="204">
        <f>Availability!BA47</f>
        <v>0</v>
      </c>
      <c r="BB101" s="204">
        <f>Availability!BB47</f>
        <v>0</v>
      </c>
    </row>
    <row r="102" spans="1:55" ht="15" customHeight="1">
      <c r="A102" s="19"/>
      <c r="B102" s="5"/>
      <c r="C102" s="5"/>
      <c r="D102" s="5"/>
      <c r="E102" s="19" t="s">
        <v>574</v>
      </c>
      <c r="G102" s="5" t="s">
        <v>193</v>
      </c>
      <c r="H102" s="19" t="s">
        <v>488</v>
      </c>
      <c r="J102" s="15"/>
      <c r="K102" s="15"/>
      <c r="L102" s="31"/>
      <c r="M102" s="31"/>
      <c r="N102" s="31"/>
      <c r="O102" s="31"/>
      <c r="P102" s="204">
        <f>Availability!P54</f>
        <v>0</v>
      </c>
      <c r="Q102" s="204">
        <f>Availability!Q54</f>
        <v>0</v>
      </c>
      <c r="R102" s="204">
        <f>Availability!R54</f>
        <v>0</v>
      </c>
      <c r="S102" s="204">
        <f>Availability!S54</f>
        <v>1</v>
      </c>
      <c r="T102" s="204">
        <f>Availability!T54</f>
        <v>1</v>
      </c>
      <c r="U102" s="204">
        <f>Availability!U54</f>
        <v>1</v>
      </c>
      <c r="V102" s="204">
        <f>Availability!V54</f>
        <v>1</v>
      </c>
      <c r="W102" s="204">
        <f>Availability!W54</f>
        <v>1</v>
      </c>
      <c r="X102" s="204">
        <f>Availability!X54</f>
        <v>1</v>
      </c>
      <c r="Y102" s="204">
        <f>Availability!Y54</f>
        <v>1</v>
      </c>
      <c r="Z102" s="204">
        <f>Availability!Z54</f>
        <v>1</v>
      </c>
      <c r="AA102" s="204">
        <f>Availability!AA54</f>
        <v>1</v>
      </c>
      <c r="AB102" s="204">
        <f>Availability!AB54</f>
        <v>1</v>
      </c>
      <c r="AC102" s="204">
        <f>Availability!AC54</f>
        <v>1</v>
      </c>
      <c r="AD102" s="204">
        <f>Availability!AD54</f>
        <v>1</v>
      </c>
      <c r="AE102" s="204">
        <f>Availability!AE54</f>
        <v>1</v>
      </c>
      <c r="AF102" s="204">
        <f>Availability!AF54</f>
        <v>1</v>
      </c>
      <c r="AG102" s="204">
        <f>Availability!AG54</f>
        <v>1</v>
      </c>
      <c r="AH102" s="204">
        <f>Availability!AH54</f>
        <v>1</v>
      </c>
      <c r="AI102" s="204">
        <f>Availability!AI54</f>
        <v>1</v>
      </c>
      <c r="AJ102" s="204">
        <f>Availability!AJ54</f>
        <v>1</v>
      </c>
      <c r="AK102" s="204">
        <f>Availability!AK54</f>
        <v>1</v>
      </c>
      <c r="AL102" s="204">
        <f>Availability!AL54</f>
        <v>1</v>
      </c>
      <c r="AM102" s="204">
        <f>Availability!AM54</f>
        <v>1</v>
      </c>
      <c r="AN102" s="204">
        <f>Availability!AN54</f>
        <v>1</v>
      </c>
      <c r="AO102" s="204">
        <f>Availability!AO54</f>
        <v>1</v>
      </c>
      <c r="AP102" s="204">
        <f>Availability!AP54</f>
        <v>0</v>
      </c>
      <c r="AQ102" s="204">
        <f>Availability!AQ54</f>
        <v>0</v>
      </c>
      <c r="AR102" s="204">
        <f>Availability!AR54</f>
        <v>0</v>
      </c>
      <c r="AS102" s="204">
        <f>Availability!AS54</f>
        <v>0</v>
      </c>
      <c r="AT102" s="204">
        <f>Availability!AT54</f>
        <v>0</v>
      </c>
      <c r="AU102" s="204">
        <f>Availability!AU54</f>
        <v>0</v>
      </c>
      <c r="AV102" s="204">
        <f>Availability!AV54</f>
        <v>0</v>
      </c>
      <c r="AW102" s="204">
        <f>Availability!AW54</f>
        <v>0</v>
      </c>
      <c r="AX102" s="204">
        <f>Availability!AX54</f>
        <v>0</v>
      </c>
      <c r="AY102" s="204">
        <f>Availability!AY54</f>
        <v>0</v>
      </c>
      <c r="AZ102" s="204">
        <f>Availability!AZ54</f>
        <v>0</v>
      </c>
      <c r="BA102" s="204">
        <f>Availability!BA54</f>
        <v>0</v>
      </c>
      <c r="BB102" s="204">
        <f>Availability!BB54</f>
        <v>0</v>
      </c>
    </row>
    <row r="103" spans="1:55" ht="15" customHeight="1">
      <c r="A103" s="19"/>
      <c r="B103" s="5"/>
      <c r="C103" s="5"/>
      <c r="D103" s="5"/>
      <c r="J103" s="15"/>
      <c r="K103" s="15"/>
      <c r="L103" s="31"/>
      <c r="M103" s="31"/>
      <c r="N103" s="31"/>
      <c r="O103" s="31"/>
      <c r="P103" s="93"/>
      <c r="Q103" s="93"/>
      <c r="R103" s="93"/>
      <c r="S103" s="93"/>
      <c r="T103" s="93"/>
      <c r="U103" s="93"/>
      <c r="V103" s="93"/>
      <c r="W103" s="93"/>
      <c r="X103" s="93"/>
      <c r="Y103" s="93"/>
      <c r="Z103" s="93"/>
      <c r="AA103" s="93"/>
      <c r="AB103" s="93"/>
      <c r="AC103" s="93"/>
      <c r="AD103" s="93"/>
      <c r="AE103" s="93"/>
      <c r="AF103" s="93"/>
      <c r="AG103" s="93"/>
      <c r="AH103" s="93"/>
      <c r="AI103" s="93"/>
      <c r="AJ103" s="93"/>
      <c r="AK103" s="93"/>
      <c r="AL103" s="93"/>
      <c r="AM103" s="93"/>
      <c r="AN103" s="93"/>
      <c r="AO103" s="93"/>
      <c r="AP103" s="93"/>
      <c r="AQ103" s="93"/>
      <c r="AR103" s="93"/>
      <c r="AS103" s="93"/>
      <c r="AT103" s="93"/>
      <c r="AU103" s="93"/>
      <c r="AV103" s="93"/>
      <c r="AW103" s="93"/>
      <c r="AX103" s="93"/>
      <c r="AY103" s="93"/>
      <c r="AZ103" s="93"/>
      <c r="BA103" s="93"/>
      <c r="BB103" s="93"/>
    </row>
    <row r="104" spans="1:55" ht="15" customHeight="1">
      <c r="A104" s="19"/>
      <c r="B104" s="5"/>
      <c r="C104" s="5"/>
      <c r="D104" s="5"/>
      <c r="E104" s="19" t="s">
        <v>484</v>
      </c>
      <c r="G104" s="5" t="s">
        <v>248</v>
      </c>
      <c r="I104" s="30"/>
      <c r="J104" s="15"/>
      <c r="K104" s="15"/>
      <c r="L104" s="31"/>
      <c r="M104" s="31"/>
      <c r="N104" s="31"/>
      <c r="O104" s="31"/>
      <c r="P104" s="93">
        <f>P26*Inputs!$I$123</f>
        <v>0</v>
      </c>
      <c r="Q104" s="93">
        <f>Q26*Inputs!$I$123</f>
        <v>0</v>
      </c>
      <c r="R104" s="93">
        <f>R26*Inputs!$I$123</f>
        <v>0</v>
      </c>
      <c r="S104" s="93">
        <f>S26*Inputs!$I$123</f>
        <v>99.98599884633262</v>
      </c>
      <c r="T104" s="93">
        <f>T26*Inputs!$I$123</f>
        <v>102.3081851307617</v>
      </c>
      <c r="U104" s="93">
        <f>U26*Inputs!$I$123</f>
        <v>97.535589113911485</v>
      </c>
      <c r="V104" s="93">
        <f>V26*Inputs!$I$123</f>
        <v>100.32880117257399</v>
      </c>
      <c r="W104" s="93">
        <f>W26*Inputs!$I$123</f>
        <v>103.21808041770522</v>
      </c>
      <c r="X104" s="93">
        <f>X26*Inputs!$I$123</f>
        <v>106.20713932596213</v>
      </c>
      <c r="Y104" s="93">
        <f>Y26*Inputs!$I$123</f>
        <v>109.29984248162089</v>
      </c>
      <c r="Z104" s="93">
        <f>Z26*Inputs!$I$123</f>
        <v>112.50021297141446</v>
      </c>
      <c r="AA104" s="93">
        <f>AA26*Inputs!$I$123</f>
        <v>115.81243905110807</v>
      </c>
      <c r="AB104" s="93">
        <f>AB26*Inputs!$I$123</f>
        <v>119.24088109540939</v>
      </c>
      <c r="AC104" s="93">
        <f>AC26*Inputs!$I$123</f>
        <v>122.79007884330629</v>
      </c>
      <c r="AD104" s="93">
        <f>AD26*Inputs!$I$123</f>
        <v>126.46475895144245</v>
      </c>
      <c r="AE104" s="93">
        <f>AE26*Inputs!$I$123</f>
        <v>130.26984286867872</v>
      </c>
      <c r="AF104" s="93">
        <f>AF26*Inputs!$I$123</f>
        <v>134.21045504555269</v>
      </c>
      <c r="AG104" s="93">
        <f>AG26*Inputs!$I$123</f>
        <v>138.29193149293246</v>
      </c>
      <c r="AH104" s="93">
        <f>AH26*Inputs!$I$123</f>
        <v>142.51982870477434</v>
      </c>
      <c r="AI104" s="93">
        <f>AI26*Inputs!$I$123</f>
        <v>146.89993296053018</v>
      </c>
      <c r="AJ104" s="93">
        <f>AJ26*Inputs!$I$123</f>
        <v>151.43827002341462</v>
      </c>
      <c r="AK104" s="93">
        <f>AK26*Inputs!$I$123</f>
        <v>156.14111525143747</v>
      </c>
      <c r="AL104" s="93">
        <f>AL26*Inputs!$I$123</f>
        <v>155.10941584104498</v>
      </c>
      <c r="AM104" s="93">
        <f>AM26*Inputs!$I$123</f>
        <v>93.548217689600961</v>
      </c>
      <c r="AN104" s="93">
        <f>AN26*Inputs!$I$123</f>
        <v>97.552081406715857</v>
      </c>
      <c r="AO104" s="93">
        <f>AO26*Inputs!$I$123</f>
        <v>33.491332201323829</v>
      </c>
      <c r="AP104" s="93">
        <f>AP26*Inputs!$I$123</f>
        <v>0</v>
      </c>
      <c r="AQ104" s="93">
        <f>AQ26*Inputs!$I$123</f>
        <v>0</v>
      </c>
      <c r="AR104" s="93">
        <f>AR26*Inputs!$I$123</f>
        <v>0</v>
      </c>
      <c r="AS104" s="93">
        <f>AS26*Inputs!$I$123</f>
        <v>0</v>
      </c>
      <c r="AT104" s="93">
        <f>AT26*Inputs!$I$123</f>
        <v>0</v>
      </c>
      <c r="AU104" s="93">
        <f>AU26*Inputs!$I$123</f>
        <v>0</v>
      </c>
      <c r="AV104" s="93">
        <f>AV26*Inputs!$I$123</f>
        <v>0</v>
      </c>
      <c r="AW104" s="93">
        <f>AW26*Inputs!$I$123</f>
        <v>0</v>
      </c>
      <c r="AX104" s="93">
        <f>AX26*Inputs!$I$123</f>
        <v>0</v>
      </c>
      <c r="AY104" s="93">
        <f>AY26*Inputs!$I$123</f>
        <v>0</v>
      </c>
      <c r="AZ104" s="93">
        <f>AZ26*Inputs!$I$123</f>
        <v>0</v>
      </c>
      <c r="BA104" s="93">
        <f>BA26*Inputs!$I$123</f>
        <v>0</v>
      </c>
      <c r="BB104" s="93">
        <f>BB26*Inputs!$I$123</f>
        <v>0</v>
      </c>
    </row>
    <row r="105" spans="1:55" ht="15" customHeight="1">
      <c r="A105" s="19"/>
      <c r="D105" s="19"/>
      <c r="W105" s="65"/>
      <c r="X105" s="65"/>
      <c r="Y105" s="65"/>
      <c r="Z105" s="65"/>
      <c r="AA105" s="65"/>
      <c r="AB105" s="65"/>
      <c r="AC105" s="65"/>
      <c r="AD105" s="65"/>
      <c r="AE105" s="65"/>
      <c r="AF105" s="65"/>
      <c r="AG105" s="65"/>
      <c r="AH105" s="65"/>
      <c r="AI105" s="65"/>
      <c r="AJ105" s="65"/>
      <c r="AK105" s="65"/>
      <c r="AL105" s="65"/>
      <c r="AM105" s="65"/>
      <c r="AN105" s="65"/>
      <c r="AO105" s="65"/>
      <c r="AP105" s="65"/>
      <c r="AQ105" s="65"/>
      <c r="AR105" s="65"/>
      <c r="AS105" s="65"/>
      <c r="AT105" s="65"/>
      <c r="AU105" s="65"/>
      <c r="AV105" s="65"/>
      <c r="AW105" s="65"/>
      <c r="AX105" s="65"/>
      <c r="AY105" s="65"/>
      <c r="AZ105" s="65"/>
      <c r="BA105" s="65"/>
      <c r="BB105" s="65"/>
    </row>
    <row r="106" spans="1:55" ht="15" customHeight="1">
      <c r="A106" s="19"/>
      <c r="D106" s="19"/>
      <c r="E106" s="19" t="s">
        <v>572</v>
      </c>
      <c r="G106" s="5" t="s">
        <v>248</v>
      </c>
      <c r="H106" s="19" t="s">
        <v>575</v>
      </c>
      <c r="I106" s="30"/>
      <c r="L106" s="31"/>
      <c r="M106" s="31"/>
      <c r="N106" s="31"/>
      <c r="O106" s="31"/>
      <c r="P106" s="35">
        <f t="shared" ref="P106:BB106" si="46">IF(AND(P57=0,P101&lt;1,P102&lt;=1,P67&gt;0),P67,0)</f>
        <v>0</v>
      </c>
      <c r="Q106" s="35">
        <f t="shared" si="46"/>
        <v>0</v>
      </c>
      <c r="R106" s="35">
        <f t="shared" si="46"/>
        <v>0</v>
      </c>
      <c r="S106" s="35">
        <f t="shared" si="46"/>
        <v>0</v>
      </c>
      <c r="T106" s="35">
        <f t="shared" si="46"/>
        <v>0</v>
      </c>
      <c r="U106" s="35">
        <f t="shared" si="46"/>
        <v>0</v>
      </c>
      <c r="V106" s="35">
        <f t="shared" si="46"/>
        <v>0</v>
      </c>
      <c r="W106" s="35">
        <f t="shared" si="46"/>
        <v>0</v>
      </c>
      <c r="X106" s="35">
        <f t="shared" si="46"/>
        <v>0</v>
      </c>
      <c r="Y106" s="35">
        <f t="shared" si="46"/>
        <v>0</v>
      </c>
      <c r="Z106" s="35">
        <f t="shared" si="46"/>
        <v>0</v>
      </c>
      <c r="AA106" s="35">
        <f t="shared" si="46"/>
        <v>0</v>
      </c>
      <c r="AB106" s="35">
        <f t="shared" si="46"/>
        <v>0</v>
      </c>
      <c r="AC106" s="35">
        <f t="shared" si="46"/>
        <v>0</v>
      </c>
      <c r="AD106" s="35">
        <f t="shared" si="46"/>
        <v>0</v>
      </c>
      <c r="AE106" s="35">
        <f t="shared" si="46"/>
        <v>0</v>
      </c>
      <c r="AF106" s="35">
        <f t="shared" si="46"/>
        <v>0</v>
      </c>
      <c r="AG106" s="35">
        <f t="shared" si="46"/>
        <v>0</v>
      </c>
      <c r="AH106" s="35">
        <f t="shared" si="46"/>
        <v>0</v>
      </c>
      <c r="AI106" s="35">
        <f t="shared" si="46"/>
        <v>0</v>
      </c>
      <c r="AJ106" s="35">
        <f t="shared" si="46"/>
        <v>0</v>
      </c>
      <c r="AK106" s="35">
        <f t="shared" si="46"/>
        <v>0</v>
      </c>
      <c r="AL106" s="35">
        <f t="shared" si="46"/>
        <v>0</v>
      </c>
      <c r="AM106" s="35">
        <f t="shared" si="46"/>
        <v>0</v>
      </c>
      <c r="AN106" s="35">
        <f t="shared" si="46"/>
        <v>0</v>
      </c>
      <c r="AO106" s="35">
        <f t="shared" si="46"/>
        <v>0</v>
      </c>
      <c r="AP106" s="35">
        <f t="shared" si="46"/>
        <v>0</v>
      </c>
      <c r="AQ106" s="35">
        <f t="shared" si="46"/>
        <v>0</v>
      </c>
      <c r="AR106" s="35">
        <f t="shared" si="46"/>
        <v>0</v>
      </c>
      <c r="AS106" s="35">
        <f t="shared" si="46"/>
        <v>0</v>
      </c>
      <c r="AT106" s="35">
        <f t="shared" si="46"/>
        <v>0</v>
      </c>
      <c r="AU106" s="35">
        <f t="shared" si="46"/>
        <v>0</v>
      </c>
      <c r="AV106" s="35">
        <f t="shared" si="46"/>
        <v>0</v>
      </c>
      <c r="AW106" s="35">
        <f t="shared" si="46"/>
        <v>0</v>
      </c>
      <c r="AX106" s="35">
        <f t="shared" si="46"/>
        <v>0</v>
      </c>
      <c r="AY106" s="35">
        <f t="shared" si="46"/>
        <v>0</v>
      </c>
      <c r="AZ106" s="35">
        <f t="shared" si="46"/>
        <v>0</v>
      </c>
      <c r="BA106" s="35">
        <f t="shared" si="46"/>
        <v>0</v>
      </c>
      <c r="BB106" s="35">
        <f t="shared" si="46"/>
        <v>0</v>
      </c>
    </row>
    <row r="107" spans="1:55" ht="15" customHeight="1">
      <c r="A107" s="19"/>
      <c r="D107" s="19"/>
      <c r="E107" s="19" t="s">
        <v>576</v>
      </c>
      <c r="G107" s="5" t="s">
        <v>248</v>
      </c>
      <c r="I107" s="30"/>
      <c r="L107" s="31"/>
      <c r="M107" s="31"/>
      <c r="N107" s="31"/>
      <c r="O107" s="31"/>
      <c r="P107" s="35">
        <f t="shared" ref="P107:BB107" si="47">MAX(MIN(P106,P104-P120-P121),0)</f>
        <v>0</v>
      </c>
      <c r="Q107" s="35">
        <f t="shared" si="47"/>
        <v>0</v>
      </c>
      <c r="R107" s="35">
        <f t="shared" si="47"/>
        <v>0</v>
      </c>
      <c r="S107" s="35">
        <f t="shared" si="47"/>
        <v>0</v>
      </c>
      <c r="T107" s="35">
        <f t="shared" si="47"/>
        <v>0</v>
      </c>
      <c r="U107" s="35">
        <f t="shared" si="47"/>
        <v>0</v>
      </c>
      <c r="V107" s="35">
        <f t="shared" si="47"/>
        <v>0</v>
      </c>
      <c r="W107" s="35">
        <f t="shared" si="47"/>
        <v>0</v>
      </c>
      <c r="X107" s="35">
        <f t="shared" si="47"/>
        <v>0</v>
      </c>
      <c r="Y107" s="35">
        <f t="shared" si="47"/>
        <v>0</v>
      </c>
      <c r="Z107" s="35">
        <f t="shared" si="47"/>
        <v>0</v>
      </c>
      <c r="AA107" s="35">
        <f t="shared" si="47"/>
        <v>0</v>
      </c>
      <c r="AB107" s="35">
        <f t="shared" si="47"/>
        <v>0</v>
      </c>
      <c r="AC107" s="35">
        <f t="shared" si="47"/>
        <v>0</v>
      </c>
      <c r="AD107" s="35">
        <f t="shared" si="47"/>
        <v>0</v>
      </c>
      <c r="AE107" s="35">
        <f t="shared" si="47"/>
        <v>0</v>
      </c>
      <c r="AF107" s="35">
        <f t="shared" si="47"/>
        <v>0</v>
      </c>
      <c r="AG107" s="35">
        <f t="shared" si="47"/>
        <v>0</v>
      </c>
      <c r="AH107" s="35">
        <f t="shared" si="47"/>
        <v>0</v>
      </c>
      <c r="AI107" s="35">
        <f t="shared" si="47"/>
        <v>0</v>
      </c>
      <c r="AJ107" s="35">
        <f t="shared" si="47"/>
        <v>0</v>
      </c>
      <c r="AK107" s="35">
        <f t="shared" si="47"/>
        <v>0</v>
      </c>
      <c r="AL107" s="35">
        <f t="shared" si="47"/>
        <v>0</v>
      </c>
      <c r="AM107" s="35">
        <f t="shared" si="47"/>
        <v>0</v>
      </c>
      <c r="AN107" s="35">
        <f t="shared" si="47"/>
        <v>0</v>
      </c>
      <c r="AO107" s="35">
        <f t="shared" si="47"/>
        <v>0</v>
      </c>
      <c r="AP107" s="35">
        <f t="shared" si="47"/>
        <v>0</v>
      </c>
      <c r="AQ107" s="35">
        <f t="shared" si="47"/>
        <v>0</v>
      </c>
      <c r="AR107" s="35">
        <f t="shared" si="47"/>
        <v>0</v>
      </c>
      <c r="AS107" s="35">
        <f t="shared" si="47"/>
        <v>0</v>
      </c>
      <c r="AT107" s="35">
        <f t="shared" si="47"/>
        <v>0</v>
      </c>
      <c r="AU107" s="35">
        <f t="shared" si="47"/>
        <v>0</v>
      </c>
      <c r="AV107" s="35">
        <f t="shared" si="47"/>
        <v>0</v>
      </c>
      <c r="AW107" s="35">
        <f t="shared" si="47"/>
        <v>0</v>
      </c>
      <c r="AX107" s="35">
        <f t="shared" si="47"/>
        <v>0</v>
      </c>
      <c r="AY107" s="35">
        <f t="shared" si="47"/>
        <v>0</v>
      </c>
      <c r="AZ107" s="35">
        <f t="shared" si="47"/>
        <v>0</v>
      </c>
      <c r="BA107" s="35">
        <f t="shared" si="47"/>
        <v>0</v>
      </c>
      <c r="BB107" s="35">
        <f t="shared" si="47"/>
        <v>0</v>
      </c>
      <c r="BC107" s="5"/>
    </row>
    <row r="108" spans="1:55" ht="15" customHeight="1">
      <c r="A108" s="19"/>
      <c r="B108" s="5"/>
      <c r="C108" s="5"/>
      <c r="D108" s="5"/>
      <c r="E108" s="19" t="s">
        <v>577</v>
      </c>
      <c r="G108" s="19" t="s">
        <v>188</v>
      </c>
      <c r="J108" s="15"/>
      <c r="K108" s="15"/>
      <c r="L108" s="31"/>
      <c r="M108" s="31"/>
      <c r="N108" s="31"/>
      <c r="O108" s="31"/>
      <c r="P108" s="12">
        <f t="shared" ref="P108:BB108" si="48">IF(AND(O107+O120+O121+O122+O123&gt;=O104,P120&gt;0),1,0)</f>
        <v>0</v>
      </c>
      <c r="Q108" s="12">
        <f t="shared" si="48"/>
        <v>0</v>
      </c>
      <c r="R108" s="12">
        <f t="shared" si="48"/>
        <v>0</v>
      </c>
      <c r="S108" s="12">
        <f t="shared" si="48"/>
        <v>0</v>
      </c>
      <c r="T108" s="12">
        <f t="shared" si="48"/>
        <v>0</v>
      </c>
      <c r="U108" s="12">
        <f t="shared" si="48"/>
        <v>0</v>
      </c>
      <c r="V108" s="12">
        <f t="shared" si="48"/>
        <v>0</v>
      </c>
      <c r="W108" s="12">
        <f t="shared" si="48"/>
        <v>0</v>
      </c>
      <c r="X108" s="12">
        <f t="shared" si="48"/>
        <v>0</v>
      </c>
      <c r="Y108" s="12">
        <f t="shared" si="48"/>
        <v>0</v>
      </c>
      <c r="Z108" s="12">
        <f t="shared" si="48"/>
        <v>0</v>
      </c>
      <c r="AA108" s="12">
        <f t="shared" si="48"/>
        <v>0</v>
      </c>
      <c r="AB108" s="12">
        <f t="shared" si="48"/>
        <v>0</v>
      </c>
      <c r="AC108" s="12">
        <f t="shared" si="48"/>
        <v>0</v>
      </c>
      <c r="AD108" s="12">
        <f t="shared" si="48"/>
        <v>0</v>
      </c>
      <c r="AE108" s="12">
        <f t="shared" si="48"/>
        <v>0</v>
      </c>
      <c r="AF108" s="12">
        <f t="shared" si="48"/>
        <v>0</v>
      </c>
      <c r="AG108" s="12">
        <f t="shared" si="48"/>
        <v>0</v>
      </c>
      <c r="AH108" s="12">
        <f t="shared" si="48"/>
        <v>0</v>
      </c>
      <c r="AI108" s="12">
        <f t="shared" si="48"/>
        <v>0</v>
      </c>
      <c r="AJ108" s="12">
        <f t="shared" si="48"/>
        <v>0</v>
      </c>
      <c r="AK108" s="12">
        <f t="shared" si="48"/>
        <v>0</v>
      </c>
      <c r="AL108" s="12">
        <f t="shared" si="48"/>
        <v>0</v>
      </c>
      <c r="AM108" s="12">
        <f t="shared" si="48"/>
        <v>0</v>
      </c>
      <c r="AN108" s="12">
        <f t="shared" si="48"/>
        <v>0</v>
      </c>
      <c r="AO108" s="12">
        <f t="shared" si="48"/>
        <v>0</v>
      </c>
      <c r="AP108" s="12">
        <f t="shared" si="48"/>
        <v>0</v>
      </c>
      <c r="AQ108" s="12">
        <f t="shared" si="48"/>
        <v>1</v>
      </c>
      <c r="AR108" s="12">
        <f t="shared" si="48"/>
        <v>1</v>
      </c>
      <c r="AS108" s="12">
        <f t="shared" si="48"/>
        <v>1</v>
      </c>
      <c r="AT108" s="12">
        <f t="shared" si="48"/>
        <v>1</v>
      </c>
      <c r="AU108" s="12">
        <f t="shared" si="48"/>
        <v>1</v>
      </c>
      <c r="AV108" s="12">
        <f t="shared" si="48"/>
        <v>1</v>
      </c>
      <c r="AW108" s="12">
        <f t="shared" si="48"/>
        <v>1</v>
      </c>
      <c r="AX108" s="12">
        <f t="shared" si="48"/>
        <v>1</v>
      </c>
      <c r="AY108" s="12">
        <f t="shared" si="48"/>
        <v>1</v>
      </c>
      <c r="AZ108" s="12">
        <f t="shared" si="48"/>
        <v>1</v>
      </c>
      <c r="BA108" s="12">
        <f t="shared" si="48"/>
        <v>1</v>
      </c>
      <c r="BB108" s="12">
        <f t="shared" si="48"/>
        <v>1</v>
      </c>
      <c r="BC108" s="93"/>
    </row>
    <row r="109" spans="1:55" ht="15" customHeight="1">
      <c r="A109" s="19"/>
      <c r="D109" s="19"/>
      <c r="W109" s="65"/>
      <c r="X109" s="65"/>
      <c r="Y109" s="65"/>
      <c r="Z109" s="65"/>
      <c r="AA109" s="65"/>
      <c r="AB109" s="65"/>
      <c r="AC109" s="65"/>
      <c r="AD109" s="65"/>
      <c r="AE109" s="65"/>
      <c r="AF109" s="65"/>
      <c r="AG109" s="65"/>
      <c r="AH109" s="65"/>
      <c r="AI109" s="65"/>
      <c r="AJ109" s="65"/>
      <c r="AK109" s="65"/>
      <c r="AL109" s="65"/>
      <c r="AM109" s="65"/>
      <c r="AN109" s="65"/>
      <c r="AO109" s="65"/>
      <c r="AP109" s="65"/>
      <c r="AQ109" s="65"/>
      <c r="AR109" s="65"/>
      <c r="AS109" s="65"/>
      <c r="AT109" s="65"/>
      <c r="AU109" s="65"/>
      <c r="AV109" s="65"/>
      <c r="AW109" s="65"/>
      <c r="AX109" s="65"/>
      <c r="AY109" s="65"/>
      <c r="AZ109" s="65"/>
      <c r="BA109" s="65"/>
      <c r="BB109" s="65"/>
    </row>
    <row r="110" spans="1:55" s="59" customFormat="1" ht="15" customHeight="1">
      <c r="A110" s="19"/>
      <c r="C110" s="38" t="s">
        <v>578</v>
      </c>
      <c r="D110" s="38"/>
      <c r="E110" s="38"/>
      <c r="F110" s="38"/>
      <c r="G110" s="38"/>
      <c r="H110" s="38"/>
      <c r="I110" s="38"/>
      <c r="J110" s="38"/>
      <c r="K110" s="38"/>
      <c r="L110" s="38"/>
      <c r="M110" s="38"/>
      <c r="N110" s="38"/>
      <c r="O110" s="38"/>
      <c r="P110" s="38"/>
      <c r="Q110" s="38"/>
      <c r="R110" s="38"/>
      <c r="S110" s="38"/>
      <c r="T110" s="38"/>
      <c r="U110" s="38"/>
      <c r="V110" s="38"/>
      <c r="W110" s="38"/>
      <c r="X110" s="38"/>
      <c r="Y110" s="38"/>
      <c r="Z110" s="38"/>
      <c r="AA110" s="38"/>
      <c r="AB110" s="38"/>
      <c r="AC110" s="38"/>
      <c r="AD110" s="38"/>
      <c r="AE110" s="38"/>
      <c r="AF110" s="38"/>
      <c r="AG110" s="38"/>
      <c r="AH110" s="38"/>
      <c r="AI110" s="38"/>
      <c r="AJ110" s="38"/>
      <c r="AK110" s="38"/>
      <c r="AL110" s="38"/>
      <c r="AM110" s="38"/>
      <c r="AN110" s="38"/>
      <c r="AO110" s="38"/>
      <c r="AP110" s="38"/>
      <c r="AQ110" s="38"/>
      <c r="AR110" s="38"/>
      <c r="AS110" s="38"/>
      <c r="AT110" s="38"/>
      <c r="AU110" s="38"/>
      <c r="AV110" s="38"/>
      <c r="AW110" s="38"/>
      <c r="AX110" s="38"/>
      <c r="AY110" s="38"/>
      <c r="AZ110" s="38"/>
      <c r="BA110" s="38"/>
      <c r="BB110" s="38"/>
    </row>
    <row r="111" spans="1:55" ht="15" customHeight="1">
      <c r="A111" s="19"/>
      <c r="D111" s="19"/>
      <c r="W111" s="65"/>
      <c r="X111" s="65"/>
      <c r="Y111" s="65"/>
      <c r="Z111" s="65"/>
      <c r="AA111" s="65"/>
      <c r="AB111" s="65"/>
      <c r="AC111" s="65"/>
      <c r="AD111" s="65"/>
      <c r="AE111" s="65"/>
      <c r="AF111" s="65"/>
      <c r="AG111" s="65"/>
      <c r="AH111" s="65"/>
      <c r="AI111" s="65"/>
      <c r="AJ111" s="65"/>
      <c r="AK111" s="65"/>
      <c r="AL111" s="65"/>
      <c r="AM111" s="65"/>
      <c r="AN111" s="65"/>
      <c r="AO111" s="65"/>
      <c r="AP111" s="65"/>
      <c r="AQ111" s="65"/>
      <c r="AR111" s="65"/>
      <c r="AS111" s="65"/>
      <c r="AT111" s="65"/>
      <c r="AU111" s="65"/>
      <c r="AV111" s="65"/>
      <c r="AW111" s="65"/>
      <c r="AX111" s="65"/>
      <c r="AY111" s="65"/>
      <c r="AZ111" s="65"/>
      <c r="BA111" s="65"/>
      <c r="BB111" s="65"/>
    </row>
    <row r="112" spans="1:55" ht="15" customHeight="1">
      <c r="A112" s="19"/>
      <c r="D112" s="19"/>
      <c r="E112" s="19" t="s">
        <v>457</v>
      </c>
      <c r="G112" s="5" t="s">
        <v>248</v>
      </c>
      <c r="L112" s="31"/>
      <c r="M112" s="31"/>
      <c r="N112" s="31"/>
      <c r="O112" s="31"/>
      <c r="P112" s="35">
        <f t="shared" ref="P112:BB112" si="49">P24</f>
        <v>0</v>
      </c>
      <c r="Q112" s="35">
        <f t="shared" si="49"/>
        <v>0</v>
      </c>
      <c r="R112" s="35">
        <f t="shared" si="49"/>
        <v>0</v>
      </c>
      <c r="S112" s="35">
        <f t="shared" si="49"/>
        <v>24.205308577085852</v>
      </c>
      <c r="T112" s="35">
        <f t="shared" si="49"/>
        <v>25.339064090865126</v>
      </c>
      <c r="U112" s="35">
        <f t="shared" si="49"/>
        <v>27.328469291029048</v>
      </c>
      <c r="V112" s="35">
        <f t="shared" si="49"/>
        <v>28.498127776685092</v>
      </c>
      <c r="W112" s="35">
        <f t="shared" si="49"/>
        <v>29.717847645527215</v>
      </c>
      <c r="X112" s="35">
        <f t="shared" si="49"/>
        <v>30.989771524755774</v>
      </c>
      <c r="Y112" s="35">
        <f t="shared" si="49"/>
        <v>32.316133746015318</v>
      </c>
      <c r="Z112" s="35">
        <f t="shared" si="49"/>
        <v>33.69926427034477</v>
      </c>
      <c r="AA112" s="35">
        <f t="shared" si="49"/>
        <v>35.141592781115527</v>
      </c>
      <c r="AB112" s="35">
        <f t="shared" si="49"/>
        <v>36.645652952147266</v>
      </c>
      <c r="AC112" s="35">
        <f t="shared" si="49"/>
        <v>38.214086898499168</v>
      </c>
      <c r="AD112" s="35">
        <f t="shared" si="49"/>
        <v>39.84964981775493</v>
      </c>
      <c r="AE112" s="35">
        <f t="shared" si="49"/>
        <v>41.555214829954842</v>
      </c>
      <c r="AF112" s="35">
        <f t="shared" si="49"/>
        <v>43.333778024676917</v>
      </c>
      <c r="AG112" s="35">
        <f t="shared" si="49"/>
        <v>45.188463724133079</v>
      </c>
      <c r="AH112" s="35">
        <f t="shared" si="49"/>
        <v>47.122529971525978</v>
      </c>
      <c r="AI112" s="35">
        <f t="shared" si="49"/>
        <v>49.139374254307278</v>
      </c>
      <c r="AJ112" s="35">
        <f t="shared" si="49"/>
        <v>51.242539472391634</v>
      </c>
      <c r="AK112" s="35">
        <f t="shared" si="49"/>
        <v>53.435720161809996</v>
      </c>
      <c r="AL112" s="35">
        <f t="shared" si="49"/>
        <v>55.72276898473546</v>
      </c>
      <c r="AM112" s="35">
        <f t="shared" si="49"/>
        <v>58.107703497282138</v>
      </c>
      <c r="AN112" s="35">
        <f t="shared" si="49"/>
        <v>60.594713206965807</v>
      </c>
      <c r="AO112" s="35">
        <f t="shared" si="49"/>
        <v>20.803222651882074</v>
      </c>
      <c r="AP112" s="35">
        <f t="shared" si="49"/>
        <v>0</v>
      </c>
      <c r="AQ112" s="35">
        <f t="shared" si="49"/>
        <v>0</v>
      </c>
      <c r="AR112" s="35">
        <f t="shared" si="49"/>
        <v>0</v>
      </c>
      <c r="AS112" s="35">
        <f t="shared" si="49"/>
        <v>0</v>
      </c>
      <c r="AT112" s="35">
        <f t="shared" si="49"/>
        <v>0</v>
      </c>
      <c r="AU112" s="35">
        <f t="shared" si="49"/>
        <v>0</v>
      </c>
      <c r="AV112" s="35">
        <f t="shared" si="49"/>
        <v>0</v>
      </c>
      <c r="AW112" s="35">
        <f t="shared" si="49"/>
        <v>0</v>
      </c>
      <c r="AX112" s="35">
        <f t="shared" si="49"/>
        <v>0</v>
      </c>
      <c r="AY112" s="35">
        <f t="shared" si="49"/>
        <v>0</v>
      </c>
      <c r="AZ112" s="35">
        <f t="shared" si="49"/>
        <v>0</v>
      </c>
      <c r="BA112" s="35">
        <f t="shared" si="49"/>
        <v>0</v>
      </c>
      <c r="BB112" s="35">
        <f t="shared" si="49"/>
        <v>0</v>
      </c>
    </row>
    <row r="113" spans="1:55" ht="15" customHeight="1">
      <c r="A113" s="19"/>
      <c r="D113" s="19"/>
      <c r="E113" s="19" t="s">
        <v>459</v>
      </c>
      <c r="G113" s="5" t="s">
        <v>248</v>
      </c>
      <c r="L113" s="31"/>
      <c r="M113" s="31"/>
      <c r="N113" s="31"/>
      <c r="O113" s="31"/>
      <c r="P113" s="35">
        <f t="shared" ref="P113:BB113" si="50">P26</f>
        <v>0</v>
      </c>
      <c r="Q113" s="35">
        <f t="shared" si="50"/>
        <v>0</v>
      </c>
      <c r="R113" s="35">
        <f t="shared" si="50"/>
        <v>0</v>
      </c>
      <c r="S113" s="35">
        <f t="shared" si="50"/>
        <v>24.996499711583155</v>
      </c>
      <c r="T113" s="35">
        <f t="shared" si="50"/>
        <v>25.577046282690425</v>
      </c>
      <c r="U113" s="35">
        <f t="shared" si="50"/>
        <v>24.383897278477871</v>
      </c>
      <c r="V113" s="35">
        <f t="shared" si="50"/>
        <v>25.082200293143497</v>
      </c>
      <c r="W113" s="35">
        <f t="shared" si="50"/>
        <v>25.804520104426306</v>
      </c>
      <c r="X113" s="35">
        <f t="shared" si="50"/>
        <v>26.551784831490533</v>
      </c>
      <c r="Y113" s="35">
        <f t="shared" si="50"/>
        <v>27.324960620405221</v>
      </c>
      <c r="Z113" s="35">
        <f t="shared" si="50"/>
        <v>28.125053242853614</v>
      </c>
      <c r="AA113" s="35">
        <f t="shared" si="50"/>
        <v>28.953109762777018</v>
      </c>
      <c r="AB113" s="35">
        <f t="shared" si="50"/>
        <v>29.810220273852348</v>
      </c>
      <c r="AC113" s="35">
        <f t="shared" si="50"/>
        <v>30.697519710826572</v>
      </c>
      <c r="AD113" s="35">
        <f t="shared" si="50"/>
        <v>31.616189737860612</v>
      </c>
      <c r="AE113" s="35">
        <f t="shared" si="50"/>
        <v>32.567460717169681</v>
      </c>
      <c r="AF113" s="35">
        <f t="shared" si="50"/>
        <v>33.552613761388173</v>
      </c>
      <c r="AG113" s="35">
        <f t="shared" si="50"/>
        <v>34.572982873233116</v>
      </c>
      <c r="AH113" s="35">
        <f t="shared" si="50"/>
        <v>35.629957176193585</v>
      </c>
      <c r="AI113" s="35">
        <f t="shared" si="50"/>
        <v>36.724983240132545</v>
      </c>
      <c r="AJ113" s="35">
        <f t="shared" si="50"/>
        <v>37.859567505853654</v>
      </c>
      <c r="AK113" s="35">
        <f t="shared" si="50"/>
        <v>39.035278812859367</v>
      </c>
      <c r="AL113" s="35">
        <f t="shared" si="50"/>
        <v>38.777353960261244</v>
      </c>
      <c r="AM113" s="35">
        <f t="shared" si="50"/>
        <v>23.38705442240024</v>
      </c>
      <c r="AN113" s="35">
        <f t="shared" si="50"/>
        <v>24.388020351678964</v>
      </c>
      <c r="AO113" s="35">
        <f t="shared" si="50"/>
        <v>8.3728330503309571</v>
      </c>
      <c r="AP113" s="35">
        <f t="shared" si="50"/>
        <v>0</v>
      </c>
      <c r="AQ113" s="35">
        <f t="shared" si="50"/>
        <v>0</v>
      </c>
      <c r="AR113" s="35">
        <f t="shared" si="50"/>
        <v>0</v>
      </c>
      <c r="AS113" s="35">
        <f t="shared" si="50"/>
        <v>0</v>
      </c>
      <c r="AT113" s="35">
        <f t="shared" si="50"/>
        <v>0</v>
      </c>
      <c r="AU113" s="35">
        <f t="shared" si="50"/>
        <v>0</v>
      </c>
      <c r="AV113" s="35">
        <f t="shared" si="50"/>
        <v>0</v>
      </c>
      <c r="AW113" s="35">
        <f t="shared" si="50"/>
        <v>0</v>
      </c>
      <c r="AX113" s="35">
        <f t="shared" si="50"/>
        <v>0</v>
      </c>
      <c r="AY113" s="35">
        <f t="shared" si="50"/>
        <v>0</v>
      </c>
      <c r="AZ113" s="35">
        <f t="shared" si="50"/>
        <v>0</v>
      </c>
      <c r="BA113" s="35">
        <f t="shared" si="50"/>
        <v>0</v>
      </c>
      <c r="BB113" s="35">
        <f t="shared" si="50"/>
        <v>0</v>
      </c>
    </row>
    <row r="114" spans="1:55" ht="15" customHeight="1">
      <c r="A114" s="19"/>
      <c r="D114" s="19"/>
      <c r="E114" s="19" t="s">
        <v>579</v>
      </c>
      <c r="G114" s="5" t="s">
        <v>248</v>
      </c>
      <c r="L114" s="31"/>
      <c r="M114" s="31"/>
      <c r="N114" s="31"/>
      <c r="O114" s="31"/>
      <c r="P114" s="35">
        <f t="shared" ref="P114:BB114" si="51">MAX(P113-P112,0)</f>
        <v>0</v>
      </c>
      <c r="Q114" s="35">
        <f t="shared" si="51"/>
        <v>0</v>
      </c>
      <c r="R114" s="35">
        <f t="shared" si="51"/>
        <v>0</v>
      </c>
      <c r="S114" s="35">
        <f t="shared" si="51"/>
        <v>0.79119113449730349</v>
      </c>
      <c r="T114" s="35">
        <f t="shared" si="51"/>
        <v>0.23798219182529934</v>
      </c>
      <c r="U114" s="35">
        <f t="shared" si="51"/>
        <v>0</v>
      </c>
      <c r="V114" s="35">
        <f t="shared" si="51"/>
        <v>0</v>
      </c>
      <c r="W114" s="35">
        <f t="shared" si="51"/>
        <v>0</v>
      </c>
      <c r="X114" s="35">
        <f t="shared" si="51"/>
        <v>0</v>
      </c>
      <c r="Y114" s="35">
        <f t="shared" si="51"/>
        <v>0</v>
      </c>
      <c r="Z114" s="35">
        <f t="shared" si="51"/>
        <v>0</v>
      </c>
      <c r="AA114" s="35">
        <f t="shared" si="51"/>
        <v>0</v>
      </c>
      <c r="AB114" s="35">
        <f t="shared" si="51"/>
        <v>0</v>
      </c>
      <c r="AC114" s="35">
        <f t="shared" si="51"/>
        <v>0</v>
      </c>
      <c r="AD114" s="35">
        <f t="shared" si="51"/>
        <v>0</v>
      </c>
      <c r="AE114" s="35">
        <f t="shared" si="51"/>
        <v>0</v>
      </c>
      <c r="AF114" s="35">
        <f t="shared" si="51"/>
        <v>0</v>
      </c>
      <c r="AG114" s="35">
        <f t="shared" si="51"/>
        <v>0</v>
      </c>
      <c r="AH114" s="35">
        <f t="shared" si="51"/>
        <v>0</v>
      </c>
      <c r="AI114" s="35">
        <f t="shared" si="51"/>
        <v>0</v>
      </c>
      <c r="AJ114" s="35">
        <f t="shared" si="51"/>
        <v>0</v>
      </c>
      <c r="AK114" s="35">
        <f t="shared" si="51"/>
        <v>0</v>
      </c>
      <c r="AL114" s="35">
        <f t="shared" si="51"/>
        <v>0</v>
      </c>
      <c r="AM114" s="35">
        <f t="shared" si="51"/>
        <v>0</v>
      </c>
      <c r="AN114" s="35">
        <f t="shared" si="51"/>
        <v>0</v>
      </c>
      <c r="AO114" s="35">
        <f t="shared" si="51"/>
        <v>0</v>
      </c>
      <c r="AP114" s="35">
        <f t="shared" si="51"/>
        <v>0</v>
      </c>
      <c r="AQ114" s="35">
        <f t="shared" si="51"/>
        <v>0</v>
      </c>
      <c r="AR114" s="35">
        <f t="shared" si="51"/>
        <v>0</v>
      </c>
      <c r="AS114" s="35">
        <f t="shared" si="51"/>
        <v>0</v>
      </c>
      <c r="AT114" s="35">
        <f t="shared" si="51"/>
        <v>0</v>
      </c>
      <c r="AU114" s="35">
        <f t="shared" si="51"/>
        <v>0</v>
      </c>
      <c r="AV114" s="35">
        <f t="shared" si="51"/>
        <v>0</v>
      </c>
      <c r="AW114" s="35">
        <f t="shared" si="51"/>
        <v>0</v>
      </c>
      <c r="AX114" s="35">
        <f t="shared" si="51"/>
        <v>0</v>
      </c>
      <c r="AY114" s="35">
        <f t="shared" si="51"/>
        <v>0</v>
      </c>
      <c r="AZ114" s="35">
        <f t="shared" si="51"/>
        <v>0</v>
      </c>
      <c r="BA114" s="35">
        <f t="shared" si="51"/>
        <v>0</v>
      </c>
      <c r="BB114" s="35">
        <f t="shared" si="51"/>
        <v>0</v>
      </c>
    </row>
    <row r="115" spans="1:55" ht="15" customHeight="1">
      <c r="A115" s="19"/>
      <c r="D115" s="19"/>
      <c r="E115" s="19" t="s">
        <v>580</v>
      </c>
      <c r="G115" s="5" t="s">
        <v>248</v>
      </c>
      <c r="H115" s="19" t="s">
        <v>581</v>
      </c>
      <c r="L115" s="31"/>
      <c r="M115" s="31"/>
      <c r="N115" s="31"/>
      <c r="O115" s="31"/>
      <c r="P115" s="35">
        <f t="shared" ref="P115:BB115" si="52">P67</f>
        <v>0</v>
      </c>
      <c r="Q115" s="35">
        <f t="shared" si="52"/>
        <v>0</v>
      </c>
      <c r="R115" s="35">
        <f t="shared" si="52"/>
        <v>0</v>
      </c>
      <c r="S115" s="35">
        <f t="shared" si="52"/>
        <v>24.996499711583155</v>
      </c>
      <c r="T115" s="35">
        <f t="shared" si="52"/>
        <v>25.577046282690425</v>
      </c>
      <c r="U115" s="35">
        <f t="shared" si="52"/>
        <v>24.383897278477871</v>
      </c>
      <c r="V115" s="35">
        <f t="shared" si="52"/>
        <v>25.082200293143497</v>
      </c>
      <c r="W115" s="35">
        <f t="shared" si="52"/>
        <v>25.804520104426306</v>
      </c>
      <c r="X115" s="35">
        <f t="shared" si="52"/>
        <v>26.551784831490533</v>
      </c>
      <c r="Y115" s="35">
        <f t="shared" si="52"/>
        <v>27.324960620405221</v>
      </c>
      <c r="Z115" s="35">
        <f t="shared" si="52"/>
        <v>28.125053242853614</v>
      </c>
      <c r="AA115" s="35">
        <f t="shared" si="52"/>
        <v>28.953109762777018</v>
      </c>
      <c r="AB115" s="35">
        <f t="shared" si="52"/>
        <v>29.810220273852348</v>
      </c>
      <c r="AC115" s="35">
        <f t="shared" si="52"/>
        <v>30.697519710826572</v>
      </c>
      <c r="AD115" s="35">
        <f t="shared" si="52"/>
        <v>31.616189737860612</v>
      </c>
      <c r="AE115" s="35">
        <f t="shared" si="52"/>
        <v>32.567460717169681</v>
      </c>
      <c r="AF115" s="35">
        <f t="shared" si="52"/>
        <v>33.552613761388173</v>
      </c>
      <c r="AG115" s="35">
        <f t="shared" si="52"/>
        <v>34.572982873233116</v>
      </c>
      <c r="AH115" s="35">
        <f t="shared" si="52"/>
        <v>35.629957176193585</v>
      </c>
      <c r="AI115" s="35">
        <f t="shared" si="52"/>
        <v>36.724983240132545</v>
      </c>
      <c r="AJ115" s="35">
        <f t="shared" si="52"/>
        <v>37.859567505853654</v>
      </c>
      <c r="AK115" s="35">
        <f t="shared" si="52"/>
        <v>39.035278812859367</v>
      </c>
      <c r="AL115" s="35">
        <f t="shared" si="52"/>
        <v>38.777353960261244</v>
      </c>
      <c r="AM115" s="35">
        <f t="shared" si="52"/>
        <v>23.38705442240024</v>
      </c>
      <c r="AN115" s="35">
        <f t="shared" si="52"/>
        <v>24.388020351678964</v>
      </c>
      <c r="AO115" s="35">
        <f t="shared" si="52"/>
        <v>8.3728330503309571</v>
      </c>
      <c r="AP115" s="35">
        <f t="shared" si="52"/>
        <v>0</v>
      </c>
      <c r="AQ115" s="35">
        <f t="shared" si="52"/>
        <v>0</v>
      </c>
      <c r="AR115" s="35">
        <f t="shared" si="52"/>
        <v>0</v>
      </c>
      <c r="AS115" s="35">
        <f t="shared" si="52"/>
        <v>0</v>
      </c>
      <c r="AT115" s="35">
        <f t="shared" si="52"/>
        <v>0</v>
      </c>
      <c r="AU115" s="35">
        <f t="shared" si="52"/>
        <v>0</v>
      </c>
      <c r="AV115" s="35">
        <f t="shared" si="52"/>
        <v>0</v>
      </c>
      <c r="AW115" s="35">
        <f t="shared" si="52"/>
        <v>0</v>
      </c>
      <c r="AX115" s="35">
        <f t="shared" si="52"/>
        <v>0</v>
      </c>
      <c r="AY115" s="35">
        <f t="shared" si="52"/>
        <v>0</v>
      </c>
      <c r="AZ115" s="35">
        <f t="shared" si="52"/>
        <v>0</v>
      </c>
      <c r="BA115" s="35">
        <f t="shared" si="52"/>
        <v>0</v>
      </c>
      <c r="BB115" s="35">
        <f t="shared" si="52"/>
        <v>0</v>
      </c>
    </row>
    <row r="116" spans="1:55" ht="15" customHeight="1">
      <c r="A116" s="19"/>
      <c r="D116" s="19"/>
      <c r="E116" s="19" t="s">
        <v>582</v>
      </c>
      <c r="G116" s="5" t="s">
        <v>248</v>
      </c>
      <c r="L116" s="31"/>
      <c r="M116" s="31"/>
      <c r="N116" s="31"/>
      <c r="O116" s="31"/>
      <c r="P116" s="35">
        <f t="shared" ref="P116:BB116" si="53">IF(P101&gt;=1,MIN(P114,P115),0)</f>
        <v>0</v>
      </c>
      <c r="Q116" s="35">
        <f t="shared" si="53"/>
        <v>0</v>
      </c>
      <c r="R116" s="35">
        <f t="shared" si="53"/>
        <v>0</v>
      </c>
      <c r="S116" s="35">
        <f t="shared" si="53"/>
        <v>0.79119113449730349</v>
      </c>
      <c r="T116" s="35">
        <f t="shared" si="53"/>
        <v>0.23798219182529934</v>
      </c>
      <c r="U116" s="35">
        <f t="shared" si="53"/>
        <v>0</v>
      </c>
      <c r="V116" s="35">
        <f t="shared" si="53"/>
        <v>0</v>
      </c>
      <c r="W116" s="35">
        <f t="shared" si="53"/>
        <v>0</v>
      </c>
      <c r="X116" s="35">
        <f t="shared" si="53"/>
        <v>0</v>
      </c>
      <c r="Y116" s="35">
        <f t="shared" si="53"/>
        <v>0</v>
      </c>
      <c r="Z116" s="35">
        <f t="shared" si="53"/>
        <v>0</v>
      </c>
      <c r="AA116" s="35">
        <f t="shared" si="53"/>
        <v>0</v>
      </c>
      <c r="AB116" s="35">
        <f t="shared" si="53"/>
        <v>0</v>
      </c>
      <c r="AC116" s="35">
        <f t="shared" si="53"/>
        <v>0</v>
      </c>
      <c r="AD116" s="35">
        <f t="shared" si="53"/>
        <v>0</v>
      </c>
      <c r="AE116" s="35">
        <f t="shared" si="53"/>
        <v>0</v>
      </c>
      <c r="AF116" s="35">
        <f t="shared" si="53"/>
        <v>0</v>
      </c>
      <c r="AG116" s="35">
        <f t="shared" si="53"/>
        <v>0</v>
      </c>
      <c r="AH116" s="35">
        <f t="shared" si="53"/>
        <v>0</v>
      </c>
      <c r="AI116" s="35">
        <f t="shared" si="53"/>
        <v>0</v>
      </c>
      <c r="AJ116" s="35">
        <f t="shared" si="53"/>
        <v>0</v>
      </c>
      <c r="AK116" s="35">
        <f t="shared" si="53"/>
        <v>0</v>
      </c>
      <c r="AL116" s="35">
        <f t="shared" si="53"/>
        <v>0</v>
      </c>
      <c r="AM116" s="35">
        <f t="shared" si="53"/>
        <v>0</v>
      </c>
      <c r="AN116" s="35">
        <f t="shared" si="53"/>
        <v>0</v>
      </c>
      <c r="AO116" s="35">
        <f t="shared" si="53"/>
        <v>0</v>
      </c>
      <c r="AP116" s="35">
        <f t="shared" si="53"/>
        <v>0</v>
      </c>
      <c r="AQ116" s="35">
        <f t="shared" si="53"/>
        <v>0</v>
      </c>
      <c r="AR116" s="35">
        <f t="shared" si="53"/>
        <v>0</v>
      </c>
      <c r="AS116" s="35">
        <f t="shared" si="53"/>
        <v>0</v>
      </c>
      <c r="AT116" s="35">
        <f t="shared" si="53"/>
        <v>0</v>
      </c>
      <c r="AU116" s="35">
        <f t="shared" si="53"/>
        <v>0</v>
      </c>
      <c r="AV116" s="35">
        <f t="shared" si="53"/>
        <v>0</v>
      </c>
      <c r="AW116" s="35">
        <f t="shared" si="53"/>
        <v>0</v>
      </c>
      <c r="AX116" s="35">
        <f t="shared" si="53"/>
        <v>0</v>
      </c>
      <c r="AY116" s="35">
        <f t="shared" si="53"/>
        <v>0</v>
      </c>
      <c r="AZ116" s="35">
        <f t="shared" si="53"/>
        <v>0</v>
      </c>
      <c r="BA116" s="35">
        <f t="shared" si="53"/>
        <v>0</v>
      </c>
      <c r="BB116" s="35">
        <f t="shared" si="53"/>
        <v>0</v>
      </c>
    </row>
    <row r="117" spans="1:55" ht="15" customHeight="1">
      <c r="A117" s="19"/>
      <c r="D117" s="19"/>
      <c r="W117" s="65"/>
      <c r="X117" s="65"/>
      <c r="Y117" s="65"/>
      <c r="Z117" s="65"/>
      <c r="AA117" s="65"/>
      <c r="AB117" s="65"/>
      <c r="AC117" s="65"/>
      <c r="AD117" s="65"/>
      <c r="AE117" s="65"/>
      <c r="AF117" s="65"/>
      <c r="AG117" s="65"/>
      <c r="AH117" s="65"/>
      <c r="AI117" s="65"/>
      <c r="AJ117" s="65"/>
      <c r="AK117" s="65"/>
      <c r="AL117" s="65"/>
      <c r="AM117" s="65"/>
      <c r="AN117" s="65"/>
      <c r="AO117" s="65"/>
      <c r="AP117" s="65"/>
      <c r="AQ117" s="65"/>
      <c r="AR117" s="65"/>
      <c r="AS117" s="65"/>
      <c r="AT117" s="65"/>
      <c r="AU117" s="65"/>
      <c r="AV117" s="65"/>
      <c r="AW117" s="65"/>
      <c r="AX117" s="65"/>
      <c r="AY117" s="65"/>
      <c r="AZ117" s="65"/>
      <c r="BA117" s="65"/>
      <c r="BB117" s="65"/>
    </row>
    <row r="118" spans="1:55" s="59" customFormat="1" ht="15" customHeight="1">
      <c r="A118" s="19"/>
      <c r="C118" s="38" t="s">
        <v>583</v>
      </c>
      <c r="D118" s="38"/>
      <c r="E118" s="38"/>
      <c r="F118" s="38"/>
      <c r="G118" s="38"/>
      <c r="H118" s="38"/>
      <c r="I118" s="38"/>
      <c r="J118" s="38"/>
      <c r="K118" s="38"/>
      <c r="L118" s="38"/>
      <c r="M118" s="38"/>
      <c r="N118" s="38"/>
      <c r="O118" s="38"/>
      <c r="P118" s="38"/>
      <c r="Q118" s="38"/>
      <c r="R118" s="38"/>
      <c r="S118" s="38"/>
      <c r="T118" s="38"/>
      <c r="U118" s="38"/>
      <c r="V118" s="38"/>
      <c r="W118" s="38"/>
      <c r="X118" s="38"/>
      <c r="Y118" s="38"/>
      <c r="Z118" s="38"/>
      <c r="AA118" s="38"/>
      <c r="AB118" s="38"/>
      <c r="AC118" s="38"/>
      <c r="AD118" s="38"/>
      <c r="AE118" s="38"/>
      <c r="AF118" s="38"/>
      <c r="AG118" s="38"/>
      <c r="AH118" s="38"/>
      <c r="AI118" s="38"/>
      <c r="AJ118" s="38"/>
      <c r="AK118" s="38"/>
      <c r="AL118" s="38"/>
      <c r="AM118" s="38"/>
      <c r="AN118" s="38"/>
      <c r="AO118" s="38"/>
      <c r="AP118" s="38"/>
      <c r="AQ118" s="38"/>
      <c r="AR118" s="38"/>
      <c r="AS118" s="38"/>
      <c r="AT118" s="38"/>
      <c r="AU118" s="38"/>
      <c r="AV118" s="38"/>
      <c r="AW118" s="38"/>
      <c r="AX118" s="38"/>
      <c r="AY118" s="38"/>
      <c r="AZ118" s="38"/>
      <c r="BA118" s="38"/>
      <c r="BB118" s="38"/>
    </row>
    <row r="119" spans="1:55" ht="15" customHeight="1">
      <c r="A119" s="19"/>
      <c r="D119" s="19"/>
      <c r="W119" s="65"/>
      <c r="X119" s="65"/>
      <c r="Y119" s="65"/>
      <c r="Z119" s="65"/>
      <c r="AA119" s="65"/>
      <c r="AB119" s="65"/>
      <c r="AC119" s="65"/>
      <c r="AD119" s="65"/>
      <c r="AE119" s="65"/>
      <c r="AF119" s="65"/>
      <c r="AG119" s="65"/>
      <c r="AH119" s="65"/>
      <c r="AI119" s="65"/>
      <c r="AJ119" s="65"/>
      <c r="AK119" s="65"/>
      <c r="AL119" s="65"/>
      <c r="AM119" s="65"/>
      <c r="AN119" s="65"/>
      <c r="AO119" s="65"/>
      <c r="AP119" s="65"/>
      <c r="AQ119" s="65"/>
      <c r="AR119" s="65"/>
      <c r="AS119" s="65"/>
      <c r="AT119" s="65"/>
      <c r="AU119" s="65"/>
      <c r="AV119" s="65"/>
      <c r="AW119" s="65"/>
      <c r="AX119" s="65"/>
      <c r="AY119" s="65"/>
      <c r="AZ119" s="65"/>
      <c r="BA119" s="65"/>
      <c r="BB119" s="65"/>
    </row>
    <row r="120" spans="1:55" ht="15" customHeight="1">
      <c r="A120" s="19"/>
      <c r="D120" s="19"/>
      <c r="E120" s="19" t="s">
        <v>584</v>
      </c>
      <c r="G120" s="5" t="s">
        <v>248</v>
      </c>
      <c r="H120" s="19" t="s">
        <v>585</v>
      </c>
      <c r="I120" s="30"/>
      <c r="L120" s="31"/>
      <c r="M120" s="31"/>
      <c r="N120" s="31"/>
      <c r="O120" s="31"/>
      <c r="P120" s="35">
        <f t="shared" ref="P120:BB120" si="54">O126</f>
        <v>0</v>
      </c>
      <c r="Q120" s="35">
        <f t="shared" si="54"/>
        <v>0</v>
      </c>
      <c r="R120" s="35">
        <f t="shared" si="54"/>
        <v>0</v>
      </c>
      <c r="S120" s="35">
        <f t="shared" si="54"/>
        <v>0</v>
      </c>
      <c r="T120" s="35">
        <f t="shared" si="54"/>
        <v>0.79119113449730349</v>
      </c>
      <c r="U120" s="35">
        <f t="shared" si="54"/>
        <v>1.0704735035433621</v>
      </c>
      <c r="V120" s="35">
        <f t="shared" si="54"/>
        <v>1.1263522204283256</v>
      </c>
      <c r="W120" s="35">
        <f t="shared" si="54"/>
        <v>1.1851478063346843</v>
      </c>
      <c r="X120" s="35">
        <f t="shared" si="54"/>
        <v>1.2470125218253547</v>
      </c>
      <c r="Y120" s="35">
        <f t="shared" si="54"/>
        <v>1.3121065754646382</v>
      </c>
      <c r="Z120" s="35">
        <f t="shared" si="54"/>
        <v>1.3805985387038922</v>
      </c>
      <c r="AA120" s="35">
        <f t="shared" si="54"/>
        <v>1.4526657824242353</v>
      </c>
      <c r="AB120" s="35">
        <f t="shared" si="54"/>
        <v>1.5284949362667803</v>
      </c>
      <c r="AC120" s="35">
        <f t="shared" si="54"/>
        <v>1.6082823719399062</v>
      </c>
      <c r="AD120" s="35">
        <f t="shared" si="54"/>
        <v>1.6922347117551693</v>
      </c>
      <c r="AE120" s="35">
        <f t="shared" si="54"/>
        <v>1.7805693637087892</v>
      </c>
      <c r="AF120" s="35">
        <f t="shared" si="54"/>
        <v>1.873515084494388</v>
      </c>
      <c r="AG120" s="35">
        <f t="shared" si="54"/>
        <v>1.9713125719049951</v>
      </c>
      <c r="AH120" s="35">
        <f t="shared" si="54"/>
        <v>2.0742150881584358</v>
      </c>
      <c r="AI120" s="35">
        <f t="shared" si="54"/>
        <v>2.1824891157603061</v>
      </c>
      <c r="AJ120" s="35">
        <f t="shared" si="54"/>
        <v>2.2964150476029941</v>
      </c>
      <c r="AK120" s="35">
        <f t="shared" si="54"/>
        <v>2.4162879130878703</v>
      </c>
      <c r="AL120" s="35">
        <f t="shared" si="54"/>
        <v>2.5424181421510572</v>
      </c>
      <c r="AM120" s="35">
        <f t="shared" si="54"/>
        <v>2.6751323691713425</v>
      </c>
      <c r="AN120" s="35">
        <f t="shared" si="54"/>
        <v>2.8147742788420866</v>
      </c>
      <c r="AO120" s="35">
        <f t="shared" si="54"/>
        <v>2.9617054961976437</v>
      </c>
      <c r="AP120" s="35">
        <f t="shared" si="54"/>
        <v>3.1163065230991607</v>
      </c>
      <c r="AQ120" s="35">
        <f t="shared" si="54"/>
        <v>3.2789777236049367</v>
      </c>
      <c r="AR120" s="35">
        <f t="shared" si="54"/>
        <v>3.4501403607771142</v>
      </c>
      <c r="AS120" s="35">
        <f t="shared" si="54"/>
        <v>3.6302376876096796</v>
      </c>
      <c r="AT120" s="35">
        <f t="shared" si="54"/>
        <v>3.8197360949029049</v>
      </c>
      <c r="AU120" s="35">
        <f t="shared" si="54"/>
        <v>4.0191263190568369</v>
      </c>
      <c r="AV120" s="35">
        <f t="shared" si="54"/>
        <v>4.2289247129116037</v>
      </c>
      <c r="AW120" s="35">
        <f t="shared" si="54"/>
        <v>4.4496745829255895</v>
      </c>
      <c r="AX120" s="35">
        <f t="shared" si="54"/>
        <v>4.6819475961543056</v>
      </c>
      <c r="AY120" s="35">
        <f t="shared" si="54"/>
        <v>4.9263452606735605</v>
      </c>
      <c r="AZ120" s="35">
        <f t="shared" si="54"/>
        <v>5.1835004832807208</v>
      </c>
      <c r="BA120" s="35">
        <f t="shared" si="54"/>
        <v>5.4540792085079746</v>
      </c>
      <c r="BB120" s="35">
        <f t="shared" si="54"/>
        <v>5.7387821431920907</v>
      </c>
    </row>
    <row r="121" spans="1:55" ht="15" customHeight="1">
      <c r="A121" s="19"/>
      <c r="D121" s="19"/>
      <c r="E121" s="19" t="s">
        <v>586</v>
      </c>
      <c r="G121" s="5" t="s">
        <v>248</v>
      </c>
      <c r="I121" s="30"/>
      <c r="L121" s="31"/>
      <c r="M121" s="31"/>
      <c r="N121" s="31"/>
      <c r="O121" s="31"/>
      <c r="P121" s="35">
        <f t="shared" ref="P121:BB121" si="55">P$13*P120</f>
        <v>0</v>
      </c>
      <c r="Q121" s="35">
        <f t="shared" si="55"/>
        <v>0</v>
      </c>
      <c r="R121" s="35">
        <f t="shared" si="55"/>
        <v>0</v>
      </c>
      <c r="S121" s="35">
        <f t="shared" si="55"/>
        <v>0</v>
      </c>
      <c r="T121" s="35">
        <f t="shared" si="55"/>
        <v>4.1300177220759238E-2</v>
      </c>
      <c r="U121" s="35">
        <f t="shared" si="55"/>
        <v>5.58787168849635E-2</v>
      </c>
      <c r="V121" s="35">
        <f t="shared" si="55"/>
        <v>5.879558590635859E-2</v>
      </c>
      <c r="W121" s="35">
        <f t="shared" si="55"/>
        <v>6.1864715490670519E-2</v>
      </c>
      <c r="X121" s="35">
        <f t="shared" si="55"/>
        <v>6.5094053639283514E-2</v>
      </c>
      <c r="Y121" s="35">
        <f t="shared" si="55"/>
        <v>6.8491963239254106E-2</v>
      </c>
      <c r="Z121" s="35">
        <f t="shared" si="55"/>
        <v>7.2067243720343163E-2</v>
      </c>
      <c r="AA121" s="35">
        <f t="shared" si="55"/>
        <v>7.5829153842545072E-2</v>
      </c>
      <c r="AB121" s="35">
        <f t="shared" si="55"/>
        <v>7.9787435673125934E-2</v>
      </c>
      <c r="AC121" s="35">
        <f t="shared" si="55"/>
        <v>8.3952339815263094E-2</v>
      </c>
      <c r="AD121" s="35">
        <f t="shared" si="55"/>
        <v>8.8334651953619836E-2</v>
      </c>
      <c r="AE121" s="35">
        <f t="shared" si="55"/>
        <v>9.294572078559879E-2</v>
      </c>
      <c r="AF121" s="35">
        <f t="shared" si="55"/>
        <v>9.7797487410607051E-2</v>
      </c>
      <c r="AG121" s="35">
        <f t="shared" si="55"/>
        <v>0.10290251625344074</v>
      </c>
      <c r="AH121" s="35">
        <f t="shared" si="55"/>
        <v>0.10827402760187034</v>
      </c>
      <c r="AI121" s="35">
        <f t="shared" si="55"/>
        <v>0.11392593184268797</v>
      </c>
      <c r="AJ121" s="35">
        <f t="shared" si="55"/>
        <v>0.11987286548487629</v>
      </c>
      <c r="AK121" s="35">
        <f t="shared" si="55"/>
        <v>0.12613022906318683</v>
      </c>
      <c r="AL121" s="35">
        <f t="shared" si="55"/>
        <v>0.13271422702028518</v>
      </c>
      <c r="AM121" s="35">
        <f t="shared" si="55"/>
        <v>0.13964190967074408</v>
      </c>
      <c r="AN121" s="35">
        <f t="shared" si="55"/>
        <v>0.14693121735555692</v>
      </c>
      <c r="AO121" s="35">
        <f t="shared" si="55"/>
        <v>0.154601026901517</v>
      </c>
      <c r="AP121" s="35">
        <f t="shared" si="55"/>
        <v>0.16267120050577619</v>
      </c>
      <c r="AQ121" s="35">
        <f t="shared" si="55"/>
        <v>0.1711626371721777</v>
      </c>
      <c r="AR121" s="35">
        <f t="shared" si="55"/>
        <v>0.18009732683256535</v>
      </c>
      <c r="AS121" s="35">
        <f t="shared" si="55"/>
        <v>0.18949840729322526</v>
      </c>
      <c r="AT121" s="35">
        <f t="shared" si="55"/>
        <v>0.19939022415393162</v>
      </c>
      <c r="AU121" s="35">
        <f t="shared" si="55"/>
        <v>0.20979839385476687</v>
      </c>
      <c r="AV121" s="35">
        <f t="shared" si="55"/>
        <v>0.22074987001398569</v>
      </c>
      <c r="AW121" s="35">
        <f t="shared" si="55"/>
        <v>0.23227301322871574</v>
      </c>
      <c r="AX121" s="35">
        <f t="shared" si="55"/>
        <v>0.24439766451925474</v>
      </c>
      <c r="AY121" s="35">
        <f t="shared" si="55"/>
        <v>0.25715522260715984</v>
      </c>
      <c r="AZ121" s="35">
        <f t="shared" si="55"/>
        <v>0.27057872522725362</v>
      </c>
      <c r="BA121" s="35">
        <f t="shared" si="55"/>
        <v>0.28470293468411623</v>
      </c>
      <c r="BB121" s="35">
        <f t="shared" si="55"/>
        <v>0.29956442787462711</v>
      </c>
    </row>
    <row r="122" spans="1:55" ht="15" customHeight="1">
      <c r="A122" s="19"/>
      <c r="D122" s="19"/>
      <c r="E122" s="19" t="s">
        <v>583</v>
      </c>
      <c r="G122" s="5" t="s">
        <v>248</v>
      </c>
      <c r="H122" s="19" t="s">
        <v>587</v>
      </c>
      <c r="I122" s="30"/>
      <c r="L122" s="31"/>
      <c r="M122" s="31"/>
      <c r="N122" s="31"/>
      <c r="O122" s="31"/>
      <c r="P122" s="35">
        <f t="shared" ref="P122:BB122" si="56">-MIN(P66-P57,P120+P121)</f>
        <v>0</v>
      </c>
      <c r="Q122" s="35">
        <f t="shared" si="56"/>
        <v>0</v>
      </c>
      <c r="R122" s="35">
        <f t="shared" si="56"/>
        <v>0</v>
      </c>
      <c r="S122" s="35">
        <f t="shared" si="56"/>
        <v>0</v>
      </c>
      <c r="T122" s="35">
        <f t="shared" si="56"/>
        <v>0</v>
      </c>
      <c r="U122" s="35">
        <f t="shared" si="56"/>
        <v>0</v>
      </c>
      <c r="V122" s="35">
        <f t="shared" si="56"/>
        <v>0</v>
      </c>
      <c r="W122" s="35">
        <f t="shared" si="56"/>
        <v>0</v>
      </c>
      <c r="X122" s="35">
        <f t="shared" si="56"/>
        <v>0</v>
      </c>
      <c r="Y122" s="35">
        <f t="shared" si="56"/>
        <v>0</v>
      </c>
      <c r="Z122" s="35">
        <f t="shared" si="56"/>
        <v>0</v>
      </c>
      <c r="AA122" s="35">
        <f t="shared" si="56"/>
        <v>0</v>
      </c>
      <c r="AB122" s="35">
        <f t="shared" si="56"/>
        <v>0</v>
      </c>
      <c r="AC122" s="35">
        <f t="shared" si="56"/>
        <v>0</v>
      </c>
      <c r="AD122" s="35">
        <f t="shared" si="56"/>
        <v>0</v>
      </c>
      <c r="AE122" s="35">
        <f t="shared" si="56"/>
        <v>0</v>
      </c>
      <c r="AF122" s="35">
        <f t="shared" si="56"/>
        <v>0</v>
      </c>
      <c r="AG122" s="35">
        <f t="shared" si="56"/>
        <v>0</v>
      </c>
      <c r="AH122" s="35">
        <f t="shared" si="56"/>
        <v>0</v>
      </c>
      <c r="AI122" s="35">
        <f t="shared" si="56"/>
        <v>0</v>
      </c>
      <c r="AJ122" s="35">
        <f t="shared" si="56"/>
        <v>0</v>
      </c>
      <c r="AK122" s="35">
        <f t="shared" si="56"/>
        <v>0</v>
      </c>
      <c r="AL122" s="35">
        <f t="shared" si="56"/>
        <v>0</v>
      </c>
      <c r="AM122" s="35">
        <f t="shared" si="56"/>
        <v>0</v>
      </c>
      <c r="AN122" s="35">
        <f t="shared" si="56"/>
        <v>0</v>
      </c>
      <c r="AO122" s="35">
        <f t="shared" si="56"/>
        <v>0</v>
      </c>
      <c r="AP122" s="35">
        <f t="shared" si="56"/>
        <v>0</v>
      </c>
      <c r="AQ122" s="35">
        <f t="shared" si="56"/>
        <v>0</v>
      </c>
      <c r="AR122" s="35">
        <f t="shared" si="56"/>
        <v>0</v>
      </c>
      <c r="AS122" s="35">
        <f t="shared" si="56"/>
        <v>0</v>
      </c>
      <c r="AT122" s="35">
        <f t="shared" si="56"/>
        <v>0</v>
      </c>
      <c r="AU122" s="35">
        <f t="shared" si="56"/>
        <v>0</v>
      </c>
      <c r="AV122" s="35">
        <f t="shared" si="56"/>
        <v>0</v>
      </c>
      <c r="AW122" s="35">
        <f t="shared" si="56"/>
        <v>0</v>
      </c>
      <c r="AX122" s="35">
        <f t="shared" si="56"/>
        <v>0</v>
      </c>
      <c r="AY122" s="35">
        <f t="shared" si="56"/>
        <v>0</v>
      </c>
      <c r="AZ122" s="35">
        <f t="shared" si="56"/>
        <v>0</v>
      </c>
      <c r="BA122" s="35">
        <f t="shared" si="56"/>
        <v>0</v>
      </c>
      <c r="BB122" s="35">
        <f t="shared" si="56"/>
        <v>0</v>
      </c>
      <c r="BC122" s="5"/>
    </row>
    <row r="123" spans="1:55" ht="15" customHeight="1">
      <c r="A123" s="19"/>
      <c r="D123" s="19"/>
      <c r="E123" s="19" t="s">
        <v>588</v>
      </c>
      <c r="G123" s="5" t="s">
        <v>248</v>
      </c>
      <c r="H123" s="19" t="s">
        <v>589</v>
      </c>
      <c r="I123" s="30"/>
      <c r="L123" s="31"/>
      <c r="M123" s="31"/>
      <c r="N123" s="31"/>
      <c r="O123" s="31"/>
      <c r="P123" s="200">
        <f>Inputs!P125</f>
        <v>0</v>
      </c>
      <c r="Q123" s="200">
        <f>Inputs!Q125</f>
        <v>0</v>
      </c>
      <c r="R123" s="200">
        <f>Inputs!R125</f>
        <v>0</v>
      </c>
      <c r="S123" s="200">
        <f>Inputs!S125</f>
        <v>0</v>
      </c>
      <c r="T123" s="200">
        <f>Inputs!T125</f>
        <v>0</v>
      </c>
      <c r="U123" s="200">
        <f>Inputs!U125</f>
        <v>0</v>
      </c>
      <c r="V123" s="200">
        <f>Inputs!V125</f>
        <v>0</v>
      </c>
      <c r="W123" s="200">
        <f>Inputs!W125</f>
        <v>0</v>
      </c>
      <c r="X123" s="200">
        <f>Inputs!X125</f>
        <v>0</v>
      </c>
      <c r="Y123" s="200">
        <f>Inputs!Y125</f>
        <v>0</v>
      </c>
      <c r="Z123" s="200">
        <f>Inputs!Z125</f>
        <v>0</v>
      </c>
      <c r="AA123" s="200">
        <f>Inputs!AA125</f>
        <v>0</v>
      </c>
      <c r="AB123" s="200">
        <f>Inputs!AB125</f>
        <v>0</v>
      </c>
      <c r="AC123" s="200">
        <f>Inputs!AC125</f>
        <v>0</v>
      </c>
      <c r="AD123" s="200">
        <f>Inputs!AD125</f>
        <v>0</v>
      </c>
      <c r="AE123" s="200">
        <f>Inputs!AE125</f>
        <v>0</v>
      </c>
      <c r="AF123" s="200">
        <f>Inputs!AF125</f>
        <v>0</v>
      </c>
      <c r="AG123" s="200">
        <f>Inputs!AG125</f>
        <v>0</v>
      </c>
      <c r="AH123" s="200">
        <f>Inputs!AH125</f>
        <v>0</v>
      </c>
      <c r="AI123" s="200">
        <f>Inputs!AI125</f>
        <v>0</v>
      </c>
      <c r="AJ123" s="200">
        <f>Inputs!AJ125</f>
        <v>0</v>
      </c>
      <c r="AK123" s="200">
        <f>Inputs!AK125</f>
        <v>0</v>
      </c>
      <c r="AL123" s="200">
        <f>Inputs!AL125</f>
        <v>0</v>
      </c>
      <c r="AM123" s="200">
        <f>Inputs!AM125</f>
        <v>0</v>
      </c>
      <c r="AN123" s="200">
        <f>Inputs!AN125</f>
        <v>0</v>
      </c>
      <c r="AO123" s="200">
        <f>Inputs!AO125</f>
        <v>0</v>
      </c>
      <c r="AP123" s="200">
        <f>Inputs!AP125</f>
        <v>0</v>
      </c>
      <c r="AQ123" s="200">
        <f>Inputs!AQ125</f>
        <v>0</v>
      </c>
      <c r="AR123" s="200">
        <f>Inputs!AR125</f>
        <v>0</v>
      </c>
      <c r="AS123" s="200">
        <f>Inputs!AS125</f>
        <v>0</v>
      </c>
      <c r="AT123" s="200">
        <f>Inputs!AT125</f>
        <v>0</v>
      </c>
      <c r="AU123" s="200">
        <f>Inputs!AU125</f>
        <v>0</v>
      </c>
      <c r="AV123" s="200">
        <f>Inputs!AV125</f>
        <v>0</v>
      </c>
      <c r="AW123" s="200">
        <f>Inputs!AW125</f>
        <v>0</v>
      </c>
      <c r="AX123" s="200">
        <f>Inputs!AX125</f>
        <v>0</v>
      </c>
      <c r="AY123" s="200">
        <f>Inputs!AY125</f>
        <v>0</v>
      </c>
      <c r="AZ123" s="200">
        <f>Inputs!AZ125</f>
        <v>0</v>
      </c>
      <c r="BA123" s="200">
        <f>Inputs!BA125</f>
        <v>0</v>
      </c>
      <c r="BB123" s="200">
        <f>Inputs!BB125</f>
        <v>0</v>
      </c>
    </row>
    <row r="124" spans="1:55" ht="15" customHeight="1">
      <c r="A124" s="19"/>
      <c r="D124" s="19"/>
      <c r="E124" s="19" t="s">
        <v>572</v>
      </c>
      <c r="G124" s="5" t="s">
        <v>248</v>
      </c>
      <c r="H124" s="19" t="s">
        <v>575</v>
      </c>
      <c r="I124" s="30"/>
      <c r="L124" s="31"/>
      <c r="M124" s="31"/>
      <c r="N124" s="31"/>
      <c r="O124" s="31"/>
      <c r="P124" s="35">
        <f t="shared" ref="P124:BB124" si="57">P107</f>
        <v>0</v>
      </c>
      <c r="Q124" s="35">
        <f t="shared" si="57"/>
        <v>0</v>
      </c>
      <c r="R124" s="35">
        <f t="shared" si="57"/>
        <v>0</v>
      </c>
      <c r="S124" s="35">
        <f t="shared" si="57"/>
        <v>0</v>
      </c>
      <c r="T124" s="35">
        <f t="shared" si="57"/>
        <v>0</v>
      </c>
      <c r="U124" s="35">
        <f t="shared" si="57"/>
        <v>0</v>
      </c>
      <c r="V124" s="35">
        <f t="shared" si="57"/>
        <v>0</v>
      </c>
      <c r="W124" s="35">
        <f t="shared" si="57"/>
        <v>0</v>
      </c>
      <c r="X124" s="35">
        <f t="shared" si="57"/>
        <v>0</v>
      </c>
      <c r="Y124" s="35">
        <f t="shared" si="57"/>
        <v>0</v>
      </c>
      <c r="Z124" s="35">
        <f t="shared" si="57"/>
        <v>0</v>
      </c>
      <c r="AA124" s="35">
        <f t="shared" si="57"/>
        <v>0</v>
      </c>
      <c r="AB124" s="35">
        <f t="shared" si="57"/>
        <v>0</v>
      </c>
      <c r="AC124" s="35">
        <f t="shared" si="57"/>
        <v>0</v>
      </c>
      <c r="AD124" s="35">
        <f t="shared" si="57"/>
        <v>0</v>
      </c>
      <c r="AE124" s="35">
        <f t="shared" si="57"/>
        <v>0</v>
      </c>
      <c r="AF124" s="35">
        <f t="shared" si="57"/>
        <v>0</v>
      </c>
      <c r="AG124" s="35">
        <f t="shared" si="57"/>
        <v>0</v>
      </c>
      <c r="AH124" s="35">
        <f t="shared" si="57"/>
        <v>0</v>
      </c>
      <c r="AI124" s="35">
        <f t="shared" si="57"/>
        <v>0</v>
      </c>
      <c r="AJ124" s="35">
        <f t="shared" si="57"/>
        <v>0</v>
      </c>
      <c r="AK124" s="35">
        <f t="shared" si="57"/>
        <v>0</v>
      </c>
      <c r="AL124" s="35">
        <f t="shared" si="57"/>
        <v>0</v>
      </c>
      <c r="AM124" s="35">
        <f t="shared" si="57"/>
        <v>0</v>
      </c>
      <c r="AN124" s="35">
        <f t="shared" si="57"/>
        <v>0</v>
      </c>
      <c r="AO124" s="35">
        <f t="shared" si="57"/>
        <v>0</v>
      </c>
      <c r="AP124" s="35">
        <f t="shared" si="57"/>
        <v>0</v>
      </c>
      <c r="AQ124" s="35">
        <f t="shared" si="57"/>
        <v>0</v>
      </c>
      <c r="AR124" s="35">
        <f t="shared" si="57"/>
        <v>0</v>
      </c>
      <c r="AS124" s="35">
        <f t="shared" si="57"/>
        <v>0</v>
      </c>
      <c r="AT124" s="35">
        <f t="shared" si="57"/>
        <v>0</v>
      </c>
      <c r="AU124" s="35">
        <f t="shared" si="57"/>
        <v>0</v>
      </c>
      <c r="AV124" s="35">
        <f t="shared" si="57"/>
        <v>0</v>
      </c>
      <c r="AW124" s="35">
        <f t="shared" si="57"/>
        <v>0</v>
      </c>
      <c r="AX124" s="35">
        <f t="shared" si="57"/>
        <v>0</v>
      </c>
      <c r="AY124" s="35">
        <f t="shared" si="57"/>
        <v>0</v>
      </c>
      <c r="AZ124" s="35">
        <f t="shared" si="57"/>
        <v>0</v>
      </c>
      <c r="BA124" s="35">
        <f t="shared" si="57"/>
        <v>0</v>
      </c>
      <c r="BB124" s="35">
        <f t="shared" si="57"/>
        <v>0</v>
      </c>
    </row>
    <row r="125" spans="1:55" ht="15" customHeight="1">
      <c r="A125" s="19"/>
      <c r="D125" s="19"/>
      <c r="E125" s="19" t="s">
        <v>582</v>
      </c>
      <c r="G125" s="5" t="s">
        <v>248</v>
      </c>
      <c r="L125" s="31"/>
      <c r="M125" s="31"/>
      <c r="N125" s="31"/>
      <c r="O125" s="31"/>
      <c r="P125" s="35">
        <f t="shared" ref="P125:BB125" si="58">P116</f>
        <v>0</v>
      </c>
      <c r="Q125" s="35">
        <f t="shared" si="58"/>
        <v>0</v>
      </c>
      <c r="R125" s="35">
        <f t="shared" si="58"/>
        <v>0</v>
      </c>
      <c r="S125" s="35">
        <f t="shared" si="58"/>
        <v>0.79119113449730349</v>
      </c>
      <c r="T125" s="35">
        <f t="shared" si="58"/>
        <v>0.23798219182529934</v>
      </c>
      <c r="U125" s="35">
        <f t="shared" si="58"/>
        <v>0</v>
      </c>
      <c r="V125" s="35">
        <f t="shared" si="58"/>
        <v>0</v>
      </c>
      <c r="W125" s="35">
        <f t="shared" si="58"/>
        <v>0</v>
      </c>
      <c r="X125" s="35">
        <f t="shared" si="58"/>
        <v>0</v>
      </c>
      <c r="Y125" s="35">
        <f t="shared" si="58"/>
        <v>0</v>
      </c>
      <c r="Z125" s="35">
        <f t="shared" si="58"/>
        <v>0</v>
      </c>
      <c r="AA125" s="35">
        <f t="shared" si="58"/>
        <v>0</v>
      </c>
      <c r="AB125" s="35">
        <f t="shared" si="58"/>
        <v>0</v>
      </c>
      <c r="AC125" s="35">
        <f t="shared" si="58"/>
        <v>0</v>
      </c>
      <c r="AD125" s="35">
        <f t="shared" si="58"/>
        <v>0</v>
      </c>
      <c r="AE125" s="35">
        <f t="shared" si="58"/>
        <v>0</v>
      </c>
      <c r="AF125" s="35">
        <f t="shared" si="58"/>
        <v>0</v>
      </c>
      <c r="AG125" s="35">
        <f t="shared" si="58"/>
        <v>0</v>
      </c>
      <c r="AH125" s="35">
        <f t="shared" si="58"/>
        <v>0</v>
      </c>
      <c r="AI125" s="35">
        <f t="shared" si="58"/>
        <v>0</v>
      </c>
      <c r="AJ125" s="35">
        <f t="shared" si="58"/>
        <v>0</v>
      </c>
      <c r="AK125" s="35">
        <f t="shared" si="58"/>
        <v>0</v>
      </c>
      <c r="AL125" s="35">
        <f t="shared" si="58"/>
        <v>0</v>
      </c>
      <c r="AM125" s="35">
        <f t="shared" si="58"/>
        <v>0</v>
      </c>
      <c r="AN125" s="35">
        <f t="shared" si="58"/>
        <v>0</v>
      </c>
      <c r="AO125" s="35">
        <f t="shared" si="58"/>
        <v>0</v>
      </c>
      <c r="AP125" s="35">
        <f t="shared" si="58"/>
        <v>0</v>
      </c>
      <c r="AQ125" s="35">
        <f t="shared" si="58"/>
        <v>0</v>
      </c>
      <c r="AR125" s="35">
        <f t="shared" si="58"/>
        <v>0</v>
      </c>
      <c r="AS125" s="35">
        <f t="shared" si="58"/>
        <v>0</v>
      </c>
      <c r="AT125" s="35">
        <f t="shared" si="58"/>
        <v>0</v>
      </c>
      <c r="AU125" s="35">
        <f t="shared" si="58"/>
        <v>0</v>
      </c>
      <c r="AV125" s="35">
        <f t="shared" si="58"/>
        <v>0</v>
      </c>
      <c r="AW125" s="35">
        <f t="shared" si="58"/>
        <v>0</v>
      </c>
      <c r="AX125" s="35">
        <f t="shared" si="58"/>
        <v>0</v>
      </c>
      <c r="AY125" s="35">
        <f t="shared" si="58"/>
        <v>0</v>
      </c>
      <c r="AZ125" s="35">
        <f t="shared" si="58"/>
        <v>0</v>
      </c>
      <c r="BA125" s="35">
        <f t="shared" si="58"/>
        <v>0</v>
      </c>
      <c r="BB125" s="35">
        <f t="shared" si="58"/>
        <v>0</v>
      </c>
    </row>
    <row r="126" spans="1:55" ht="15" customHeight="1">
      <c r="A126" s="19"/>
      <c r="D126" s="19"/>
      <c r="E126" s="19" t="s">
        <v>590</v>
      </c>
      <c r="G126" s="5" t="s">
        <v>248</v>
      </c>
      <c r="H126" s="19" t="s">
        <v>571</v>
      </c>
      <c r="I126" s="30"/>
      <c r="L126" s="31"/>
      <c r="M126" s="31"/>
      <c r="N126" s="31"/>
      <c r="O126" s="31"/>
      <c r="P126" s="35">
        <f t="shared" ref="P126:BB126" si="59">SUM(P120:P125)</f>
        <v>0</v>
      </c>
      <c r="Q126" s="35">
        <f t="shared" si="59"/>
        <v>0</v>
      </c>
      <c r="R126" s="35">
        <f t="shared" si="59"/>
        <v>0</v>
      </c>
      <c r="S126" s="35">
        <f t="shared" si="59"/>
        <v>0.79119113449730349</v>
      </c>
      <c r="T126" s="35">
        <f t="shared" si="59"/>
        <v>1.0704735035433621</v>
      </c>
      <c r="U126" s="35">
        <f t="shared" si="59"/>
        <v>1.1263522204283256</v>
      </c>
      <c r="V126" s="35">
        <f t="shared" si="59"/>
        <v>1.1851478063346843</v>
      </c>
      <c r="W126" s="35">
        <f t="shared" si="59"/>
        <v>1.2470125218253547</v>
      </c>
      <c r="X126" s="35">
        <f t="shared" si="59"/>
        <v>1.3121065754646382</v>
      </c>
      <c r="Y126" s="35">
        <f t="shared" si="59"/>
        <v>1.3805985387038922</v>
      </c>
      <c r="Z126" s="35">
        <f t="shared" si="59"/>
        <v>1.4526657824242353</v>
      </c>
      <c r="AA126" s="35">
        <f t="shared" si="59"/>
        <v>1.5284949362667803</v>
      </c>
      <c r="AB126" s="35">
        <f t="shared" si="59"/>
        <v>1.6082823719399062</v>
      </c>
      <c r="AC126" s="35">
        <f t="shared" si="59"/>
        <v>1.6922347117551693</v>
      </c>
      <c r="AD126" s="35">
        <f t="shared" si="59"/>
        <v>1.7805693637087892</v>
      </c>
      <c r="AE126" s="35">
        <f t="shared" si="59"/>
        <v>1.873515084494388</v>
      </c>
      <c r="AF126" s="35">
        <f t="shared" si="59"/>
        <v>1.9713125719049951</v>
      </c>
      <c r="AG126" s="35">
        <f t="shared" si="59"/>
        <v>2.0742150881584358</v>
      </c>
      <c r="AH126" s="35">
        <f t="shared" si="59"/>
        <v>2.1824891157603061</v>
      </c>
      <c r="AI126" s="35">
        <f t="shared" si="59"/>
        <v>2.2964150476029941</v>
      </c>
      <c r="AJ126" s="35">
        <f t="shared" si="59"/>
        <v>2.4162879130878703</v>
      </c>
      <c r="AK126" s="35">
        <f t="shared" si="59"/>
        <v>2.5424181421510572</v>
      </c>
      <c r="AL126" s="35">
        <f t="shared" si="59"/>
        <v>2.6751323691713425</v>
      </c>
      <c r="AM126" s="35">
        <f t="shared" si="59"/>
        <v>2.8147742788420866</v>
      </c>
      <c r="AN126" s="35">
        <f t="shared" si="59"/>
        <v>2.9617054961976437</v>
      </c>
      <c r="AO126" s="35">
        <f t="shared" si="59"/>
        <v>3.1163065230991607</v>
      </c>
      <c r="AP126" s="35">
        <f t="shared" si="59"/>
        <v>3.2789777236049367</v>
      </c>
      <c r="AQ126" s="35">
        <f t="shared" si="59"/>
        <v>3.4501403607771142</v>
      </c>
      <c r="AR126" s="35">
        <f t="shared" si="59"/>
        <v>3.6302376876096796</v>
      </c>
      <c r="AS126" s="35">
        <f t="shared" si="59"/>
        <v>3.8197360949029049</v>
      </c>
      <c r="AT126" s="35">
        <f t="shared" si="59"/>
        <v>4.0191263190568369</v>
      </c>
      <c r="AU126" s="35">
        <f t="shared" si="59"/>
        <v>4.2289247129116037</v>
      </c>
      <c r="AV126" s="35">
        <f t="shared" si="59"/>
        <v>4.4496745829255895</v>
      </c>
      <c r="AW126" s="35">
        <f t="shared" si="59"/>
        <v>4.6819475961543056</v>
      </c>
      <c r="AX126" s="35">
        <f t="shared" si="59"/>
        <v>4.9263452606735605</v>
      </c>
      <c r="AY126" s="35">
        <f t="shared" si="59"/>
        <v>5.1835004832807208</v>
      </c>
      <c r="AZ126" s="35">
        <f t="shared" si="59"/>
        <v>5.4540792085079746</v>
      </c>
      <c r="BA126" s="35">
        <f t="shared" si="59"/>
        <v>5.7387821431920907</v>
      </c>
      <c r="BB126" s="35">
        <f t="shared" si="59"/>
        <v>6.0383465710667181</v>
      </c>
    </row>
    <row r="127" spans="1:55" ht="15" customHeight="1">
      <c r="A127" s="19"/>
      <c r="D127" s="19"/>
      <c r="W127" s="65"/>
      <c r="X127" s="65"/>
      <c r="Y127" s="65"/>
      <c r="Z127" s="65"/>
      <c r="AA127" s="65"/>
      <c r="AB127" s="65"/>
      <c r="AC127" s="65"/>
      <c r="AD127" s="65"/>
      <c r="AE127" s="65"/>
      <c r="AF127" s="65"/>
      <c r="AG127" s="65"/>
      <c r="AH127" s="65"/>
      <c r="AI127" s="65"/>
      <c r="AJ127" s="65"/>
      <c r="AK127" s="65"/>
      <c r="AL127" s="65"/>
      <c r="AM127" s="65"/>
      <c r="AN127" s="65"/>
      <c r="AO127" s="65"/>
      <c r="AP127" s="65"/>
      <c r="AQ127" s="65"/>
      <c r="AR127" s="65"/>
      <c r="AS127" s="65"/>
      <c r="AT127" s="65"/>
      <c r="AU127" s="65"/>
      <c r="AV127" s="65"/>
      <c r="AW127" s="65"/>
      <c r="AX127" s="65"/>
      <c r="AY127" s="65"/>
      <c r="AZ127" s="65"/>
      <c r="BA127" s="65"/>
      <c r="BB127" s="65"/>
    </row>
    <row r="128" spans="1:55" s="4" customFormat="1" ht="15" customHeight="1">
      <c r="B128" s="166" t="s">
        <v>591</v>
      </c>
      <c r="C128" s="8"/>
      <c r="D128" s="8"/>
      <c r="E128" s="8"/>
      <c r="F128" s="8"/>
      <c r="G128" s="8"/>
      <c r="H128" s="8"/>
      <c r="I128" s="8"/>
      <c r="J128" s="8"/>
      <c r="K128" s="8"/>
      <c r="L128" s="8"/>
      <c r="M128" s="8"/>
      <c r="N128" s="8"/>
      <c r="O128" s="8"/>
      <c r="P128" s="8"/>
      <c r="Q128" s="8"/>
      <c r="R128" s="8"/>
      <c r="S128" s="8"/>
      <c r="T128" s="8"/>
      <c r="U128" s="8"/>
      <c r="V128" s="8"/>
      <c r="W128" s="8"/>
      <c r="X128" s="8"/>
      <c r="Y128" s="8"/>
      <c r="Z128" s="8"/>
      <c r="AA128" s="8"/>
      <c r="AB128" s="8"/>
      <c r="AC128" s="8"/>
      <c r="AD128" s="8"/>
      <c r="AE128" s="8"/>
      <c r="AF128" s="8"/>
      <c r="AG128" s="8"/>
      <c r="AH128" s="8"/>
      <c r="AI128" s="8"/>
      <c r="AJ128" s="8"/>
      <c r="AK128" s="8"/>
      <c r="AL128" s="8"/>
      <c r="AM128" s="8"/>
      <c r="AN128" s="8"/>
      <c r="AO128" s="8"/>
      <c r="AP128" s="8"/>
      <c r="AQ128" s="8"/>
      <c r="AR128" s="8"/>
      <c r="AS128" s="8"/>
      <c r="AT128" s="8"/>
      <c r="AU128" s="8"/>
      <c r="AV128" s="8"/>
      <c r="AW128" s="8"/>
      <c r="AX128" s="8"/>
      <c r="AY128" s="8"/>
      <c r="AZ128" s="8"/>
      <c r="BA128" s="8"/>
      <c r="BB128" s="8"/>
    </row>
    <row r="129" spans="1:54" ht="15" customHeight="1">
      <c r="A129" s="19"/>
      <c r="D129" s="19"/>
      <c r="E129" s="5"/>
      <c r="O129" s="65"/>
      <c r="P129" s="65"/>
      <c r="Q129" s="65"/>
      <c r="R129" s="65"/>
      <c r="S129" s="65"/>
      <c r="T129" s="65"/>
      <c r="U129" s="65"/>
      <c r="V129" s="65"/>
      <c r="W129" s="65"/>
      <c r="X129" s="65"/>
      <c r="Y129" s="65"/>
      <c r="Z129" s="65"/>
      <c r="AA129" s="65"/>
      <c r="AB129" s="65"/>
      <c r="AC129" s="65"/>
      <c r="AD129" s="65"/>
      <c r="AE129" s="65"/>
      <c r="AF129" s="65"/>
      <c r="AG129" s="65"/>
      <c r="AH129" s="65"/>
      <c r="AI129" s="65"/>
      <c r="AJ129" s="65"/>
      <c r="AK129" s="65"/>
      <c r="AL129" s="65"/>
      <c r="AM129" s="65"/>
      <c r="AN129" s="65"/>
      <c r="AO129" s="65"/>
      <c r="AP129" s="65"/>
      <c r="AQ129" s="65"/>
      <c r="AR129" s="65"/>
      <c r="AS129" s="65"/>
      <c r="AT129" s="65"/>
      <c r="AU129" s="65"/>
      <c r="AV129" s="65"/>
      <c r="AW129" s="65"/>
      <c r="AX129" s="65"/>
      <c r="AY129" s="65"/>
      <c r="AZ129" s="65"/>
      <c r="BA129" s="65"/>
      <c r="BB129" s="65"/>
    </row>
    <row r="130" spans="1:54" ht="15" customHeight="1">
      <c r="A130" s="19"/>
      <c r="D130" s="19"/>
      <c r="E130" s="5" t="str">
        <f>Inputs!E91</f>
        <v>Non-controllable Opex (actual)</v>
      </c>
      <c r="G130" s="5" t="s">
        <v>248</v>
      </c>
      <c r="H130" s="19" t="s">
        <v>366</v>
      </c>
      <c r="L130" s="31"/>
      <c r="M130" s="31"/>
      <c r="N130" s="31"/>
      <c r="O130" s="31"/>
      <c r="P130" s="184">
        <f>'Costs &amp; Revenue'!P21</f>
        <v>0</v>
      </c>
      <c r="Q130" s="184">
        <f>'Costs &amp; Revenue'!Q21</f>
        <v>0</v>
      </c>
      <c r="R130" s="184">
        <f>'Costs &amp; Revenue'!R21</f>
        <v>0</v>
      </c>
      <c r="S130" s="184">
        <f>'Costs &amp; Revenue'!S21</f>
        <v>0</v>
      </c>
      <c r="T130" s="184">
        <f>'Costs &amp; Revenue'!T21</f>
        <v>0</v>
      </c>
      <c r="U130" s="184">
        <f>'Costs &amp; Revenue'!U21</f>
        <v>0</v>
      </c>
      <c r="V130" s="184">
        <f>'Costs &amp; Revenue'!V21</f>
        <v>0</v>
      </c>
      <c r="W130" s="184">
        <f>'Costs &amp; Revenue'!W21</f>
        <v>0</v>
      </c>
      <c r="X130" s="184">
        <f>'Costs &amp; Revenue'!X21</f>
        <v>0</v>
      </c>
      <c r="Y130" s="184">
        <f>'Costs &amp; Revenue'!Y21</f>
        <v>0</v>
      </c>
      <c r="Z130" s="184">
        <f>'Costs &amp; Revenue'!Z21</f>
        <v>0</v>
      </c>
      <c r="AA130" s="184">
        <f>'Costs &amp; Revenue'!AA21</f>
        <v>0</v>
      </c>
      <c r="AB130" s="184">
        <f>'Costs &amp; Revenue'!AB21</f>
        <v>0</v>
      </c>
      <c r="AC130" s="184">
        <f>'Costs &amp; Revenue'!AC21</f>
        <v>0</v>
      </c>
      <c r="AD130" s="184">
        <f>'Costs &amp; Revenue'!AD21</f>
        <v>0</v>
      </c>
      <c r="AE130" s="184">
        <f>'Costs &amp; Revenue'!AE21</f>
        <v>0</v>
      </c>
      <c r="AF130" s="184">
        <f>'Costs &amp; Revenue'!AF21</f>
        <v>0</v>
      </c>
      <c r="AG130" s="184">
        <f>'Costs &amp; Revenue'!AG21</f>
        <v>0</v>
      </c>
      <c r="AH130" s="184">
        <f>'Costs &amp; Revenue'!AH21</f>
        <v>0</v>
      </c>
      <c r="AI130" s="184">
        <f>'Costs &amp; Revenue'!AI21</f>
        <v>0</v>
      </c>
      <c r="AJ130" s="184">
        <f>'Costs &amp; Revenue'!AJ21</f>
        <v>0</v>
      </c>
      <c r="AK130" s="184">
        <f>'Costs &amp; Revenue'!AK21</f>
        <v>0</v>
      </c>
      <c r="AL130" s="184">
        <f>'Costs &amp; Revenue'!AL21</f>
        <v>0</v>
      </c>
      <c r="AM130" s="184">
        <f>'Costs &amp; Revenue'!AM21</f>
        <v>0</v>
      </c>
      <c r="AN130" s="184">
        <f>'Costs &amp; Revenue'!AN21</f>
        <v>0</v>
      </c>
      <c r="AO130" s="184">
        <f>'Costs &amp; Revenue'!AO21</f>
        <v>0</v>
      </c>
      <c r="AP130" s="184">
        <f>'Costs &amp; Revenue'!AP21</f>
        <v>0</v>
      </c>
      <c r="AQ130" s="184">
        <f>'Costs &amp; Revenue'!AQ21</f>
        <v>0</v>
      </c>
      <c r="AR130" s="184">
        <f>'Costs &amp; Revenue'!AR21</f>
        <v>0</v>
      </c>
      <c r="AS130" s="184">
        <f>'Costs &amp; Revenue'!AS21</f>
        <v>0</v>
      </c>
      <c r="AT130" s="184">
        <f>'Costs &amp; Revenue'!AT21</f>
        <v>0</v>
      </c>
      <c r="AU130" s="184">
        <f>'Costs &amp; Revenue'!AU21</f>
        <v>0</v>
      </c>
      <c r="AV130" s="184">
        <f>'Costs &amp; Revenue'!AV21</f>
        <v>0</v>
      </c>
      <c r="AW130" s="184">
        <f>'Costs &amp; Revenue'!AW21</f>
        <v>0</v>
      </c>
      <c r="AX130" s="184">
        <f>'Costs &amp; Revenue'!AX21</f>
        <v>0</v>
      </c>
      <c r="AY130" s="184">
        <f>'Costs &amp; Revenue'!AY21</f>
        <v>0</v>
      </c>
      <c r="AZ130" s="184">
        <f>'Costs &amp; Revenue'!AZ21</f>
        <v>0</v>
      </c>
      <c r="BA130" s="184">
        <f>'Costs &amp; Revenue'!BA21</f>
        <v>0</v>
      </c>
      <c r="BB130" s="184">
        <f>'Costs &amp; Revenue'!BB21</f>
        <v>0</v>
      </c>
    </row>
    <row r="131" spans="1:54" ht="15" customHeight="1">
      <c r="A131" s="19"/>
      <c r="D131" s="19"/>
      <c r="E131" s="5" t="s">
        <v>167</v>
      </c>
      <c r="G131" s="5" t="s">
        <v>248</v>
      </c>
      <c r="H131" s="19" t="s">
        <v>592</v>
      </c>
      <c r="L131" s="31"/>
      <c r="M131" s="31"/>
      <c r="N131" s="31"/>
      <c r="O131" s="31"/>
      <c r="P131" s="184">
        <f>'Costs &amp; Revenue'!P13*P11</f>
        <v>1.968139094972245</v>
      </c>
      <c r="Q131" s="184">
        <f>'Costs &amp; Revenue'!Q13*Q11</f>
        <v>2.0523754482370569</v>
      </c>
      <c r="R131" s="184">
        <f>'Costs &amp; Revenue'!R13*R11</f>
        <v>2.1402171174216029</v>
      </c>
      <c r="S131" s="184">
        <f>'Costs &amp; Revenue'!S13*S11</f>
        <v>2.2318184100472473</v>
      </c>
      <c r="T131" s="184">
        <f>'Costs &amp; Revenue'!T13*T11</f>
        <v>2.3273402379972694</v>
      </c>
      <c r="U131" s="184">
        <f>'Costs &amp; Revenue'!U13*U11</f>
        <v>2.4269504001835522</v>
      </c>
      <c r="V131" s="184">
        <f>'Costs &amp; Revenue'!V13*V11</f>
        <v>2.5308238773114082</v>
      </c>
      <c r="W131" s="184">
        <f>'Costs &amp; Revenue'!W13*W11</f>
        <v>2.6391431392603364</v>
      </c>
      <c r="X131" s="184">
        <f>'Costs &amp; Revenue'!X13*X11</f>
        <v>2.7520984656206791</v>
      </c>
      <c r="Y131" s="184">
        <f>'Costs &amp; Revenue'!Y13*Y11</f>
        <v>2.8698882799492433</v>
      </c>
      <c r="Z131" s="184">
        <f>'Costs &amp; Revenue'!Z13*Z11</f>
        <v>2.9927194983310708</v>
      </c>
      <c r="AA131" s="184">
        <f>'Costs &amp; Revenue'!AA13*AA11</f>
        <v>3.1208078928596406</v>
      </c>
      <c r="AB131" s="184">
        <f>'Costs &amp; Revenue'!AB13*AB11</f>
        <v>3.2543784706740331</v>
      </c>
      <c r="AC131" s="184">
        <f>'Costs &amp; Revenue'!AC13*AC11</f>
        <v>3.3936658692188812</v>
      </c>
      <c r="AD131" s="184">
        <f>'Costs &amp; Revenue'!AD13*AD11</f>
        <v>3.5389147684214493</v>
      </c>
      <c r="AE131" s="184">
        <f>'Costs &amp; Revenue'!AE13*AE11</f>
        <v>3.6903803205098873</v>
      </c>
      <c r="AF131" s="184">
        <f>'Costs &amp; Revenue'!AF13*AF11</f>
        <v>3.8483285982277109</v>
      </c>
      <c r="AG131" s="184">
        <f>'Costs &amp; Revenue'!AG13*AG11</f>
        <v>4.0130370622318567</v>
      </c>
      <c r="AH131" s="184">
        <f>'Costs &amp; Revenue'!AH13*AH11</f>
        <v>4.1847950484953795</v>
      </c>
      <c r="AI131" s="184">
        <f>'Costs &amp; Revenue'!AI13*AI11</f>
        <v>4.363904276570981</v>
      </c>
      <c r="AJ131" s="184">
        <f>'Costs &amp; Revenue'!AJ13*AJ11</f>
        <v>4.5506793796082192</v>
      </c>
      <c r="AK131" s="184">
        <f>'Costs &amp; Revenue'!AK13*AK11</f>
        <v>4.7454484570554509</v>
      </c>
      <c r="AL131" s="184">
        <f>'Costs &amp; Revenue'!AL13*AL11</f>
        <v>4.9485536510174244</v>
      </c>
      <c r="AM131" s="184">
        <f>'Costs &amp; Revenue'!AM13*AM11</f>
        <v>5.1603517472809699</v>
      </c>
      <c r="AN131" s="184">
        <f>'Costs &amp; Revenue'!AN13*AN11</f>
        <v>5.3812148020645951</v>
      </c>
      <c r="AO131" s="184">
        <f>'Costs &amp; Revenue'!AO13*AO11</f>
        <v>0.5764280386493984</v>
      </c>
      <c r="AP131" s="184">
        <f>'Costs &amp; Revenue'!AP13*AP11</f>
        <v>0</v>
      </c>
      <c r="AQ131" s="184">
        <f>'Costs &amp; Revenue'!AQ13*AQ11</f>
        <v>0</v>
      </c>
      <c r="AR131" s="184">
        <f>'Costs &amp; Revenue'!AR13*AR11</f>
        <v>0</v>
      </c>
      <c r="AS131" s="184">
        <f>'Costs &amp; Revenue'!AS13*AS11</f>
        <v>0</v>
      </c>
      <c r="AT131" s="184">
        <f>'Costs &amp; Revenue'!AT13*AT11</f>
        <v>0</v>
      </c>
      <c r="AU131" s="184">
        <f>'Costs &amp; Revenue'!AU13*AU11</f>
        <v>0</v>
      </c>
      <c r="AV131" s="184">
        <f>'Costs &amp; Revenue'!AV13*AV11</f>
        <v>0</v>
      </c>
      <c r="AW131" s="184">
        <f>'Costs &amp; Revenue'!AW13*AW11</f>
        <v>0</v>
      </c>
      <c r="AX131" s="184">
        <f>'Costs &amp; Revenue'!AX13*AX11</f>
        <v>0</v>
      </c>
      <c r="AY131" s="184">
        <f>'Costs &amp; Revenue'!AY13*AY11</f>
        <v>0</v>
      </c>
      <c r="AZ131" s="184">
        <f>'Costs &amp; Revenue'!AZ13*AZ11</f>
        <v>0</v>
      </c>
      <c r="BA131" s="184">
        <f>'Costs &amp; Revenue'!BA13*BA11</f>
        <v>0</v>
      </c>
      <c r="BB131" s="184">
        <f>'Costs &amp; Revenue'!BB13*BB11</f>
        <v>0</v>
      </c>
    </row>
    <row r="132" spans="1:54" ht="15" customHeight="1">
      <c r="A132" s="19"/>
      <c r="D132" s="19"/>
      <c r="E132" s="19" t="s">
        <v>593</v>
      </c>
      <c r="G132" s="5" t="s">
        <v>248</v>
      </c>
      <c r="H132" s="19" t="s">
        <v>594</v>
      </c>
      <c r="L132" s="31"/>
      <c r="M132" s="31"/>
      <c r="N132" s="31"/>
      <c r="O132" s="31"/>
      <c r="P132" s="35">
        <f t="shared" ref="P132:BB132" si="60">P130-P131</f>
        <v>-1.968139094972245</v>
      </c>
      <c r="Q132" s="35">
        <f t="shared" si="60"/>
        <v>-2.0523754482370569</v>
      </c>
      <c r="R132" s="35">
        <f t="shared" si="60"/>
        <v>-2.1402171174216029</v>
      </c>
      <c r="S132" s="35">
        <f t="shared" si="60"/>
        <v>-2.2318184100472473</v>
      </c>
      <c r="T132" s="35">
        <f t="shared" si="60"/>
        <v>-2.3273402379972694</v>
      </c>
      <c r="U132" s="35">
        <f t="shared" si="60"/>
        <v>-2.4269504001835522</v>
      </c>
      <c r="V132" s="35">
        <f t="shared" si="60"/>
        <v>-2.5308238773114082</v>
      </c>
      <c r="W132" s="35">
        <f t="shared" si="60"/>
        <v>-2.6391431392603364</v>
      </c>
      <c r="X132" s="35">
        <f t="shared" si="60"/>
        <v>-2.7520984656206791</v>
      </c>
      <c r="Y132" s="35">
        <f t="shared" si="60"/>
        <v>-2.8698882799492433</v>
      </c>
      <c r="Z132" s="35">
        <f t="shared" si="60"/>
        <v>-2.9927194983310708</v>
      </c>
      <c r="AA132" s="35">
        <f t="shared" si="60"/>
        <v>-3.1208078928596406</v>
      </c>
      <c r="AB132" s="35">
        <f t="shared" si="60"/>
        <v>-3.2543784706740331</v>
      </c>
      <c r="AC132" s="35">
        <f t="shared" si="60"/>
        <v>-3.3936658692188812</v>
      </c>
      <c r="AD132" s="35">
        <f t="shared" si="60"/>
        <v>-3.5389147684214493</v>
      </c>
      <c r="AE132" s="35">
        <f t="shared" si="60"/>
        <v>-3.6903803205098873</v>
      </c>
      <c r="AF132" s="35">
        <f t="shared" si="60"/>
        <v>-3.8483285982277109</v>
      </c>
      <c r="AG132" s="35">
        <f t="shared" si="60"/>
        <v>-4.0130370622318567</v>
      </c>
      <c r="AH132" s="35">
        <f t="shared" si="60"/>
        <v>-4.1847950484953795</v>
      </c>
      <c r="AI132" s="35">
        <f t="shared" si="60"/>
        <v>-4.363904276570981</v>
      </c>
      <c r="AJ132" s="35">
        <f t="shared" si="60"/>
        <v>-4.5506793796082192</v>
      </c>
      <c r="AK132" s="35">
        <f t="shared" si="60"/>
        <v>-4.7454484570554509</v>
      </c>
      <c r="AL132" s="35">
        <f t="shared" si="60"/>
        <v>-4.9485536510174244</v>
      </c>
      <c r="AM132" s="35">
        <f t="shared" si="60"/>
        <v>-5.1603517472809699</v>
      </c>
      <c r="AN132" s="35">
        <f t="shared" si="60"/>
        <v>-5.3812148020645951</v>
      </c>
      <c r="AO132" s="35">
        <f t="shared" si="60"/>
        <v>-0.5764280386493984</v>
      </c>
      <c r="AP132" s="35">
        <f t="shared" si="60"/>
        <v>0</v>
      </c>
      <c r="AQ132" s="35">
        <f t="shared" si="60"/>
        <v>0</v>
      </c>
      <c r="AR132" s="35">
        <f t="shared" si="60"/>
        <v>0</v>
      </c>
      <c r="AS132" s="35">
        <f t="shared" si="60"/>
        <v>0</v>
      </c>
      <c r="AT132" s="35">
        <f t="shared" si="60"/>
        <v>0</v>
      </c>
      <c r="AU132" s="35">
        <f t="shared" si="60"/>
        <v>0</v>
      </c>
      <c r="AV132" s="35">
        <f t="shared" si="60"/>
        <v>0</v>
      </c>
      <c r="AW132" s="35">
        <f t="shared" si="60"/>
        <v>0</v>
      </c>
      <c r="AX132" s="35">
        <f t="shared" si="60"/>
        <v>0</v>
      </c>
      <c r="AY132" s="35">
        <f t="shared" si="60"/>
        <v>0</v>
      </c>
      <c r="AZ132" s="35">
        <f t="shared" si="60"/>
        <v>0</v>
      </c>
      <c r="BA132" s="35">
        <f t="shared" si="60"/>
        <v>0</v>
      </c>
      <c r="BB132" s="35">
        <f t="shared" si="60"/>
        <v>0</v>
      </c>
    </row>
    <row r="133" spans="1:54" ht="15" customHeight="1">
      <c r="A133" s="19"/>
      <c r="D133" s="19"/>
      <c r="G133" s="5"/>
      <c r="L133" s="5"/>
      <c r="M133" s="5"/>
      <c r="N133" s="5"/>
      <c r="O133" s="5"/>
      <c r="P133" s="5"/>
      <c r="Q133" s="5"/>
      <c r="R133" s="5"/>
      <c r="S133" s="5"/>
      <c r="T133" s="5"/>
      <c r="U133" s="5"/>
      <c r="V133" s="5"/>
      <c r="W133" s="5"/>
      <c r="X133" s="5"/>
      <c r="Y133" s="5"/>
      <c r="Z133" s="5"/>
      <c r="AA133" s="5"/>
      <c r="AB133" s="5"/>
      <c r="AC133" s="5"/>
      <c r="AD133" s="5"/>
      <c r="AE133" s="5"/>
      <c r="AF133" s="5"/>
      <c r="AG133" s="5"/>
      <c r="AH133" s="5"/>
      <c r="AI133" s="5"/>
      <c r="AJ133" s="5"/>
      <c r="AK133" s="5"/>
      <c r="AL133" s="5"/>
      <c r="AM133" s="5"/>
      <c r="AN133" s="5"/>
      <c r="AO133" s="5"/>
      <c r="AP133" s="5"/>
      <c r="AQ133" s="5"/>
      <c r="AR133" s="5"/>
      <c r="AS133" s="5"/>
      <c r="AT133" s="5"/>
      <c r="AU133" s="5"/>
      <c r="AV133" s="5"/>
      <c r="AW133" s="5"/>
      <c r="AX133" s="5"/>
      <c r="AY133" s="5"/>
      <c r="AZ133" s="5"/>
      <c r="BA133" s="5"/>
      <c r="BB133" s="5"/>
    </row>
    <row r="134" spans="1:54" ht="27" customHeight="1">
      <c r="A134" s="19"/>
      <c r="D134" s="19"/>
      <c r="E134" s="45" t="s">
        <v>595</v>
      </c>
      <c r="G134" s="5" t="s">
        <v>248</v>
      </c>
      <c r="L134" s="31"/>
      <c r="M134" s="31"/>
      <c r="N134" s="31"/>
      <c r="O134" s="31"/>
      <c r="P134" s="200">
        <f>'Costs &amp; Revenue'!P25</f>
        <v>0</v>
      </c>
      <c r="Q134" s="200">
        <f>'Costs &amp; Revenue'!Q25</f>
        <v>0</v>
      </c>
      <c r="R134" s="200">
        <f>'Costs &amp; Revenue'!R25</f>
        <v>0</v>
      </c>
      <c r="S134" s="200">
        <f>'Costs &amp; Revenue'!S25</f>
        <v>0</v>
      </c>
      <c r="T134" s="200">
        <f>'Costs &amp; Revenue'!T25</f>
        <v>0</v>
      </c>
      <c r="U134" s="200">
        <f>'Costs &amp; Revenue'!U25</f>
        <v>0</v>
      </c>
      <c r="V134" s="200">
        <f>'Costs &amp; Revenue'!V25</f>
        <v>0</v>
      </c>
      <c r="W134" s="200">
        <f>'Costs &amp; Revenue'!W25</f>
        <v>0</v>
      </c>
      <c r="X134" s="200">
        <f>'Costs &amp; Revenue'!X25</f>
        <v>0</v>
      </c>
      <c r="Y134" s="200">
        <f>'Costs &amp; Revenue'!Y25</f>
        <v>0</v>
      </c>
      <c r="Z134" s="200">
        <f>'Costs &amp; Revenue'!Z25</f>
        <v>0</v>
      </c>
      <c r="AA134" s="200">
        <f>'Costs &amp; Revenue'!AA25</f>
        <v>0</v>
      </c>
      <c r="AB134" s="200">
        <f>'Costs &amp; Revenue'!AB25</f>
        <v>0</v>
      </c>
      <c r="AC134" s="200">
        <f>'Costs &amp; Revenue'!AC25</f>
        <v>0</v>
      </c>
      <c r="AD134" s="200">
        <f>'Costs &amp; Revenue'!AD25</f>
        <v>0</v>
      </c>
      <c r="AE134" s="200">
        <f>'Costs &amp; Revenue'!AE25</f>
        <v>0</v>
      </c>
      <c r="AF134" s="200">
        <f>'Costs &amp; Revenue'!AF25</f>
        <v>0</v>
      </c>
      <c r="AG134" s="200">
        <f>'Costs &amp; Revenue'!AG25</f>
        <v>0</v>
      </c>
      <c r="AH134" s="200">
        <f>'Costs &amp; Revenue'!AH25</f>
        <v>0</v>
      </c>
      <c r="AI134" s="200">
        <f>'Costs &amp; Revenue'!AI25</f>
        <v>0</v>
      </c>
      <c r="AJ134" s="200">
        <f>'Costs &amp; Revenue'!AJ25</f>
        <v>0</v>
      </c>
      <c r="AK134" s="200">
        <f>'Costs &amp; Revenue'!AK25</f>
        <v>0</v>
      </c>
      <c r="AL134" s="200">
        <f>'Costs &amp; Revenue'!AL25</f>
        <v>0</v>
      </c>
      <c r="AM134" s="200">
        <f>'Costs &amp; Revenue'!AM25</f>
        <v>0</v>
      </c>
      <c r="AN134" s="200">
        <f>'Costs &amp; Revenue'!AN25</f>
        <v>0</v>
      </c>
      <c r="AO134" s="200">
        <f>'Costs &amp; Revenue'!AO25</f>
        <v>0</v>
      </c>
      <c r="AP134" s="200">
        <f>'Costs &amp; Revenue'!AP25</f>
        <v>0</v>
      </c>
      <c r="AQ134" s="200">
        <f>'Costs &amp; Revenue'!AQ25</f>
        <v>0</v>
      </c>
      <c r="AR134" s="200">
        <f>'Costs &amp; Revenue'!AR25</f>
        <v>0</v>
      </c>
      <c r="AS134" s="200">
        <f>'Costs &amp; Revenue'!AS25</f>
        <v>0</v>
      </c>
      <c r="AT134" s="200">
        <f>'Costs &amp; Revenue'!AT25</f>
        <v>0</v>
      </c>
      <c r="AU134" s="200">
        <f>'Costs &amp; Revenue'!AU25</f>
        <v>0</v>
      </c>
      <c r="AV134" s="200">
        <f>'Costs &amp; Revenue'!AV25</f>
        <v>0</v>
      </c>
      <c r="AW134" s="200">
        <f>'Costs &amp; Revenue'!AW25</f>
        <v>0</v>
      </c>
      <c r="AX134" s="200">
        <f>'Costs &amp; Revenue'!AX25</f>
        <v>0</v>
      </c>
      <c r="AY134" s="200">
        <f>'Costs &amp; Revenue'!AY25</f>
        <v>0</v>
      </c>
      <c r="AZ134" s="200">
        <f>'Costs &amp; Revenue'!AZ25</f>
        <v>0</v>
      </c>
      <c r="BA134" s="200">
        <f>'Costs &amp; Revenue'!BA25</f>
        <v>0</v>
      </c>
      <c r="BB134" s="200">
        <f>'Costs &amp; Revenue'!BB25</f>
        <v>0</v>
      </c>
    </row>
    <row r="135" spans="1:54" ht="15" customHeight="1">
      <c r="A135" s="19"/>
      <c r="D135" s="19"/>
      <c r="E135" s="5"/>
      <c r="O135" s="5"/>
      <c r="P135" s="35"/>
      <c r="Q135" s="35"/>
      <c r="R135" s="35"/>
      <c r="S135" s="35"/>
      <c r="T135" s="35"/>
      <c r="U135" s="35"/>
      <c r="V135" s="35"/>
      <c r="W135" s="35"/>
      <c r="X135" s="35"/>
      <c r="Y135" s="35"/>
      <c r="Z135" s="35"/>
      <c r="AA135" s="35"/>
      <c r="AB135" s="35"/>
      <c r="AC135" s="35"/>
      <c r="AD135" s="35"/>
      <c r="AE135" s="35"/>
      <c r="AF135" s="35"/>
      <c r="AG135" s="35"/>
      <c r="AH135" s="35"/>
      <c r="AI135" s="35"/>
      <c r="AJ135" s="35"/>
      <c r="AK135" s="35"/>
      <c r="AL135" s="35"/>
      <c r="AM135" s="35"/>
      <c r="AN135" s="35"/>
      <c r="AO135" s="35"/>
      <c r="AP135" s="35"/>
      <c r="AQ135" s="35"/>
      <c r="AR135" s="35"/>
      <c r="AS135" s="35"/>
      <c r="AT135" s="35"/>
      <c r="AU135" s="35"/>
      <c r="AV135" s="35"/>
      <c r="AW135" s="35"/>
      <c r="AX135" s="35"/>
      <c r="AY135" s="35"/>
      <c r="AZ135" s="35"/>
      <c r="BA135" s="35"/>
      <c r="BB135" s="35"/>
    </row>
    <row r="136" spans="1:54" ht="15" customHeight="1">
      <c r="A136" s="19"/>
      <c r="D136" s="19"/>
      <c r="E136" s="5" t="s">
        <v>596</v>
      </c>
      <c r="G136" s="5" t="s">
        <v>248</v>
      </c>
      <c r="H136" s="19" t="s">
        <v>597</v>
      </c>
      <c r="L136" s="31">
        <v>0</v>
      </c>
      <c r="M136" s="31">
        <v>0</v>
      </c>
      <c r="N136" s="31">
        <v>0</v>
      </c>
      <c r="O136" s="31">
        <v>0</v>
      </c>
      <c r="P136" s="35">
        <f t="shared" ref="P136:BB136" si="61">P132+P134</f>
        <v>-1.968139094972245</v>
      </c>
      <c r="Q136" s="35">
        <f t="shared" si="61"/>
        <v>-2.0523754482370569</v>
      </c>
      <c r="R136" s="35">
        <f t="shared" si="61"/>
        <v>-2.1402171174216029</v>
      </c>
      <c r="S136" s="35">
        <f t="shared" si="61"/>
        <v>-2.2318184100472473</v>
      </c>
      <c r="T136" s="35">
        <f t="shared" si="61"/>
        <v>-2.3273402379972694</v>
      </c>
      <c r="U136" s="35">
        <f t="shared" si="61"/>
        <v>-2.4269504001835522</v>
      </c>
      <c r="V136" s="35">
        <f t="shared" si="61"/>
        <v>-2.5308238773114082</v>
      </c>
      <c r="W136" s="35">
        <f t="shared" si="61"/>
        <v>-2.6391431392603364</v>
      </c>
      <c r="X136" s="35">
        <f t="shared" si="61"/>
        <v>-2.7520984656206791</v>
      </c>
      <c r="Y136" s="35">
        <f t="shared" si="61"/>
        <v>-2.8698882799492433</v>
      </c>
      <c r="Z136" s="35">
        <f t="shared" si="61"/>
        <v>-2.9927194983310708</v>
      </c>
      <c r="AA136" s="35">
        <f t="shared" si="61"/>
        <v>-3.1208078928596406</v>
      </c>
      <c r="AB136" s="35">
        <f t="shared" si="61"/>
        <v>-3.2543784706740331</v>
      </c>
      <c r="AC136" s="35">
        <f t="shared" si="61"/>
        <v>-3.3936658692188812</v>
      </c>
      <c r="AD136" s="35">
        <f t="shared" si="61"/>
        <v>-3.5389147684214493</v>
      </c>
      <c r="AE136" s="35">
        <f t="shared" si="61"/>
        <v>-3.6903803205098873</v>
      </c>
      <c r="AF136" s="35">
        <f t="shared" si="61"/>
        <v>-3.8483285982277109</v>
      </c>
      <c r="AG136" s="35">
        <f t="shared" si="61"/>
        <v>-4.0130370622318567</v>
      </c>
      <c r="AH136" s="35">
        <f t="shared" si="61"/>
        <v>-4.1847950484953795</v>
      </c>
      <c r="AI136" s="35">
        <f t="shared" si="61"/>
        <v>-4.363904276570981</v>
      </c>
      <c r="AJ136" s="35">
        <f t="shared" si="61"/>
        <v>-4.5506793796082192</v>
      </c>
      <c r="AK136" s="35">
        <f t="shared" si="61"/>
        <v>-4.7454484570554509</v>
      </c>
      <c r="AL136" s="35">
        <f t="shared" si="61"/>
        <v>-4.9485536510174244</v>
      </c>
      <c r="AM136" s="35">
        <f t="shared" si="61"/>
        <v>-5.1603517472809699</v>
      </c>
      <c r="AN136" s="35">
        <f t="shared" si="61"/>
        <v>-5.3812148020645951</v>
      </c>
      <c r="AO136" s="35">
        <f t="shared" si="61"/>
        <v>-0.5764280386493984</v>
      </c>
      <c r="AP136" s="35">
        <f t="shared" si="61"/>
        <v>0</v>
      </c>
      <c r="AQ136" s="35">
        <f t="shared" si="61"/>
        <v>0</v>
      </c>
      <c r="AR136" s="35">
        <f t="shared" si="61"/>
        <v>0</v>
      </c>
      <c r="AS136" s="35">
        <f t="shared" si="61"/>
        <v>0</v>
      </c>
      <c r="AT136" s="35">
        <f t="shared" si="61"/>
        <v>0</v>
      </c>
      <c r="AU136" s="35">
        <f t="shared" si="61"/>
        <v>0</v>
      </c>
      <c r="AV136" s="35">
        <f t="shared" si="61"/>
        <v>0</v>
      </c>
      <c r="AW136" s="35">
        <f t="shared" si="61"/>
        <v>0</v>
      </c>
      <c r="AX136" s="35">
        <f t="shared" si="61"/>
        <v>0</v>
      </c>
      <c r="AY136" s="35">
        <f t="shared" si="61"/>
        <v>0</v>
      </c>
      <c r="AZ136" s="35">
        <f t="shared" si="61"/>
        <v>0</v>
      </c>
      <c r="BA136" s="35">
        <f t="shared" si="61"/>
        <v>0</v>
      </c>
      <c r="BB136" s="35">
        <f t="shared" si="61"/>
        <v>0</v>
      </c>
    </row>
    <row r="137" spans="1:54" customFormat="1" ht="15" customHeight="1">
      <c r="P137" s="217"/>
      <c r="Q137" s="217"/>
      <c r="R137" s="217"/>
      <c r="S137" s="217"/>
      <c r="T137" s="217"/>
      <c r="U137" s="217"/>
      <c r="V137" s="217"/>
      <c r="W137" s="217"/>
      <c r="X137" s="217"/>
      <c r="Y137" s="217"/>
      <c r="Z137" s="217"/>
      <c r="AA137" s="217"/>
      <c r="AB137" s="217"/>
      <c r="AC137" s="217"/>
      <c r="AD137" s="217"/>
      <c r="AE137" s="217"/>
      <c r="AF137" s="217"/>
      <c r="AG137" s="217"/>
      <c r="AH137" s="217"/>
      <c r="AI137" s="217"/>
      <c r="AJ137" s="217"/>
      <c r="AK137" s="217"/>
      <c r="AL137" s="217"/>
      <c r="AM137" s="217"/>
      <c r="AN137" s="217"/>
      <c r="AO137" s="217"/>
      <c r="AP137" s="217"/>
      <c r="AQ137" s="217"/>
      <c r="AR137" s="217"/>
      <c r="AS137" s="217"/>
      <c r="AT137" s="217"/>
      <c r="AU137" s="217"/>
      <c r="AV137" s="217"/>
      <c r="AW137" s="217"/>
      <c r="AX137" s="217"/>
      <c r="AY137" s="217"/>
      <c r="AZ137" s="217"/>
      <c r="BA137" s="217"/>
      <c r="BB137" s="217"/>
    </row>
    <row r="138" spans="1:54" ht="26.25">
      <c r="A138" s="19"/>
      <c r="D138" s="19"/>
      <c r="E138" s="44" t="s">
        <v>598</v>
      </c>
      <c r="G138" s="5" t="s">
        <v>248</v>
      </c>
      <c r="L138" s="31"/>
      <c r="M138" s="31"/>
      <c r="N138" s="31"/>
      <c r="O138" s="31"/>
      <c r="P138" s="35">
        <f t="shared" ref="P138:BB138" si="62">MMULT(L136:P136,P$15:P$19)</f>
        <v>-1.968139094972245</v>
      </c>
      <c r="Q138" s="35">
        <f t="shared" si="62"/>
        <v>-2.0523754482370569</v>
      </c>
      <c r="R138" s="35">
        <f t="shared" si="62"/>
        <v>-2.1402171174216029</v>
      </c>
      <c r="S138" s="35">
        <f t="shared" si="62"/>
        <v>-2.2318184100472473</v>
      </c>
      <c r="T138" s="35">
        <f t="shared" si="62"/>
        <v>-2.3273402379972694</v>
      </c>
      <c r="U138" s="35">
        <f t="shared" si="62"/>
        <v>-2.4269504001835522</v>
      </c>
      <c r="V138" s="35">
        <f t="shared" si="62"/>
        <v>-2.5308238773114082</v>
      </c>
      <c r="W138" s="35">
        <f t="shared" si="62"/>
        <v>-2.6391431392603364</v>
      </c>
      <c r="X138" s="35">
        <f t="shared" si="62"/>
        <v>-2.7520984656206791</v>
      </c>
      <c r="Y138" s="35">
        <f t="shared" si="62"/>
        <v>-2.8698882799492433</v>
      </c>
      <c r="Z138" s="35">
        <f t="shared" si="62"/>
        <v>-2.9927194983310708</v>
      </c>
      <c r="AA138" s="35">
        <f t="shared" si="62"/>
        <v>-3.1208078928596406</v>
      </c>
      <c r="AB138" s="35">
        <f t="shared" si="62"/>
        <v>-3.2543784706740331</v>
      </c>
      <c r="AC138" s="35">
        <f t="shared" si="62"/>
        <v>-3.3936658692188812</v>
      </c>
      <c r="AD138" s="35">
        <f t="shared" si="62"/>
        <v>-3.5389147684214493</v>
      </c>
      <c r="AE138" s="35">
        <f t="shared" si="62"/>
        <v>-3.6903803205098873</v>
      </c>
      <c r="AF138" s="35">
        <f t="shared" si="62"/>
        <v>-3.8483285982277109</v>
      </c>
      <c r="AG138" s="35">
        <f t="shared" si="62"/>
        <v>-4.0130370622318567</v>
      </c>
      <c r="AH138" s="35">
        <f t="shared" si="62"/>
        <v>-4.1847950484953795</v>
      </c>
      <c r="AI138" s="35">
        <f t="shared" si="62"/>
        <v>-4.363904276570981</v>
      </c>
      <c r="AJ138" s="35">
        <f t="shared" si="62"/>
        <v>-4.5506793796082192</v>
      </c>
      <c r="AK138" s="35">
        <f t="shared" si="62"/>
        <v>-4.7454484570554509</v>
      </c>
      <c r="AL138" s="35">
        <f t="shared" si="62"/>
        <v>-4.9485536510174244</v>
      </c>
      <c r="AM138" s="35">
        <f t="shared" si="62"/>
        <v>-5.1603517472809699</v>
      </c>
      <c r="AN138" s="35">
        <f t="shared" si="62"/>
        <v>-5.3812148020645951</v>
      </c>
      <c r="AO138" s="35">
        <f t="shared" si="62"/>
        <v>-0.5764280386493984</v>
      </c>
      <c r="AP138" s="35">
        <f t="shared" si="62"/>
        <v>0</v>
      </c>
      <c r="AQ138" s="35">
        <f t="shared" si="62"/>
        <v>0</v>
      </c>
      <c r="AR138" s="35">
        <f t="shared" si="62"/>
        <v>0</v>
      </c>
      <c r="AS138" s="35">
        <f t="shared" si="62"/>
        <v>0</v>
      </c>
      <c r="AT138" s="35">
        <f t="shared" si="62"/>
        <v>0</v>
      </c>
      <c r="AU138" s="35">
        <f t="shared" si="62"/>
        <v>0</v>
      </c>
      <c r="AV138" s="35">
        <f t="shared" si="62"/>
        <v>0</v>
      </c>
      <c r="AW138" s="35">
        <f t="shared" si="62"/>
        <v>0</v>
      </c>
      <c r="AX138" s="35">
        <f t="shared" si="62"/>
        <v>0</v>
      </c>
      <c r="AY138" s="35">
        <f t="shared" si="62"/>
        <v>0</v>
      </c>
      <c r="AZ138" s="35">
        <f t="shared" si="62"/>
        <v>0</v>
      </c>
      <c r="BA138" s="35">
        <f t="shared" si="62"/>
        <v>0</v>
      </c>
      <c r="BB138" s="35">
        <f t="shared" si="62"/>
        <v>0</v>
      </c>
    </row>
    <row r="139" spans="1:54" ht="15" customHeight="1">
      <c r="A139" s="19"/>
      <c r="D139" s="19"/>
      <c r="E139" s="5"/>
      <c r="G139" s="5"/>
      <c r="L139" s="5"/>
      <c r="M139" s="5"/>
      <c r="N139" s="5"/>
      <c r="O139" s="5"/>
      <c r="P139" s="35"/>
      <c r="Q139" s="35"/>
      <c r="R139" s="35"/>
      <c r="S139" s="35"/>
      <c r="T139" s="35"/>
      <c r="U139" s="35"/>
      <c r="V139" s="35"/>
      <c r="W139" s="35"/>
      <c r="X139" s="35"/>
      <c r="Y139" s="35"/>
      <c r="Z139" s="35"/>
      <c r="AA139" s="35"/>
      <c r="AB139" s="35"/>
      <c r="AC139" s="35"/>
      <c r="AD139" s="35"/>
      <c r="AE139" s="35"/>
      <c r="AF139" s="35"/>
      <c r="AG139" s="35"/>
      <c r="AH139" s="35"/>
      <c r="AI139" s="35"/>
      <c r="AJ139" s="35"/>
      <c r="AK139" s="35"/>
      <c r="AL139" s="35"/>
      <c r="AM139" s="35"/>
      <c r="AN139" s="35"/>
      <c r="AO139" s="35"/>
      <c r="AP139" s="35"/>
      <c r="AQ139" s="35"/>
      <c r="AR139" s="35"/>
      <c r="AS139" s="35"/>
      <c r="AT139" s="35"/>
      <c r="AU139" s="35"/>
      <c r="AV139" s="35"/>
      <c r="AW139" s="35"/>
      <c r="AX139" s="35"/>
      <c r="AY139" s="35"/>
      <c r="AZ139" s="35"/>
      <c r="BA139" s="35"/>
      <c r="BB139" s="35"/>
    </row>
    <row r="140" spans="1:54" ht="28.5" customHeight="1">
      <c r="A140" s="19"/>
      <c r="D140" s="19"/>
      <c r="E140" s="44" t="s">
        <v>599</v>
      </c>
      <c r="G140" s="5" t="s">
        <v>248</v>
      </c>
      <c r="H140" s="19" t="s">
        <v>600</v>
      </c>
      <c r="L140" s="31"/>
      <c r="M140" s="31"/>
      <c r="N140" s="31"/>
      <c r="O140" s="31"/>
      <c r="P140" s="186">
        <f>P138*P54</f>
        <v>-1.968139094972245</v>
      </c>
      <c r="Q140" s="186">
        <f t="shared" ref="Q140:BB140" si="63">Q138*Q54</f>
        <v>-2.0523754482370569</v>
      </c>
      <c r="R140" s="186">
        <f t="shared" si="63"/>
        <v>-2.1402171174216029</v>
      </c>
      <c r="S140" s="186">
        <f t="shared" si="63"/>
        <v>-2.2318184100472473</v>
      </c>
      <c r="T140" s="186">
        <f t="shared" si="63"/>
        <v>-2.3273402379972694</v>
      </c>
      <c r="U140" s="186">
        <f t="shared" si="63"/>
        <v>-2.4269504001835522</v>
      </c>
      <c r="V140" s="186">
        <f t="shared" si="63"/>
        <v>-2.5308238773114082</v>
      </c>
      <c r="W140" s="186">
        <f t="shared" si="63"/>
        <v>-2.6391431392603364</v>
      </c>
      <c r="X140" s="186">
        <f t="shared" si="63"/>
        <v>-2.7520984656206791</v>
      </c>
      <c r="Y140" s="186">
        <f t="shared" si="63"/>
        <v>-2.8698882799492433</v>
      </c>
      <c r="Z140" s="186">
        <f t="shared" si="63"/>
        <v>-2.9927194983310708</v>
      </c>
      <c r="AA140" s="186">
        <f t="shared" si="63"/>
        <v>-3.1208078928596406</v>
      </c>
      <c r="AB140" s="186">
        <f t="shared" si="63"/>
        <v>-3.2543784706740331</v>
      </c>
      <c r="AC140" s="186">
        <f t="shared" si="63"/>
        <v>-3.3936658692188812</v>
      </c>
      <c r="AD140" s="186">
        <f t="shared" si="63"/>
        <v>-3.5389147684214493</v>
      </c>
      <c r="AE140" s="186">
        <f t="shared" si="63"/>
        <v>-3.6903803205098873</v>
      </c>
      <c r="AF140" s="186">
        <f t="shared" si="63"/>
        <v>-3.8483285982277109</v>
      </c>
      <c r="AG140" s="186">
        <f t="shared" si="63"/>
        <v>-4.0130370622318567</v>
      </c>
      <c r="AH140" s="186">
        <f t="shared" si="63"/>
        <v>-4.1847950484953795</v>
      </c>
      <c r="AI140" s="186">
        <f t="shared" si="63"/>
        <v>-4.363904276570981</v>
      </c>
      <c r="AJ140" s="186">
        <f t="shared" si="63"/>
        <v>-4.5506793796082192</v>
      </c>
      <c r="AK140" s="186">
        <f t="shared" si="63"/>
        <v>-4.7454484570554509</v>
      </c>
      <c r="AL140" s="186">
        <f t="shared" si="63"/>
        <v>-4.9485536510174244</v>
      </c>
      <c r="AM140" s="186">
        <f t="shared" si="63"/>
        <v>-5.1603517472809699</v>
      </c>
      <c r="AN140" s="186">
        <f t="shared" si="63"/>
        <v>-5.3812148020645951</v>
      </c>
      <c r="AO140" s="186">
        <f t="shared" si="63"/>
        <v>-0.5764280386493984</v>
      </c>
      <c r="AP140" s="186">
        <f t="shared" si="63"/>
        <v>0</v>
      </c>
      <c r="AQ140" s="186">
        <f t="shared" si="63"/>
        <v>0</v>
      </c>
      <c r="AR140" s="186">
        <f t="shared" si="63"/>
        <v>0</v>
      </c>
      <c r="AS140" s="186">
        <f t="shared" si="63"/>
        <v>0</v>
      </c>
      <c r="AT140" s="186">
        <f t="shared" si="63"/>
        <v>0</v>
      </c>
      <c r="AU140" s="186">
        <f t="shared" si="63"/>
        <v>0</v>
      </c>
      <c r="AV140" s="186">
        <f t="shared" si="63"/>
        <v>0</v>
      </c>
      <c r="AW140" s="186">
        <f t="shared" si="63"/>
        <v>0</v>
      </c>
      <c r="AX140" s="186">
        <f t="shared" si="63"/>
        <v>0</v>
      </c>
      <c r="AY140" s="186">
        <f t="shared" si="63"/>
        <v>0</v>
      </c>
      <c r="AZ140" s="186">
        <f t="shared" si="63"/>
        <v>0</v>
      </c>
      <c r="BA140" s="186">
        <f t="shared" si="63"/>
        <v>0</v>
      </c>
      <c r="BB140" s="186">
        <f t="shared" si="63"/>
        <v>0</v>
      </c>
    </row>
    <row r="141" spans="1:54" ht="15" customHeight="1">
      <c r="A141" s="19"/>
      <c r="D141" s="19"/>
      <c r="W141" s="65"/>
      <c r="X141" s="65"/>
      <c r="Y141" s="65"/>
      <c r="Z141" s="65"/>
      <c r="AA141" s="65"/>
      <c r="AB141" s="65"/>
      <c r="AC141" s="65"/>
      <c r="AD141" s="65"/>
      <c r="AE141" s="65"/>
      <c r="AF141" s="65"/>
      <c r="AG141" s="65"/>
      <c r="AH141" s="65"/>
      <c r="AI141" s="65"/>
      <c r="AJ141" s="65"/>
      <c r="AK141" s="65"/>
      <c r="AL141" s="65"/>
      <c r="AM141" s="65"/>
      <c r="AN141" s="65"/>
      <c r="AO141" s="65"/>
      <c r="AP141" s="65"/>
      <c r="AQ141" s="65"/>
      <c r="AR141" s="65"/>
      <c r="AS141" s="65"/>
      <c r="AT141" s="65"/>
      <c r="AU141" s="65"/>
      <c r="AV141" s="65"/>
      <c r="AW141" s="65"/>
      <c r="AX141" s="65"/>
      <c r="AY141" s="65"/>
      <c r="AZ141" s="65"/>
      <c r="BA141" s="65"/>
      <c r="BB141" s="65"/>
    </row>
    <row r="142" spans="1:54" s="4" customFormat="1" ht="15" customHeight="1">
      <c r="B142" s="166" t="s">
        <v>601</v>
      </c>
      <c r="C142" s="8"/>
      <c r="D142" s="8"/>
      <c r="E142" s="8"/>
      <c r="F142" s="8"/>
      <c r="G142" s="8"/>
      <c r="H142" s="8"/>
      <c r="I142" s="8"/>
      <c r="J142" s="8"/>
      <c r="K142" s="8"/>
      <c r="L142" s="8"/>
      <c r="M142" s="8"/>
      <c r="N142" s="8"/>
      <c r="O142" s="8"/>
      <c r="P142" s="8"/>
      <c r="Q142" s="8"/>
      <c r="R142" s="8"/>
      <c r="S142" s="8"/>
      <c r="T142" s="8"/>
      <c r="U142" s="8"/>
      <c r="V142" s="8"/>
      <c r="W142" s="8"/>
      <c r="X142" s="8"/>
      <c r="Y142" s="8"/>
      <c r="Z142" s="8"/>
      <c r="AA142" s="8"/>
      <c r="AB142" s="8"/>
      <c r="AC142" s="8"/>
      <c r="AD142" s="8"/>
      <c r="AE142" s="8"/>
      <c r="AF142" s="8"/>
      <c r="AG142" s="8"/>
      <c r="AH142" s="8"/>
      <c r="AI142" s="8"/>
      <c r="AJ142" s="8"/>
      <c r="AK142" s="8"/>
      <c r="AL142" s="8"/>
      <c r="AM142" s="8"/>
      <c r="AN142" s="8"/>
      <c r="AO142" s="8"/>
      <c r="AP142" s="8"/>
      <c r="AQ142" s="8"/>
      <c r="AR142" s="8"/>
      <c r="AS142" s="8"/>
      <c r="AT142" s="8"/>
      <c r="AU142" s="8"/>
      <c r="AV142" s="8"/>
      <c r="AW142" s="8"/>
      <c r="AX142" s="8"/>
      <c r="AY142" s="8"/>
      <c r="AZ142" s="8"/>
      <c r="BA142" s="8"/>
      <c r="BB142" s="8"/>
    </row>
    <row r="143" spans="1:54" ht="15" customHeight="1">
      <c r="A143" s="19"/>
      <c r="D143" s="19"/>
      <c r="W143" s="65"/>
      <c r="X143" s="65"/>
      <c r="Y143" s="65"/>
      <c r="Z143" s="65"/>
      <c r="AA143" s="65"/>
      <c r="AB143" s="65"/>
      <c r="AC143" s="65"/>
      <c r="AD143" s="65"/>
      <c r="AE143" s="65"/>
      <c r="AF143" s="65"/>
      <c r="AG143" s="65"/>
      <c r="AH143" s="65"/>
      <c r="AI143" s="65"/>
      <c r="AJ143" s="65"/>
      <c r="AK143" s="65"/>
      <c r="AL143" s="65"/>
      <c r="AM143" s="65"/>
      <c r="AN143" s="65"/>
      <c r="AO143" s="65"/>
      <c r="AP143" s="65"/>
      <c r="AQ143" s="65"/>
      <c r="AR143" s="65"/>
      <c r="AS143" s="65"/>
      <c r="AT143" s="65"/>
      <c r="AU143" s="65"/>
      <c r="AV143" s="65"/>
      <c r="AW143" s="65"/>
      <c r="AX143" s="65"/>
      <c r="AY143" s="65"/>
      <c r="AZ143" s="65"/>
      <c r="BA143" s="65"/>
      <c r="BB143" s="65"/>
    </row>
    <row r="144" spans="1:54" ht="15" customHeight="1">
      <c r="A144" s="19"/>
      <c r="D144" s="19"/>
      <c r="E144" s="19" t="s">
        <v>602</v>
      </c>
      <c r="G144" s="5" t="s">
        <v>248</v>
      </c>
      <c r="I144" s="30"/>
      <c r="P144" s="35">
        <f>P140+P92+P93+P72-P84+P85</f>
        <v>-1.968139094972245</v>
      </c>
      <c r="Q144" s="35">
        <f t="shared" ref="Q144:BB144" si="64">Q140+Q92+Q93+Q72-Q84+Q85</f>
        <v>-2.0523754482370569</v>
      </c>
      <c r="R144" s="35">
        <f t="shared" si="64"/>
        <v>-2.1402171174216029</v>
      </c>
      <c r="S144" s="35">
        <f t="shared" si="64"/>
        <v>21.973490167038605</v>
      </c>
      <c r="T144" s="35">
        <f t="shared" si="64"/>
        <v>23.011723852867856</v>
      </c>
      <c r="U144" s="35">
        <f t="shared" si="64"/>
        <v>24.901518890845495</v>
      </c>
      <c r="V144" s="35">
        <f t="shared" si="64"/>
        <v>25.967303899373682</v>
      </c>
      <c r="W144" s="35">
        <f t="shared" si="64"/>
        <v>27.078704506266877</v>
      </c>
      <c r="X144" s="35">
        <f t="shared" si="64"/>
        <v>28.237673059135094</v>
      </c>
      <c r="Y144" s="35">
        <f t="shared" si="64"/>
        <v>29.446245466066074</v>
      </c>
      <c r="Z144" s="35">
        <f t="shared" si="64"/>
        <v>30.7065447720137</v>
      </c>
      <c r="AA144" s="35">
        <f t="shared" si="64"/>
        <v>32.020784888255889</v>
      </c>
      <c r="AB144" s="35">
        <f t="shared" si="64"/>
        <v>33.391274481473232</v>
      </c>
      <c r="AC144" s="35">
        <f t="shared" si="64"/>
        <v>34.82042102928029</v>
      </c>
      <c r="AD144" s="35">
        <f t="shared" si="64"/>
        <v>36.310735049333481</v>
      </c>
      <c r="AE144" s="35">
        <f t="shared" si="64"/>
        <v>37.864834509444954</v>
      </c>
      <c r="AF144" s="35">
        <f t="shared" si="64"/>
        <v>39.485449426449208</v>
      </c>
      <c r="AG144" s="35">
        <f t="shared" si="64"/>
        <v>41.17542666190122</v>
      </c>
      <c r="AH144" s="35">
        <f t="shared" si="64"/>
        <v>42.937734923030597</v>
      </c>
      <c r="AI144" s="35">
        <f t="shared" si="64"/>
        <v>44.775469977736293</v>
      </c>
      <c r="AJ144" s="35">
        <f t="shared" si="64"/>
        <v>46.691860092783415</v>
      </c>
      <c r="AK144" s="35">
        <f t="shared" si="64"/>
        <v>48.690271704754544</v>
      </c>
      <c r="AL144" s="35">
        <f t="shared" si="64"/>
        <v>50.774215333718033</v>
      </c>
      <c r="AM144" s="35">
        <f t="shared" si="64"/>
        <v>52.947351750001168</v>
      </c>
      <c r="AN144" s="35">
        <f t="shared" si="64"/>
        <v>55.213498404901209</v>
      </c>
      <c r="AO144" s="35">
        <f t="shared" si="64"/>
        <v>20.226794613232673</v>
      </c>
      <c r="AP144" s="35">
        <f t="shared" si="64"/>
        <v>0</v>
      </c>
      <c r="AQ144" s="35">
        <f t="shared" si="64"/>
        <v>0</v>
      </c>
      <c r="AR144" s="35">
        <f t="shared" si="64"/>
        <v>0</v>
      </c>
      <c r="AS144" s="35">
        <f t="shared" si="64"/>
        <v>0</v>
      </c>
      <c r="AT144" s="35">
        <f t="shared" si="64"/>
        <v>0</v>
      </c>
      <c r="AU144" s="35">
        <f t="shared" si="64"/>
        <v>0</v>
      </c>
      <c r="AV144" s="35">
        <f t="shared" si="64"/>
        <v>0</v>
      </c>
      <c r="AW144" s="35">
        <f t="shared" si="64"/>
        <v>0</v>
      </c>
      <c r="AX144" s="35">
        <f t="shared" si="64"/>
        <v>0</v>
      </c>
      <c r="AY144" s="35">
        <f t="shared" si="64"/>
        <v>0</v>
      </c>
      <c r="AZ144" s="35">
        <f t="shared" si="64"/>
        <v>0</v>
      </c>
      <c r="BA144" s="35">
        <f t="shared" si="64"/>
        <v>0</v>
      </c>
      <c r="BB144" s="35">
        <f t="shared" si="64"/>
        <v>0</v>
      </c>
    </row>
    <row r="145" spans="1:54" ht="15" customHeight="1">
      <c r="A145" s="19"/>
      <c r="D145" s="19"/>
      <c r="E145" s="19" t="s">
        <v>603</v>
      </c>
      <c r="G145" s="5" t="s">
        <v>248</v>
      </c>
      <c r="I145" s="30"/>
      <c r="P145" s="35">
        <f t="shared" ref="P145:BB145" si="65">P140+P122+P123+P73-P106+P107</f>
        <v>-1.968139094972245</v>
      </c>
      <c r="Q145" s="35">
        <f t="shared" si="65"/>
        <v>-2.0523754482370569</v>
      </c>
      <c r="R145" s="35">
        <f t="shared" si="65"/>
        <v>-2.1402171174216029</v>
      </c>
      <c r="S145" s="35">
        <f t="shared" si="65"/>
        <v>22.764681301535909</v>
      </c>
      <c r="T145" s="35">
        <f t="shared" si="65"/>
        <v>23.249706044693156</v>
      </c>
      <c r="U145" s="35">
        <f t="shared" si="65"/>
        <v>21.956946878294318</v>
      </c>
      <c r="V145" s="35">
        <f t="shared" si="65"/>
        <v>22.551376415832088</v>
      </c>
      <c r="W145" s="35">
        <f t="shared" si="65"/>
        <v>23.165376965165969</v>
      </c>
      <c r="X145" s="35">
        <f t="shared" si="65"/>
        <v>23.799686365869853</v>
      </c>
      <c r="Y145" s="35">
        <f t="shared" si="65"/>
        <v>24.455072340455978</v>
      </c>
      <c r="Z145" s="35">
        <f t="shared" si="65"/>
        <v>25.132333744522544</v>
      </c>
      <c r="AA145" s="35">
        <f t="shared" si="65"/>
        <v>25.832301869917377</v>
      </c>
      <c r="AB145" s="35">
        <f t="shared" si="65"/>
        <v>26.555841803178314</v>
      </c>
      <c r="AC145" s="35">
        <f t="shared" si="65"/>
        <v>27.30385384160769</v>
      </c>
      <c r="AD145" s="35">
        <f t="shared" si="65"/>
        <v>28.077274969439163</v>
      </c>
      <c r="AE145" s="35">
        <f t="shared" si="65"/>
        <v>28.877080396659792</v>
      </c>
      <c r="AF145" s="35">
        <f t="shared" si="65"/>
        <v>29.704285163160463</v>
      </c>
      <c r="AG145" s="35">
        <f t="shared" si="65"/>
        <v>30.55994581100126</v>
      </c>
      <c r="AH145" s="35">
        <f t="shared" si="65"/>
        <v>31.445162127698204</v>
      </c>
      <c r="AI145" s="35">
        <f t="shared" si="65"/>
        <v>32.361078963561567</v>
      </c>
      <c r="AJ145" s="35">
        <f t="shared" si="65"/>
        <v>33.308888126245435</v>
      </c>
      <c r="AK145" s="35">
        <f t="shared" si="65"/>
        <v>34.289830355803915</v>
      </c>
      <c r="AL145" s="35">
        <f t="shared" si="65"/>
        <v>33.828800309243817</v>
      </c>
      <c r="AM145" s="35">
        <f t="shared" si="65"/>
        <v>18.22670267511927</v>
      </c>
      <c r="AN145" s="35">
        <f t="shared" si="65"/>
        <v>19.00680554961437</v>
      </c>
      <c r="AO145" s="35">
        <f t="shared" si="65"/>
        <v>7.7964050116815589</v>
      </c>
      <c r="AP145" s="35">
        <f t="shared" si="65"/>
        <v>0</v>
      </c>
      <c r="AQ145" s="35">
        <f t="shared" si="65"/>
        <v>0</v>
      </c>
      <c r="AR145" s="35">
        <f t="shared" si="65"/>
        <v>0</v>
      </c>
      <c r="AS145" s="35">
        <f t="shared" si="65"/>
        <v>0</v>
      </c>
      <c r="AT145" s="35">
        <f t="shared" si="65"/>
        <v>0</v>
      </c>
      <c r="AU145" s="35">
        <f t="shared" si="65"/>
        <v>0</v>
      </c>
      <c r="AV145" s="35">
        <f t="shared" si="65"/>
        <v>0</v>
      </c>
      <c r="AW145" s="35">
        <f t="shared" si="65"/>
        <v>0</v>
      </c>
      <c r="AX145" s="35">
        <f t="shared" si="65"/>
        <v>0</v>
      </c>
      <c r="AY145" s="35">
        <f t="shared" si="65"/>
        <v>0</v>
      </c>
      <c r="AZ145" s="35">
        <f t="shared" si="65"/>
        <v>0</v>
      </c>
      <c r="BA145" s="35">
        <f t="shared" si="65"/>
        <v>0</v>
      </c>
      <c r="BB145" s="35">
        <f t="shared" si="65"/>
        <v>0</v>
      </c>
    </row>
    <row r="146" spans="1:54" ht="15" customHeight="1">
      <c r="A146" s="19"/>
      <c r="D146" s="19"/>
      <c r="P146" s="35"/>
      <c r="Q146" s="35"/>
      <c r="R146" s="35"/>
      <c r="S146" s="35"/>
      <c r="T146" s="35"/>
      <c r="U146" s="35"/>
      <c r="V146" s="35"/>
      <c r="W146" s="35"/>
      <c r="X146" s="35"/>
      <c r="Y146" s="35"/>
      <c r="Z146" s="35"/>
      <c r="AA146" s="35"/>
      <c r="AB146" s="35"/>
      <c r="AC146" s="35"/>
      <c r="AD146" s="35"/>
      <c r="AE146" s="35"/>
      <c r="AF146" s="35"/>
      <c r="AG146" s="35"/>
      <c r="AH146" s="35"/>
      <c r="AI146" s="35"/>
      <c r="AJ146" s="35"/>
      <c r="AK146" s="35"/>
      <c r="AL146" s="35"/>
      <c r="AM146" s="35"/>
      <c r="AN146" s="35"/>
      <c r="AO146" s="35"/>
      <c r="AP146" s="35"/>
      <c r="AQ146" s="35"/>
      <c r="AR146" s="35"/>
      <c r="AS146" s="35"/>
      <c r="AT146" s="35"/>
      <c r="AU146" s="35"/>
      <c r="AV146" s="35"/>
      <c r="AW146" s="35"/>
      <c r="AX146" s="35"/>
      <c r="AY146" s="35"/>
      <c r="AZ146" s="35"/>
      <c r="BA146" s="35"/>
      <c r="BB146" s="35"/>
    </row>
    <row r="147" spans="1:54" ht="15" customHeight="1">
      <c r="A147" s="30"/>
      <c r="D147" s="19"/>
      <c r="E147" s="19" t="s">
        <v>604</v>
      </c>
      <c r="G147" s="5" t="s">
        <v>248</v>
      </c>
      <c r="H147" s="19" t="s">
        <v>249</v>
      </c>
      <c r="P147" s="200">
        <f>Inputs!P117</f>
        <v>0</v>
      </c>
      <c r="Q147" s="200">
        <f>Inputs!Q117</f>
        <v>0</v>
      </c>
      <c r="R147" s="200">
        <f>Inputs!R117</f>
        <v>0</v>
      </c>
      <c r="S147" s="200">
        <f>Inputs!S117</f>
        <v>0</v>
      </c>
      <c r="T147" s="200">
        <f>Inputs!T117</f>
        <v>0</v>
      </c>
      <c r="U147" s="200">
        <f>Inputs!U117</f>
        <v>0</v>
      </c>
      <c r="V147" s="200">
        <f>Inputs!V117</f>
        <v>0</v>
      </c>
      <c r="W147" s="200">
        <f>Inputs!W117</f>
        <v>0</v>
      </c>
      <c r="X147" s="200">
        <f>Inputs!X117</f>
        <v>0</v>
      </c>
      <c r="Y147" s="200">
        <f>Inputs!Y117</f>
        <v>0</v>
      </c>
      <c r="Z147" s="200">
        <f>Inputs!Z117</f>
        <v>0</v>
      </c>
      <c r="AA147" s="200">
        <f>Inputs!AA117</f>
        <v>0</v>
      </c>
      <c r="AB147" s="200">
        <f>Inputs!AB117</f>
        <v>0</v>
      </c>
      <c r="AC147" s="200">
        <f>Inputs!AC117</f>
        <v>0</v>
      </c>
      <c r="AD147" s="200">
        <f>Inputs!AD117</f>
        <v>0</v>
      </c>
      <c r="AE147" s="200">
        <f>Inputs!AE117</f>
        <v>0</v>
      </c>
      <c r="AF147" s="200">
        <f>Inputs!AF117</f>
        <v>0</v>
      </c>
      <c r="AG147" s="200">
        <f>Inputs!AG117</f>
        <v>0</v>
      </c>
      <c r="AH147" s="200">
        <f>Inputs!AH117</f>
        <v>0</v>
      </c>
      <c r="AI147" s="200">
        <f>Inputs!AI117</f>
        <v>0</v>
      </c>
      <c r="AJ147" s="200">
        <f>Inputs!AJ117</f>
        <v>0</v>
      </c>
      <c r="AK147" s="200">
        <f>Inputs!AK117</f>
        <v>0</v>
      </c>
      <c r="AL147" s="200">
        <f>Inputs!AL117</f>
        <v>0</v>
      </c>
      <c r="AM147" s="200">
        <f>Inputs!AM117</f>
        <v>0</v>
      </c>
      <c r="AN147" s="200">
        <f>Inputs!AN117</f>
        <v>0</v>
      </c>
      <c r="AO147" s="200">
        <f>Inputs!AO117</f>
        <v>0</v>
      </c>
      <c r="AP147" s="200">
        <f>Inputs!AP117</f>
        <v>0</v>
      </c>
      <c r="AQ147" s="200">
        <f>Inputs!AQ117</f>
        <v>0</v>
      </c>
      <c r="AR147" s="200">
        <f>Inputs!AR117</f>
        <v>0</v>
      </c>
      <c r="AS147" s="200">
        <f>Inputs!AS117</f>
        <v>0</v>
      </c>
      <c r="AT147" s="200">
        <f>Inputs!AT117</f>
        <v>0</v>
      </c>
      <c r="AU147" s="200">
        <f>Inputs!AU117</f>
        <v>0</v>
      </c>
      <c r="AV147" s="200">
        <f>Inputs!AV117</f>
        <v>0</v>
      </c>
      <c r="AW147" s="200">
        <f>Inputs!AW117</f>
        <v>0</v>
      </c>
      <c r="AX147" s="200">
        <f>Inputs!AX117</f>
        <v>0</v>
      </c>
      <c r="AY147" s="200">
        <f>Inputs!AY117</f>
        <v>0</v>
      </c>
      <c r="AZ147" s="200">
        <f>Inputs!AZ117</f>
        <v>0</v>
      </c>
      <c r="BA147" s="200">
        <f>Inputs!BA117</f>
        <v>0</v>
      </c>
      <c r="BB147" s="200">
        <f>Inputs!BB117</f>
        <v>0</v>
      </c>
    </row>
    <row r="148" spans="1:54" ht="15" customHeight="1">
      <c r="A148" s="19"/>
      <c r="D148" s="19"/>
      <c r="P148" s="35"/>
      <c r="Q148" s="35"/>
      <c r="R148" s="35"/>
      <c r="S148" s="35"/>
      <c r="T148" s="35"/>
      <c r="U148" s="35"/>
      <c r="V148" s="35"/>
      <c r="W148" s="35"/>
      <c r="X148" s="35"/>
      <c r="Y148" s="35"/>
      <c r="Z148" s="35"/>
      <c r="AA148" s="35"/>
      <c r="AB148" s="35"/>
      <c r="AC148" s="35"/>
      <c r="AD148" s="35"/>
      <c r="AE148" s="35"/>
      <c r="AF148" s="35"/>
      <c r="AG148" s="35"/>
      <c r="AH148" s="35"/>
      <c r="AI148" s="35"/>
      <c r="AJ148" s="35"/>
      <c r="AK148" s="35"/>
      <c r="AL148" s="35"/>
      <c r="AM148" s="35"/>
      <c r="AN148" s="35"/>
      <c r="AO148" s="35"/>
      <c r="AP148" s="35"/>
      <c r="AQ148" s="35"/>
      <c r="AR148" s="35"/>
      <c r="AS148" s="35"/>
      <c r="AT148" s="35"/>
      <c r="AU148" s="35"/>
      <c r="AV148" s="35"/>
      <c r="AW148" s="35"/>
      <c r="AX148" s="35"/>
      <c r="AY148" s="35"/>
      <c r="AZ148" s="35"/>
      <c r="BA148" s="35"/>
      <c r="BB148" s="35"/>
    </row>
    <row r="149" spans="1:54" ht="15" customHeight="1">
      <c r="A149" s="30"/>
      <c r="D149" s="19"/>
      <c r="E149" s="19" t="s">
        <v>605</v>
      </c>
      <c r="G149" s="5" t="s">
        <v>248</v>
      </c>
      <c r="I149" s="30"/>
      <c r="P149" s="35">
        <f>P144+P147</f>
        <v>-1.968139094972245</v>
      </c>
      <c r="Q149" s="35">
        <f t="shared" ref="Q149:BB149" si="66">Q144+Q147</f>
        <v>-2.0523754482370569</v>
      </c>
      <c r="R149" s="35">
        <f t="shared" si="66"/>
        <v>-2.1402171174216029</v>
      </c>
      <c r="S149" s="35">
        <f t="shared" si="66"/>
        <v>21.973490167038605</v>
      </c>
      <c r="T149" s="35">
        <f t="shared" si="66"/>
        <v>23.011723852867856</v>
      </c>
      <c r="U149" s="35">
        <f t="shared" si="66"/>
        <v>24.901518890845495</v>
      </c>
      <c r="V149" s="35">
        <f t="shared" si="66"/>
        <v>25.967303899373682</v>
      </c>
      <c r="W149" s="35">
        <f t="shared" si="66"/>
        <v>27.078704506266877</v>
      </c>
      <c r="X149" s="35">
        <f t="shared" si="66"/>
        <v>28.237673059135094</v>
      </c>
      <c r="Y149" s="35">
        <f t="shared" si="66"/>
        <v>29.446245466066074</v>
      </c>
      <c r="Z149" s="35">
        <f t="shared" si="66"/>
        <v>30.7065447720137</v>
      </c>
      <c r="AA149" s="35">
        <f t="shared" si="66"/>
        <v>32.020784888255889</v>
      </c>
      <c r="AB149" s="35">
        <f t="shared" si="66"/>
        <v>33.391274481473232</v>
      </c>
      <c r="AC149" s="35">
        <f t="shared" si="66"/>
        <v>34.82042102928029</v>
      </c>
      <c r="AD149" s="35">
        <f t="shared" si="66"/>
        <v>36.310735049333481</v>
      </c>
      <c r="AE149" s="35">
        <f t="shared" si="66"/>
        <v>37.864834509444954</v>
      </c>
      <c r="AF149" s="35">
        <f t="shared" si="66"/>
        <v>39.485449426449208</v>
      </c>
      <c r="AG149" s="35">
        <f t="shared" si="66"/>
        <v>41.17542666190122</v>
      </c>
      <c r="AH149" s="35">
        <f t="shared" si="66"/>
        <v>42.937734923030597</v>
      </c>
      <c r="AI149" s="35">
        <f t="shared" si="66"/>
        <v>44.775469977736293</v>
      </c>
      <c r="AJ149" s="35">
        <f t="shared" si="66"/>
        <v>46.691860092783415</v>
      </c>
      <c r="AK149" s="35">
        <f t="shared" si="66"/>
        <v>48.690271704754544</v>
      </c>
      <c r="AL149" s="35">
        <f t="shared" si="66"/>
        <v>50.774215333718033</v>
      </c>
      <c r="AM149" s="35">
        <f t="shared" si="66"/>
        <v>52.947351750001168</v>
      </c>
      <c r="AN149" s="35">
        <f t="shared" si="66"/>
        <v>55.213498404901209</v>
      </c>
      <c r="AO149" s="35">
        <f t="shared" si="66"/>
        <v>20.226794613232673</v>
      </c>
      <c r="AP149" s="35">
        <f t="shared" si="66"/>
        <v>0</v>
      </c>
      <c r="AQ149" s="35">
        <f t="shared" si="66"/>
        <v>0</v>
      </c>
      <c r="AR149" s="35">
        <f t="shared" si="66"/>
        <v>0</v>
      </c>
      <c r="AS149" s="35">
        <f t="shared" si="66"/>
        <v>0</v>
      </c>
      <c r="AT149" s="35">
        <f t="shared" si="66"/>
        <v>0</v>
      </c>
      <c r="AU149" s="35">
        <f t="shared" si="66"/>
        <v>0</v>
      </c>
      <c r="AV149" s="35">
        <f t="shared" si="66"/>
        <v>0</v>
      </c>
      <c r="AW149" s="35">
        <f t="shared" si="66"/>
        <v>0</v>
      </c>
      <c r="AX149" s="35">
        <f t="shared" si="66"/>
        <v>0</v>
      </c>
      <c r="AY149" s="35">
        <f t="shared" si="66"/>
        <v>0</v>
      </c>
      <c r="AZ149" s="35">
        <f t="shared" si="66"/>
        <v>0</v>
      </c>
      <c r="BA149" s="35">
        <f t="shared" si="66"/>
        <v>0</v>
      </c>
      <c r="BB149" s="35">
        <f t="shared" si="66"/>
        <v>0</v>
      </c>
    </row>
    <row r="150" spans="1:54" ht="15" customHeight="1">
      <c r="A150" s="30"/>
      <c r="D150" s="19"/>
      <c r="E150" s="19" t="s">
        <v>606</v>
      </c>
      <c r="G150" s="5" t="s">
        <v>248</v>
      </c>
      <c r="I150" s="30"/>
      <c r="P150" s="35">
        <f>P145+P147</f>
        <v>-1.968139094972245</v>
      </c>
      <c r="Q150" s="35">
        <f t="shared" ref="Q150:BB150" si="67">Q145+Q147</f>
        <v>-2.0523754482370569</v>
      </c>
      <c r="R150" s="35">
        <f t="shared" si="67"/>
        <v>-2.1402171174216029</v>
      </c>
      <c r="S150" s="35">
        <f t="shared" si="67"/>
        <v>22.764681301535909</v>
      </c>
      <c r="T150" s="35">
        <f t="shared" si="67"/>
        <v>23.249706044693156</v>
      </c>
      <c r="U150" s="35">
        <f t="shared" si="67"/>
        <v>21.956946878294318</v>
      </c>
      <c r="V150" s="35">
        <f t="shared" si="67"/>
        <v>22.551376415832088</v>
      </c>
      <c r="W150" s="35">
        <f t="shared" si="67"/>
        <v>23.165376965165969</v>
      </c>
      <c r="X150" s="35">
        <f t="shared" si="67"/>
        <v>23.799686365869853</v>
      </c>
      <c r="Y150" s="35">
        <f t="shared" si="67"/>
        <v>24.455072340455978</v>
      </c>
      <c r="Z150" s="35">
        <f t="shared" si="67"/>
        <v>25.132333744522544</v>
      </c>
      <c r="AA150" s="35">
        <f t="shared" si="67"/>
        <v>25.832301869917377</v>
      </c>
      <c r="AB150" s="35">
        <f t="shared" si="67"/>
        <v>26.555841803178314</v>
      </c>
      <c r="AC150" s="35">
        <f t="shared" si="67"/>
        <v>27.30385384160769</v>
      </c>
      <c r="AD150" s="35">
        <f t="shared" si="67"/>
        <v>28.077274969439163</v>
      </c>
      <c r="AE150" s="35">
        <f t="shared" si="67"/>
        <v>28.877080396659792</v>
      </c>
      <c r="AF150" s="35">
        <f t="shared" si="67"/>
        <v>29.704285163160463</v>
      </c>
      <c r="AG150" s="35">
        <f t="shared" si="67"/>
        <v>30.55994581100126</v>
      </c>
      <c r="AH150" s="35">
        <f t="shared" si="67"/>
        <v>31.445162127698204</v>
      </c>
      <c r="AI150" s="35">
        <f t="shared" si="67"/>
        <v>32.361078963561567</v>
      </c>
      <c r="AJ150" s="35">
        <f t="shared" si="67"/>
        <v>33.308888126245435</v>
      </c>
      <c r="AK150" s="35">
        <f t="shared" si="67"/>
        <v>34.289830355803915</v>
      </c>
      <c r="AL150" s="35">
        <f t="shared" si="67"/>
        <v>33.828800309243817</v>
      </c>
      <c r="AM150" s="35">
        <f t="shared" si="67"/>
        <v>18.22670267511927</v>
      </c>
      <c r="AN150" s="35">
        <f t="shared" si="67"/>
        <v>19.00680554961437</v>
      </c>
      <c r="AO150" s="35">
        <f t="shared" si="67"/>
        <v>7.7964050116815589</v>
      </c>
      <c r="AP150" s="35">
        <f t="shared" si="67"/>
        <v>0</v>
      </c>
      <c r="AQ150" s="35">
        <f t="shared" si="67"/>
        <v>0</v>
      </c>
      <c r="AR150" s="35">
        <f t="shared" si="67"/>
        <v>0</v>
      </c>
      <c r="AS150" s="35">
        <f t="shared" si="67"/>
        <v>0</v>
      </c>
      <c r="AT150" s="35">
        <f t="shared" si="67"/>
        <v>0</v>
      </c>
      <c r="AU150" s="35">
        <f t="shared" si="67"/>
        <v>0</v>
      </c>
      <c r="AV150" s="35">
        <f t="shared" si="67"/>
        <v>0</v>
      </c>
      <c r="AW150" s="35">
        <f t="shared" si="67"/>
        <v>0</v>
      </c>
      <c r="AX150" s="35">
        <f t="shared" si="67"/>
        <v>0</v>
      </c>
      <c r="AY150" s="35">
        <f t="shared" si="67"/>
        <v>0</v>
      </c>
      <c r="AZ150" s="35">
        <f t="shared" si="67"/>
        <v>0</v>
      </c>
      <c r="BA150" s="35">
        <f t="shared" si="67"/>
        <v>0</v>
      </c>
      <c r="BB150" s="35">
        <f t="shared" si="67"/>
        <v>0</v>
      </c>
    </row>
    <row r="151" spans="1:54" ht="15" customHeight="1">
      <c r="A151" s="19"/>
      <c r="D151" s="19"/>
      <c r="W151" s="65"/>
      <c r="X151" s="65"/>
      <c r="Y151" s="65"/>
      <c r="Z151" s="65"/>
      <c r="AA151" s="65"/>
      <c r="AB151" s="65"/>
      <c r="AC151" s="65"/>
      <c r="AD151" s="65"/>
      <c r="AE151" s="65"/>
      <c r="AF151" s="65"/>
      <c r="AG151" s="65"/>
      <c r="AH151" s="65"/>
      <c r="AI151" s="65"/>
      <c r="AJ151" s="65"/>
      <c r="AK151" s="65"/>
      <c r="AL151" s="65"/>
      <c r="AM151" s="65"/>
      <c r="AN151" s="65"/>
      <c r="AO151" s="65"/>
      <c r="AP151" s="65"/>
      <c r="AQ151" s="65"/>
      <c r="AR151" s="65"/>
      <c r="AS151" s="65"/>
      <c r="AT151" s="65"/>
      <c r="AU151" s="65"/>
      <c r="AV151" s="65"/>
      <c r="AW151" s="65"/>
      <c r="AX151" s="65"/>
      <c r="AY151" s="65"/>
      <c r="AZ151" s="65"/>
      <c r="BA151" s="65"/>
      <c r="BB151" s="65"/>
    </row>
    <row r="152" spans="1:54" s="4" customFormat="1" ht="15" customHeight="1">
      <c r="B152" s="166" t="s">
        <v>46</v>
      </c>
      <c r="C152" s="8"/>
      <c r="D152" s="8"/>
      <c r="E152" s="8"/>
      <c r="F152" s="8"/>
      <c r="G152" s="8"/>
      <c r="H152" s="8"/>
      <c r="I152" s="8"/>
      <c r="J152" s="8"/>
      <c r="K152" s="8"/>
      <c r="L152" s="8"/>
      <c r="M152" s="8"/>
      <c r="N152" s="8"/>
      <c r="O152" s="8"/>
      <c r="P152" s="8"/>
      <c r="Q152" s="8"/>
      <c r="R152" s="8"/>
      <c r="S152" s="8"/>
      <c r="T152" s="8"/>
      <c r="U152" s="8"/>
      <c r="V152" s="8"/>
      <c r="W152" s="8"/>
      <c r="X152" s="8"/>
      <c r="Y152" s="8"/>
      <c r="Z152" s="8"/>
      <c r="AA152" s="8"/>
      <c r="AB152" s="8"/>
      <c r="AC152" s="8"/>
      <c r="AD152" s="8"/>
      <c r="AE152" s="8"/>
      <c r="AF152" s="8"/>
      <c r="AG152" s="8"/>
      <c r="AH152" s="8"/>
      <c r="AI152" s="8"/>
      <c r="AJ152" s="8"/>
      <c r="AK152" s="8"/>
      <c r="AL152" s="8"/>
      <c r="AM152" s="8"/>
      <c r="AN152" s="8"/>
      <c r="AO152" s="8"/>
      <c r="AP152" s="8"/>
      <c r="AQ152" s="8"/>
      <c r="AR152" s="8"/>
      <c r="AS152" s="8"/>
      <c r="AT152" s="8"/>
      <c r="AU152" s="8"/>
      <c r="AV152" s="8"/>
      <c r="AW152" s="8"/>
      <c r="AX152" s="8"/>
      <c r="AY152" s="8"/>
      <c r="AZ152" s="8"/>
      <c r="BA152" s="8"/>
      <c r="BB152" s="8"/>
    </row>
    <row r="153" spans="1:54" ht="15" customHeight="1"/>
  </sheetData>
  <conditionalFormatting sqref="P54:BB54">
    <cfRule type="cellIs" dxfId="5" priority="13" operator="equal">
      <formula>FALSE()</formula>
    </cfRule>
  </conditionalFormatting>
  <pageMargins left="0.23622047244094491" right="0.23622047244094491" top="0.74803149606299213" bottom="0.74803149606299213" header="0.31496062992125984" footer="0.31496062992125984"/>
  <pageSetup paperSize="8" scale="42" orientation="landscape" r:id="rId1"/>
  <headerFooter>
    <oddHeader>&amp;C&amp;"Aptos"&amp;10&amp;K000000 OFFICIAL&amp;1#_x000D_</oddHeader>
    <oddFooter>&amp;C_x000D_&amp;1#&amp;"Aptos"&amp;10&amp;K000000 OFFICIAL</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8">
    <tabColor theme="6" tint="0.59999389629810485"/>
    <pageSetUpPr fitToPage="1"/>
  </sheetPr>
  <dimension ref="A1:BC40"/>
  <sheetViews>
    <sheetView zoomScale="130" zoomScaleNormal="130" workbookViewId="0">
      <pane xSplit="10" ySplit="5" topLeftCell="K6" activePane="bottomRight" state="frozen"/>
      <selection pane="bottomRight" activeCell="K6" sqref="K6"/>
      <selection pane="bottomLeft"/>
      <selection pane="topRight"/>
    </sheetView>
  </sheetViews>
  <sheetFormatPr defaultColWidth="0" defaultRowHeight="15" customHeight="1" zeroHeight="1"/>
  <cols>
    <col min="1" max="3" width="2.7109375" style="14" customWidth="1"/>
    <col min="4" max="4" width="2.7109375" style="19" customWidth="1"/>
    <col min="5" max="5" width="50.7109375" style="19" customWidth="1"/>
    <col min="6" max="6" width="1.7109375" style="19" customWidth="1"/>
    <col min="7" max="7" width="15.7109375" style="19" customWidth="1"/>
    <col min="8" max="8" width="10.7109375" style="19" bestFit="1" customWidth="1"/>
    <col min="9" max="9" width="10.7109375" style="19" customWidth="1"/>
    <col min="10" max="14" width="1.7109375" style="19" customWidth="1"/>
    <col min="15" max="19" width="10.7109375" style="19" customWidth="1"/>
    <col min="20" max="20" width="11" style="19" customWidth="1"/>
    <col min="21" max="54" width="10.7109375" style="19" customWidth="1"/>
    <col min="55" max="55" width="2.7109375" style="19" customWidth="1"/>
    <col min="56" max="16384" width="9" style="19" hidden="1"/>
  </cols>
  <sheetData>
    <row r="1" spans="1:55" s="10" customFormat="1" ht="15" customHeight="1">
      <c r="A1" s="117" t="s">
        <v>37</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c r="I6" s="15"/>
      <c r="J6" s="15"/>
      <c r="K6" s="15"/>
      <c r="L6" s="15"/>
      <c r="M6" s="15"/>
      <c r="N6" s="15"/>
      <c r="O6" s="15"/>
      <c r="P6" s="15"/>
      <c r="Q6" s="15"/>
      <c r="R6" s="15"/>
      <c r="S6" s="15"/>
      <c r="T6" s="15"/>
      <c r="U6" s="15"/>
      <c r="V6" s="15"/>
      <c r="W6" s="15"/>
      <c r="X6" s="15"/>
      <c r="Y6" s="15"/>
      <c r="Z6" s="15"/>
      <c r="AA6" s="15"/>
      <c r="AB6" s="15"/>
      <c r="AC6" s="15"/>
      <c r="AD6" s="15"/>
      <c r="AE6" s="15"/>
      <c r="AF6" s="15"/>
      <c r="AG6" s="15"/>
      <c r="AH6" s="15"/>
      <c r="AI6" s="15"/>
      <c r="AJ6" s="15"/>
      <c r="AK6" s="15"/>
      <c r="AL6" s="15"/>
      <c r="AM6" s="15"/>
      <c r="AN6" s="15"/>
      <c r="AO6" s="15"/>
      <c r="AP6" s="15"/>
      <c r="AQ6" s="15"/>
      <c r="AR6" s="15"/>
      <c r="AS6" s="15"/>
      <c r="AT6" s="15"/>
      <c r="AU6" s="15"/>
      <c r="AV6" s="15"/>
      <c r="AW6" s="15"/>
      <c r="AX6" s="15"/>
      <c r="AY6" s="15"/>
      <c r="AZ6" s="15"/>
      <c r="BA6" s="15"/>
      <c r="BB6" s="15"/>
    </row>
    <row r="7" spans="1:55" s="4" customFormat="1" ht="15" customHeight="1">
      <c r="B7" s="166" t="s">
        <v>607</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c r="I8" s="15"/>
      <c r="J8" s="15"/>
      <c r="K8" s="15"/>
      <c r="L8" s="15"/>
      <c r="M8" s="15"/>
      <c r="N8" s="15"/>
      <c r="O8" s="15"/>
      <c r="P8" s="15"/>
      <c r="Q8" s="15"/>
      <c r="R8" s="15"/>
      <c r="S8" s="15"/>
      <c r="T8" s="15"/>
      <c r="U8" s="15"/>
      <c r="V8" s="15"/>
      <c r="W8" s="15"/>
      <c r="X8" s="15"/>
      <c r="Y8" s="15"/>
      <c r="Z8" s="15"/>
      <c r="AA8" s="15"/>
      <c r="AB8" s="15"/>
      <c r="AC8" s="15"/>
      <c r="AD8" s="15"/>
      <c r="AE8" s="15"/>
      <c r="AF8" s="15"/>
      <c r="AG8" s="15"/>
      <c r="AH8" s="15"/>
      <c r="AI8" s="15"/>
      <c r="AJ8" s="15"/>
      <c r="AK8" s="15"/>
      <c r="AL8" s="15"/>
      <c r="AM8" s="15"/>
      <c r="AN8" s="15"/>
      <c r="AO8" s="15"/>
      <c r="AP8" s="15"/>
      <c r="AQ8" s="15"/>
      <c r="AR8" s="15"/>
      <c r="AS8" s="15"/>
      <c r="AT8" s="15"/>
      <c r="AU8" s="15"/>
      <c r="AV8" s="15"/>
      <c r="AW8" s="15"/>
      <c r="AX8" s="15"/>
      <c r="AY8" s="15"/>
      <c r="AZ8" s="15"/>
      <c r="BA8" s="15"/>
      <c r="BB8" s="15"/>
    </row>
    <row r="9" spans="1:55" s="59" customFormat="1" ht="15" customHeight="1">
      <c r="C9" s="38" t="s">
        <v>149</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ht="15" customHeight="1">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5"/>
      <c r="AH10" s="15"/>
      <c r="AI10" s="15"/>
      <c r="AJ10" s="15"/>
      <c r="AK10" s="15"/>
      <c r="AL10" s="15"/>
      <c r="AM10" s="15"/>
      <c r="AN10" s="15"/>
      <c r="AO10" s="15"/>
      <c r="AP10" s="15"/>
      <c r="AQ10" s="15"/>
      <c r="AR10" s="15"/>
      <c r="AS10" s="15"/>
      <c r="AT10" s="15"/>
      <c r="AU10" s="15"/>
      <c r="AV10" s="15"/>
      <c r="AW10" s="15"/>
      <c r="AX10" s="15"/>
      <c r="AY10" s="15"/>
      <c r="AZ10" s="15"/>
      <c r="BA10" s="15"/>
      <c r="BB10" s="15"/>
    </row>
    <row r="11" spans="1:55" ht="15" customHeight="1">
      <c r="A11" s="5"/>
      <c r="B11" s="5"/>
      <c r="C11" s="5"/>
      <c r="D11" s="5"/>
      <c r="E11" s="5" t="s">
        <v>490</v>
      </c>
      <c r="G11" s="5" t="s">
        <v>248</v>
      </c>
      <c r="H11" s="19" t="s">
        <v>491</v>
      </c>
      <c r="I11" s="18"/>
      <c r="J11" s="15"/>
      <c r="K11" s="15"/>
      <c r="L11" s="15"/>
      <c r="M11" s="15"/>
      <c r="N11" s="15"/>
      <c r="O11" s="31"/>
      <c r="P11" s="184">
        <f>Availability!P58</f>
        <v>29.309156829215333</v>
      </c>
      <c r="Q11" s="184">
        <f>Availability!Q58</f>
        <v>45.564697093203975</v>
      </c>
      <c r="R11" s="184">
        <f>Availability!R58</f>
        <v>47.514866128793109</v>
      </c>
      <c r="S11" s="184">
        <f>Availability!S58</f>
        <v>49.548502399105445</v>
      </c>
      <c r="T11" s="184">
        <f>Availability!T58</f>
        <v>51.699283891367784</v>
      </c>
      <c r="U11" s="184">
        <f>Availability!U58</f>
        <v>54.25051262486371</v>
      </c>
      <c r="V11" s="184">
        <f>Availability!V58</f>
        <v>56.572434565207871</v>
      </c>
      <c r="W11" s="184">
        <f>Availability!W58</f>
        <v>58.99373476459877</v>
      </c>
      <c r="X11" s="184">
        <f>Availability!X58</f>
        <v>61.518666612523596</v>
      </c>
      <c r="Y11" s="184">
        <f>Availability!Y58</f>
        <v>64.151665543539593</v>
      </c>
      <c r="Z11" s="184">
        <f>Availability!Z58</f>
        <v>66.897356828803098</v>
      </c>
      <c r="AA11" s="184">
        <f>Availability!AA58</f>
        <v>69.760563701075853</v>
      </c>
      <c r="AB11" s="184">
        <f>Availability!AB58</f>
        <v>72.746315827481908</v>
      </c>
      <c r="AC11" s="184">
        <f>Availability!AC58</f>
        <v>75.859858144898126</v>
      </c>
      <c r="AD11" s="184">
        <f>Availability!AD58</f>
        <v>79.106660073499754</v>
      </c>
      <c r="AE11" s="184">
        <f>Availability!AE58</f>
        <v>82.49242512464555</v>
      </c>
      <c r="AF11" s="184">
        <f>Availability!AF58</f>
        <v>86.023100919980365</v>
      </c>
      <c r="AG11" s="184">
        <f>Availability!AG58</f>
        <v>89.704889639355528</v>
      </c>
      <c r="AH11" s="184">
        <f>Availability!AH58</f>
        <v>93.54425891591994</v>
      </c>
      <c r="AI11" s="184">
        <f>Availability!AI58</f>
        <v>97.547953197521309</v>
      </c>
      <c r="AJ11" s="184">
        <f>Availability!AJ58</f>
        <v>101.72300559437524</v>
      </c>
      <c r="AK11" s="184">
        <f>Availability!AK58</f>
        <v>106.07675023381447</v>
      </c>
      <c r="AL11" s="184">
        <f>Availability!AL58</f>
        <v>110.61683514382173</v>
      </c>
      <c r="AM11" s="184">
        <f>Availability!AM58</f>
        <v>115.35123568797729</v>
      </c>
      <c r="AN11" s="184">
        <f>Availability!AN58</f>
        <v>120.28826857542272</v>
      </c>
      <c r="AO11" s="184">
        <f>Availability!AO58</f>
        <v>41.297062089176485</v>
      </c>
      <c r="AP11" s="184">
        <f>Availability!AP58</f>
        <v>0</v>
      </c>
      <c r="AQ11" s="184">
        <f>Availability!AQ58</f>
        <v>0</v>
      </c>
      <c r="AR11" s="184">
        <f>Availability!AR58</f>
        <v>0</v>
      </c>
      <c r="AS11" s="184">
        <f>Availability!AS58</f>
        <v>0</v>
      </c>
      <c r="AT11" s="184">
        <f>Availability!AT58</f>
        <v>0</v>
      </c>
      <c r="AU11" s="184">
        <f>Availability!AU58</f>
        <v>0</v>
      </c>
      <c r="AV11" s="184">
        <f>Availability!AV58</f>
        <v>0</v>
      </c>
      <c r="AW11" s="184">
        <f>Availability!AW58</f>
        <v>0</v>
      </c>
      <c r="AX11" s="184">
        <f>Availability!AX58</f>
        <v>0</v>
      </c>
      <c r="AY11" s="184">
        <f>Availability!AY58</f>
        <v>0</v>
      </c>
      <c r="AZ11" s="184">
        <f>Availability!AZ58</f>
        <v>0</v>
      </c>
      <c r="BA11" s="184">
        <f>Availability!BA58</f>
        <v>0</v>
      </c>
      <c r="BB11" s="184">
        <f>Availability!BB58</f>
        <v>0</v>
      </c>
    </row>
    <row r="12" spans="1:55" ht="15" customHeight="1">
      <c r="A12" s="5"/>
      <c r="B12" s="5"/>
      <c r="C12" s="5"/>
      <c r="D12" s="5"/>
      <c r="E12" s="5" t="s">
        <v>492</v>
      </c>
      <c r="G12" s="5" t="s">
        <v>248</v>
      </c>
      <c r="H12" s="19" t="s">
        <v>458</v>
      </c>
      <c r="I12" s="18"/>
      <c r="J12" s="15"/>
      <c r="K12" s="15"/>
      <c r="L12" s="15"/>
      <c r="M12" s="15"/>
      <c r="N12" s="15"/>
      <c r="O12" s="31"/>
      <c r="P12" s="184">
        <f>Availability!P59</f>
        <v>0</v>
      </c>
      <c r="Q12" s="184">
        <f>Availability!Q59</f>
        <v>0</v>
      </c>
      <c r="R12" s="184">
        <f>Availability!R59</f>
        <v>0</v>
      </c>
      <c r="S12" s="184">
        <f>Availability!S59</f>
        <v>24.205308577085852</v>
      </c>
      <c r="T12" s="184">
        <f>Availability!T59</f>
        <v>25.339064090865126</v>
      </c>
      <c r="U12" s="184">
        <f>Availability!U59</f>
        <v>27.328469291029048</v>
      </c>
      <c r="V12" s="184">
        <f>Availability!V59</f>
        <v>28.498127776685092</v>
      </c>
      <c r="W12" s="184">
        <f>Availability!W59</f>
        <v>29.717847645527215</v>
      </c>
      <c r="X12" s="184">
        <f>Availability!X59</f>
        <v>30.989771524755774</v>
      </c>
      <c r="Y12" s="184">
        <f>Availability!Y59</f>
        <v>32.316133746015318</v>
      </c>
      <c r="Z12" s="184">
        <f>Availability!Z59</f>
        <v>33.69926427034477</v>
      </c>
      <c r="AA12" s="184">
        <f>Availability!AA59</f>
        <v>35.141592781115527</v>
      </c>
      <c r="AB12" s="184">
        <f>Availability!AB59</f>
        <v>36.645652952147266</v>
      </c>
      <c r="AC12" s="184">
        <f>Availability!AC59</f>
        <v>38.214086898499168</v>
      </c>
      <c r="AD12" s="184">
        <f>Availability!AD59</f>
        <v>39.84964981775493</v>
      </c>
      <c r="AE12" s="184">
        <f>Availability!AE59</f>
        <v>41.555214829954842</v>
      </c>
      <c r="AF12" s="184">
        <f>Availability!AF59</f>
        <v>43.333778024676917</v>
      </c>
      <c r="AG12" s="184">
        <f>Availability!AG59</f>
        <v>45.188463724133079</v>
      </c>
      <c r="AH12" s="184">
        <f>Availability!AH59</f>
        <v>47.122529971525978</v>
      </c>
      <c r="AI12" s="184">
        <f>Availability!AI59</f>
        <v>49.139374254307278</v>
      </c>
      <c r="AJ12" s="184">
        <f>Availability!AJ59</f>
        <v>51.242539472391634</v>
      </c>
      <c r="AK12" s="184">
        <f>Availability!AK59</f>
        <v>53.435720161809996</v>
      </c>
      <c r="AL12" s="184">
        <f>Availability!AL59</f>
        <v>55.72276898473546</v>
      </c>
      <c r="AM12" s="184">
        <f>Availability!AM59</f>
        <v>58.107703497282138</v>
      </c>
      <c r="AN12" s="184">
        <f>Availability!AN59</f>
        <v>60.594713206965807</v>
      </c>
      <c r="AO12" s="184">
        <f>Availability!AO59</f>
        <v>20.803222651882074</v>
      </c>
      <c r="AP12" s="184">
        <f>Availability!AP59</f>
        <v>0</v>
      </c>
      <c r="AQ12" s="184">
        <f>Availability!AQ59</f>
        <v>0</v>
      </c>
      <c r="AR12" s="184">
        <f>Availability!AR59</f>
        <v>0</v>
      </c>
      <c r="AS12" s="184">
        <f>Availability!AS59</f>
        <v>0</v>
      </c>
      <c r="AT12" s="184">
        <f>Availability!AT59</f>
        <v>0</v>
      </c>
      <c r="AU12" s="184">
        <f>Availability!AU59</f>
        <v>0</v>
      </c>
      <c r="AV12" s="184">
        <f>Availability!AV59</f>
        <v>0</v>
      </c>
      <c r="AW12" s="184">
        <f>Availability!AW59</f>
        <v>0</v>
      </c>
      <c r="AX12" s="184">
        <f>Availability!AX59</f>
        <v>0</v>
      </c>
      <c r="AY12" s="184">
        <f>Availability!AY59</f>
        <v>0</v>
      </c>
      <c r="AZ12" s="184">
        <f>Availability!AZ59</f>
        <v>0</v>
      </c>
      <c r="BA12" s="184">
        <f>Availability!BA59</f>
        <v>0</v>
      </c>
      <c r="BB12" s="184">
        <f>Availability!BB59</f>
        <v>0</v>
      </c>
    </row>
    <row r="13" spans="1:55" ht="15" customHeight="1">
      <c r="A13" s="5"/>
      <c r="B13" s="5"/>
      <c r="C13" s="5"/>
      <c r="D13" s="5"/>
      <c r="E13" s="5" t="s">
        <v>493</v>
      </c>
      <c r="G13" s="5" t="s">
        <v>248</v>
      </c>
      <c r="H13" s="19" t="s">
        <v>460</v>
      </c>
      <c r="I13" s="18"/>
      <c r="J13" s="15"/>
      <c r="K13" s="15"/>
      <c r="L13" s="15"/>
      <c r="M13" s="15"/>
      <c r="N13" s="15"/>
      <c r="O13" s="31"/>
      <c r="P13" s="184">
        <f>Availability!P60</f>
        <v>0</v>
      </c>
      <c r="Q13" s="184">
        <f>Availability!Q60</f>
        <v>0</v>
      </c>
      <c r="R13" s="184">
        <f>Availability!R60</f>
        <v>0</v>
      </c>
      <c r="S13" s="184">
        <f>Availability!S60</f>
        <v>24.996499711583155</v>
      </c>
      <c r="T13" s="184">
        <f>Availability!T60</f>
        <v>25.577046282690425</v>
      </c>
      <c r="U13" s="184">
        <f>Availability!U60</f>
        <v>24.383897278477871</v>
      </c>
      <c r="V13" s="184">
        <f>Availability!V60</f>
        <v>25.082200293143497</v>
      </c>
      <c r="W13" s="184">
        <f>Availability!W60</f>
        <v>25.804520104426306</v>
      </c>
      <c r="X13" s="184">
        <f>Availability!X60</f>
        <v>26.551784831490533</v>
      </c>
      <c r="Y13" s="184">
        <f>Availability!Y60</f>
        <v>27.324960620405221</v>
      </c>
      <c r="Z13" s="184">
        <f>Availability!Z60</f>
        <v>28.125053242853614</v>
      </c>
      <c r="AA13" s="184">
        <f>Availability!AA60</f>
        <v>28.953109762777018</v>
      </c>
      <c r="AB13" s="184">
        <f>Availability!AB60</f>
        <v>29.810220273852348</v>
      </c>
      <c r="AC13" s="184">
        <f>Availability!AC60</f>
        <v>30.697519710826572</v>
      </c>
      <c r="AD13" s="184">
        <f>Availability!AD60</f>
        <v>31.616189737860612</v>
      </c>
      <c r="AE13" s="184">
        <f>Availability!AE60</f>
        <v>32.567460717169681</v>
      </c>
      <c r="AF13" s="184">
        <f>Availability!AF60</f>
        <v>33.552613761388173</v>
      </c>
      <c r="AG13" s="184">
        <f>Availability!AG60</f>
        <v>34.572982873233116</v>
      </c>
      <c r="AH13" s="184">
        <f>Availability!AH60</f>
        <v>35.629957176193585</v>
      </c>
      <c r="AI13" s="184">
        <f>Availability!AI60</f>
        <v>36.724983240132545</v>
      </c>
      <c r="AJ13" s="184">
        <f>Availability!AJ60</f>
        <v>37.859567505853654</v>
      </c>
      <c r="AK13" s="184">
        <f>Availability!AK60</f>
        <v>39.035278812859367</v>
      </c>
      <c r="AL13" s="184">
        <f>Availability!AL60</f>
        <v>38.777353960261244</v>
      </c>
      <c r="AM13" s="184">
        <f>Availability!AM60</f>
        <v>23.38705442240024</v>
      </c>
      <c r="AN13" s="184">
        <f>Availability!AN60</f>
        <v>24.388020351678964</v>
      </c>
      <c r="AO13" s="184">
        <f>Availability!AO60</f>
        <v>8.3728330503309571</v>
      </c>
      <c r="AP13" s="184">
        <f>Availability!AP60</f>
        <v>0</v>
      </c>
      <c r="AQ13" s="184">
        <f>Availability!AQ60</f>
        <v>0</v>
      </c>
      <c r="AR13" s="184">
        <f>Availability!AR60</f>
        <v>0</v>
      </c>
      <c r="AS13" s="184">
        <f>Availability!AS60</f>
        <v>0</v>
      </c>
      <c r="AT13" s="184">
        <f>Availability!AT60</f>
        <v>0</v>
      </c>
      <c r="AU13" s="184">
        <f>Availability!AU60</f>
        <v>0</v>
      </c>
      <c r="AV13" s="184">
        <f>Availability!AV60</f>
        <v>0</v>
      </c>
      <c r="AW13" s="184">
        <f>Availability!AW60</f>
        <v>0</v>
      </c>
      <c r="AX13" s="184">
        <f>Availability!AX60</f>
        <v>0</v>
      </c>
      <c r="AY13" s="184">
        <f>Availability!AY60</f>
        <v>0</v>
      </c>
      <c r="AZ13" s="184">
        <f>Availability!AZ60</f>
        <v>0</v>
      </c>
      <c r="BA13" s="184">
        <f>Availability!BA60</f>
        <v>0</v>
      </c>
      <c r="BB13" s="184">
        <f>Availability!BB60</f>
        <v>0</v>
      </c>
    </row>
    <row r="14" spans="1:55" ht="15" customHeight="1">
      <c r="A14" s="5"/>
      <c r="B14" s="5"/>
      <c r="C14" s="5"/>
      <c r="D14" s="5"/>
      <c r="E14" s="15"/>
      <c r="G14" s="15"/>
      <c r="J14" s="15"/>
      <c r="K14" s="15"/>
      <c r="L14" s="15"/>
      <c r="M14" s="15"/>
      <c r="N14" s="15"/>
      <c r="O14" s="15"/>
      <c r="P14" s="15"/>
      <c r="Q14" s="15"/>
      <c r="R14" s="15"/>
      <c r="S14" s="15"/>
      <c r="T14" s="15"/>
      <c r="U14" s="15"/>
      <c r="V14" s="15"/>
      <c r="W14" s="15"/>
      <c r="X14" s="15"/>
      <c r="Y14" s="15"/>
      <c r="Z14" s="36"/>
      <c r="AA14" s="36"/>
      <c r="AB14" s="15"/>
      <c r="AC14" s="15"/>
      <c r="AD14" s="15"/>
      <c r="AE14" s="15"/>
      <c r="AF14" s="15"/>
      <c r="AG14" s="15"/>
      <c r="AH14" s="15"/>
      <c r="AI14" s="15"/>
      <c r="AJ14" s="15"/>
      <c r="AK14" s="15"/>
      <c r="AL14" s="15"/>
      <c r="AM14" s="15"/>
      <c r="AN14" s="15"/>
      <c r="AO14" s="15"/>
      <c r="AP14" s="15"/>
      <c r="AQ14" s="15"/>
      <c r="AR14" s="15"/>
      <c r="AS14" s="15"/>
      <c r="AT14" s="15"/>
      <c r="AU14" s="15"/>
      <c r="AV14" s="15"/>
      <c r="AW14" s="15"/>
      <c r="AX14" s="15"/>
      <c r="AY14" s="15"/>
      <c r="AZ14" s="15"/>
      <c r="BA14" s="15"/>
      <c r="BB14" s="15"/>
    </row>
    <row r="15" spans="1:55" s="59" customFormat="1" ht="15" customHeight="1">
      <c r="C15" s="38" t="s">
        <v>608</v>
      </c>
      <c r="D15" s="38"/>
      <c r="E15" s="38"/>
      <c r="F15" s="38"/>
      <c r="G15" s="38"/>
      <c r="H15" s="38"/>
      <c r="I15" s="38"/>
      <c r="J15" s="38"/>
      <c r="K15" s="38"/>
      <c r="L15" s="38"/>
      <c r="M15" s="38"/>
      <c r="N15" s="38"/>
      <c r="O15" s="38"/>
      <c r="P15" s="38"/>
      <c r="Q15" s="38"/>
      <c r="R15" s="38"/>
      <c r="S15" s="38"/>
      <c r="T15" s="38"/>
      <c r="U15" s="38"/>
      <c r="V15" s="38"/>
      <c r="W15" s="38"/>
      <c r="X15" s="38"/>
      <c r="Y15" s="38"/>
      <c r="Z15" s="38"/>
      <c r="AA15" s="38"/>
      <c r="AB15" s="38"/>
      <c r="AC15" s="38"/>
      <c r="AD15" s="38"/>
      <c r="AE15" s="38"/>
      <c r="AF15" s="38"/>
      <c r="AG15" s="38"/>
      <c r="AH15" s="38"/>
      <c r="AI15" s="38"/>
      <c r="AJ15" s="38"/>
      <c r="AK15" s="38"/>
      <c r="AL15" s="38"/>
      <c r="AM15" s="38"/>
      <c r="AN15" s="38"/>
      <c r="AO15" s="38"/>
      <c r="AP15" s="38"/>
      <c r="AQ15" s="38"/>
      <c r="AR15" s="38"/>
      <c r="AS15" s="38"/>
      <c r="AT15" s="38"/>
      <c r="AU15" s="38"/>
      <c r="AV15" s="38"/>
      <c r="AW15" s="38"/>
      <c r="AX15" s="38"/>
      <c r="AY15" s="38"/>
      <c r="AZ15" s="38"/>
      <c r="BA15" s="38"/>
      <c r="BB15" s="38"/>
    </row>
    <row r="16" spans="1:55" ht="15" customHeight="1">
      <c r="A16" s="5"/>
      <c r="B16" s="5"/>
      <c r="C16" s="5"/>
      <c r="D16" s="5"/>
      <c r="E16" s="15"/>
      <c r="G16" s="15"/>
      <c r="J16" s="15"/>
      <c r="K16" s="15"/>
      <c r="L16" s="15"/>
      <c r="M16" s="15"/>
      <c r="N16" s="15"/>
      <c r="O16" s="15"/>
      <c r="P16" s="15"/>
      <c r="Q16" s="15"/>
      <c r="R16" s="15"/>
      <c r="S16" s="15"/>
      <c r="T16" s="15"/>
      <c r="U16" s="15"/>
      <c r="V16" s="15"/>
      <c r="W16" s="15"/>
      <c r="X16" s="15"/>
      <c r="Y16" s="15"/>
      <c r="Z16" s="36"/>
      <c r="AA16" s="36"/>
      <c r="AB16" s="15"/>
      <c r="AC16" s="15"/>
      <c r="AD16" s="15"/>
      <c r="AE16" s="15"/>
      <c r="AF16" s="15"/>
      <c r="AG16" s="15"/>
      <c r="AH16" s="15"/>
      <c r="AI16" s="15"/>
      <c r="AJ16" s="15"/>
      <c r="AK16" s="15"/>
      <c r="AL16" s="15"/>
      <c r="AM16" s="15"/>
      <c r="AN16" s="15"/>
      <c r="AO16" s="15"/>
      <c r="AP16" s="15"/>
      <c r="AQ16" s="15"/>
      <c r="AR16" s="15"/>
      <c r="AS16" s="15"/>
      <c r="AT16" s="15"/>
      <c r="AU16" s="15"/>
      <c r="AV16" s="15"/>
      <c r="AW16" s="15"/>
      <c r="AX16" s="15"/>
      <c r="AY16" s="15"/>
      <c r="AZ16" s="15"/>
      <c r="BA16" s="15"/>
      <c r="BB16" s="15"/>
    </row>
    <row r="17" spans="1:54" ht="15" customHeight="1">
      <c r="A17" s="5"/>
      <c r="B17" s="5"/>
      <c r="C17" s="5"/>
      <c r="D17" s="5"/>
      <c r="E17" s="15" t="s">
        <v>609</v>
      </c>
      <c r="G17" s="15"/>
      <c r="I17" s="187">
        <f>Inputs!$I$85</f>
        <v>1</v>
      </c>
      <c r="J17" s="15"/>
      <c r="K17" s="15"/>
      <c r="L17" s="15"/>
      <c r="M17" s="15"/>
      <c r="N17" s="15"/>
      <c r="O17" s="15"/>
      <c r="P17" s="15"/>
      <c r="Q17" s="15"/>
      <c r="R17" s="15"/>
      <c r="S17" s="15"/>
      <c r="T17" s="15"/>
      <c r="U17" s="15"/>
      <c r="V17" s="15"/>
      <c r="W17" s="15"/>
      <c r="X17" s="15"/>
      <c r="Y17" s="15"/>
      <c r="Z17" s="36"/>
      <c r="AA17" s="36"/>
      <c r="AB17" s="15"/>
      <c r="AC17" s="15"/>
      <c r="AD17" s="15"/>
      <c r="AE17" s="15"/>
      <c r="AF17" s="15"/>
      <c r="AG17" s="15"/>
      <c r="AH17" s="15"/>
      <c r="AI17" s="15"/>
      <c r="AJ17" s="15"/>
      <c r="AK17" s="15"/>
      <c r="AL17" s="15"/>
      <c r="AM17" s="15"/>
      <c r="AN17" s="15"/>
      <c r="AO17" s="15"/>
      <c r="AP17" s="15"/>
      <c r="AQ17" s="15"/>
      <c r="AR17" s="15"/>
      <c r="AS17" s="15"/>
      <c r="AT17" s="15"/>
      <c r="AU17" s="15"/>
      <c r="AV17" s="15"/>
      <c r="AW17" s="15"/>
      <c r="AX17" s="15"/>
      <c r="AY17" s="15"/>
      <c r="AZ17" s="15"/>
      <c r="BA17" s="15"/>
      <c r="BB17" s="15"/>
    </row>
    <row r="18" spans="1:54" ht="15" customHeight="1">
      <c r="A18" s="5"/>
      <c r="B18" s="5"/>
      <c r="C18" s="5"/>
      <c r="D18" s="5"/>
      <c r="E18" s="15"/>
      <c r="G18" s="15"/>
      <c r="J18" s="15"/>
      <c r="K18" s="15"/>
      <c r="L18" s="15"/>
      <c r="M18" s="15"/>
      <c r="N18" s="15"/>
      <c r="O18" s="15"/>
      <c r="P18" s="15"/>
      <c r="Q18" s="15"/>
      <c r="R18" s="15"/>
      <c r="S18" s="15"/>
      <c r="T18" s="15"/>
      <c r="U18" s="15"/>
      <c r="V18" s="15"/>
      <c r="W18" s="15"/>
      <c r="X18" s="15"/>
      <c r="Y18" s="15"/>
      <c r="Z18" s="36"/>
      <c r="AA18" s="36"/>
      <c r="AB18" s="15"/>
      <c r="AC18" s="15"/>
      <c r="AD18" s="15"/>
      <c r="AE18" s="15"/>
      <c r="AF18" s="15"/>
      <c r="AG18" s="15"/>
      <c r="AH18" s="15"/>
      <c r="AI18" s="15"/>
      <c r="AJ18" s="15"/>
      <c r="AK18" s="15"/>
      <c r="AL18" s="15"/>
      <c r="AM18" s="15"/>
      <c r="AN18" s="15"/>
      <c r="AO18" s="15"/>
      <c r="AP18" s="15"/>
      <c r="AQ18" s="15"/>
      <c r="AR18" s="15"/>
      <c r="AS18" s="15"/>
      <c r="AT18" s="15"/>
      <c r="AU18" s="15"/>
      <c r="AV18" s="15"/>
      <c r="AW18" s="15"/>
      <c r="AX18" s="15"/>
      <c r="AY18" s="15"/>
      <c r="AZ18" s="15"/>
      <c r="BA18" s="15"/>
      <c r="BB18" s="15"/>
    </row>
    <row r="19" spans="1:54" ht="39.4">
      <c r="A19" s="5"/>
      <c r="B19" s="30"/>
      <c r="C19" s="5"/>
      <c r="D19" s="5"/>
      <c r="E19" s="44" t="s">
        <v>610</v>
      </c>
      <c r="G19" s="5" t="s">
        <v>248</v>
      </c>
      <c r="H19" s="19" t="s">
        <v>611</v>
      </c>
      <c r="J19" s="15"/>
      <c r="K19" s="15"/>
      <c r="L19" s="15"/>
      <c r="M19" s="15"/>
      <c r="N19" s="15"/>
      <c r="O19" s="31"/>
      <c r="P19" s="35">
        <f>$I$17*Assessment!P149</f>
        <v>-1.968139094972245</v>
      </c>
      <c r="Q19" s="35">
        <f>$I$17*Assessment!Q149</f>
        <v>-2.0523754482370569</v>
      </c>
      <c r="R19" s="35">
        <f>$I$17*Assessment!R149</f>
        <v>-2.1402171174216029</v>
      </c>
      <c r="S19" s="35">
        <f>$I$17*Assessment!S149</f>
        <v>21.973490167038605</v>
      </c>
      <c r="T19" s="35">
        <f>$I$17*Assessment!T149</f>
        <v>23.011723852867856</v>
      </c>
      <c r="U19" s="35">
        <f>$I$17*Assessment!U149</f>
        <v>24.901518890845495</v>
      </c>
      <c r="V19" s="35">
        <f>$I$17*Assessment!V149</f>
        <v>25.967303899373682</v>
      </c>
      <c r="W19" s="35">
        <f>$I$17*Assessment!W149</f>
        <v>27.078704506266877</v>
      </c>
      <c r="X19" s="35">
        <f>$I$17*Assessment!X149</f>
        <v>28.237673059135094</v>
      </c>
      <c r="Y19" s="35">
        <f>$I$17*Assessment!Y149</f>
        <v>29.446245466066074</v>
      </c>
      <c r="Z19" s="35">
        <f>$I$17*Assessment!Z149</f>
        <v>30.7065447720137</v>
      </c>
      <c r="AA19" s="35">
        <f>$I$17*Assessment!AA149</f>
        <v>32.020784888255889</v>
      </c>
      <c r="AB19" s="35">
        <f>$I$17*Assessment!AB149</f>
        <v>33.391274481473232</v>
      </c>
      <c r="AC19" s="35">
        <f>$I$17*Assessment!AC149</f>
        <v>34.82042102928029</v>
      </c>
      <c r="AD19" s="35">
        <f>$I$17*Assessment!AD149</f>
        <v>36.310735049333481</v>
      </c>
      <c r="AE19" s="35">
        <f>$I$17*Assessment!AE149</f>
        <v>37.864834509444954</v>
      </c>
      <c r="AF19" s="35">
        <f>$I$17*Assessment!AF149</f>
        <v>39.485449426449208</v>
      </c>
      <c r="AG19" s="35">
        <f>$I$17*Assessment!AG149</f>
        <v>41.17542666190122</v>
      </c>
      <c r="AH19" s="35">
        <f>$I$17*Assessment!AH149</f>
        <v>42.937734923030597</v>
      </c>
      <c r="AI19" s="35">
        <f>$I$17*Assessment!AI149</f>
        <v>44.775469977736293</v>
      </c>
      <c r="AJ19" s="35">
        <f>$I$17*Assessment!AJ149</f>
        <v>46.691860092783415</v>
      </c>
      <c r="AK19" s="35">
        <f>$I$17*Assessment!AK149</f>
        <v>48.690271704754544</v>
      </c>
      <c r="AL19" s="35">
        <f>$I$17*Assessment!AL149</f>
        <v>50.774215333718033</v>
      </c>
      <c r="AM19" s="35">
        <f>$I$17*Assessment!AM149</f>
        <v>52.947351750001168</v>
      </c>
      <c r="AN19" s="35">
        <f>$I$17*Assessment!AN149</f>
        <v>55.213498404901209</v>
      </c>
      <c r="AO19" s="35">
        <f>$I$17*Assessment!AO149</f>
        <v>20.226794613232673</v>
      </c>
      <c r="AP19" s="35">
        <f>$I$17*Assessment!AP149</f>
        <v>0</v>
      </c>
      <c r="AQ19" s="35">
        <f>$I$17*Assessment!AQ149</f>
        <v>0</v>
      </c>
      <c r="AR19" s="35">
        <f>$I$17*Assessment!AR149</f>
        <v>0</v>
      </c>
      <c r="AS19" s="35">
        <f>$I$17*Assessment!AS149</f>
        <v>0</v>
      </c>
      <c r="AT19" s="35">
        <f>$I$17*Assessment!AT149</f>
        <v>0</v>
      </c>
      <c r="AU19" s="35">
        <f>$I$17*Assessment!AU149</f>
        <v>0</v>
      </c>
      <c r="AV19" s="35">
        <f>$I$17*Assessment!AV149</f>
        <v>0</v>
      </c>
      <c r="AW19" s="35">
        <f>$I$17*Assessment!AW149</f>
        <v>0</v>
      </c>
      <c r="AX19" s="35">
        <f>$I$17*Assessment!AX149</f>
        <v>0</v>
      </c>
      <c r="AY19" s="35">
        <f>$I$17*Assessment!AY149</f>
        <v>0</v>
      </c>
      <c r="AZ19" s="35">
        <f>$I$17*Assessment!AZ149</f>
        <v>0</v>
      </c>
      <c r="BA19" s="35">
        <f>$I$17*Assessment!BA149</f>
        <v>0</v>
      </c>
      <c r="BB19" s="35">
        <f>$I$17*Assessment!BB149</f>
        <v>0</v>
      </c>
    </row>
    <row r="20" spans="1:54" ht="39.4">
      <c r="A20" s="5"/>
      <c r="B20" s="30"/>
      <c r="C20" s="5"/>
      <c r="D20" s="5"/>
      <c r="E20" s="44" t="s">
        <v>612</v>
      </c>
      <c r="G20" s="5" t="s">
        <v>248</v>
      </c>
      <c r="H20" s="19" t="s">
        <v>611</v>
      </c>
      <c r="J20" s="15"/>
      <c r="K20" s="15"/>
      <c r="L20" s="15"/>
      <c r="M20" s="15"/>
      <c r="N20" s="15"/>
      <c r="O20" s="31"/>
      <c r="P20" s="35">
        <f>$I$17*Assessment!P150</f>
        <v>-1.968139094972245</v>
      </c>
      <c r="Q20" s="35">
        <f>$I$17*Assessment!Q150</f>
        <v>-2.0523754482370569</v>
      </c>
      <c r="R20" s="35">
        <f>$I$17*Assessment!R150</f>
        <v>-2.1402171174216029</v>
      </c>
      <c r="S20" s="35">
        <f>$I$17*Assessment!S150</f>
        <v>22.764681301535909</v>
      </c>
      <c r="T20" s="35">
        <f>$I$17*Assessment!T150</f>
        <v>23.249706044693156</v>
      </c>
      <c r="U20" s="35">
        <f>$I$17*Assessment!U150</f>
        <v>21.956946878294318</v>
      </c>
      <c r="V20" s="35">
        <f>$I$17*Assessment!V150</f>
        <v>22.551376415832088</v>
      </c>
      <c r="W20" s="35">
        <f>$I$17*Assessment!W150</f>
        <v>23.165376965165969</v>
      </c>
      <c r="X20" s="35">
        <f>$I$17*Assessment!X150</f>
        <v>23.799686365869853</v>
      </c>
      <c r="Y20" s="35">
        <f>$I$17*Assessment!Y150</f>
        <v>24.455072340455978</v>
      </c>
      <c r="Z20" s="35">
        <f>$I$17*Assessment!Z150</f>
        <v>25.132333744522544</v>
      </c>
      <c r="AA20" s="35">
        <f>$I$17*Assessment!AA150</f>
        <v>25.832301869917377</v>
      </c>
      <c r="AB20" s="35">
        <f>$I$17*Assessment!AB150</f>
        <v>26.555841803178314</v>
      </c>
      <c r="AC20" s="35">
        <f>$I$17*Assessment!AC150</f>
        <v>27.30385384160769</v>
      </c>
      <c r="AD20" s="35">
        <f>$I$17*Assessment!AD150</f>
        <v>28.077274969439163</v>
      </c>
      <c r="AE20" s="35">
        <f>$I$17*Assessment!AE150</f>
        <v>28.877080396659792</v>
      </c>
      <c r="AF20" s="35">
        <f>$I$17*Assessment!AF150</f>
        <v>29.704285163160463</v>
      </c>
      <c r="AG20" s="35">
        <f>$I$17*Assessment!AG150</f>
        <v>30.55994581100126</v>
      </c>
      <c r="AH20" s="35">
        <f>$I$17*Assessment!AH150</f>
        <v>31.445162127698204</v>
      </c>
      <c r="AI20" s="35">
        <f>$I$17*Assessment!AI150</f>
        <v>32.361078963561567</v>
      </c>
      <c r="AJ20" s="35">
        <f>$I$17*Assessment!AJ150</f>
        <v>33.308888126245435</v>
      </c>
      <c r="AK20" s="35">
        <f>$I$17*Assessment!AK150</f>
        <v>34.289830355803915</v>
      </c>
      <c r="AL20" s="35">
        <f>$I$17*Assessment!AL150</f>
        <v>33.828800309243817</v>
      </c>
      <c r="AM20" s="35">
        <f>$I$17*Assessment!AM150</f>
        <v>18.22670267511927</v>
      </c>
      <c r="AN20" s="35">
        <f>$I$17*Assessment!AN150</f>
        <v>19.00680554961437</v>
      </c>
      <c r="AO20" s="35">
        <f>$I$17*Assessment!AO150</f>
        <v>7.7964050116815589</v>
      </c>
      <c r="AP20" s="35">
        <f>$I$17*Assessment!AP150</f>
        <v>0</v>
      </c>
      <c r="AQ20" s="35">
        <f>$I$17*Assessment!AQ150</f>
        <v>0</v>
      </c>
      <c r="AR20" s="35">
        <f>$I$17*Assessment!AR150</f>
        <v>0</v>
      </c>
      <c r="AS20" s="35">
        <f>$I$17*Assessment!AS150</f>
        <v>0</v>
      </c>
      <c r="AT20" s="35">
        <f>$I$17*Assessment!AT150</f>
        <v>0</v>
      </c>
      <c r="AU20" s="35">
        <f>$I$17*Assessment!AU150</f>
        <v>0</v>
      </c>
      <c r="AV20" s="35">
        <f>$I$17*Assessment!AV150</f>
        <v>0</v>
      </c>
      <c r="AW20" s="35">
        <f>$I$17*Assessment!AW150</f>
        <v>0</v>
      </c>
      <c r="AX20" s="35">
        <f>$I$17*Assessment!AX150</f>
        <v>0</v>
      </c>
      <c r="AY20" s="35">
        <f>$I$17*Assessment!AY150</f>
        <v>0</v>
      </c>
      <c r="AZ20" s="35">
        <f>$I$17*Assessment!AZ150</f>
        <v>0</v>
      </c>
      <c r="BA20" s="35">
        <f>$I$17*Assessment!BA150</f>
        <v>0</v>
      </c>
      <c r="BB20" s="35">
        <f>$I$17*Assessment!BB150</f>
        <v>0</v>
      </c>
    </row>
    <row r="21" spans="1:54" ht="15" customHeight="1">
      <c r="A21" s="5"/>
      <c r="B21" s="5"/>
      <c r="C21" s="5"/>
      <c r="D21" s="5"/>
      <c r="E21" s="15"/>
      <c r="G21" s="15"/>
      <c r="J21" s="15"/>
      <c r="K21" s="15"/>
      <c r="L21" s="15"/>
      <c r="M21" s="15"/>
      <c r="N21" s="15"/>
      <c r="O21" s="15"/>
      <c r="P21" s="218"/>
      <c r="Q21" s="218"/>
      <c r="R21" s="218"/>
      <c r="S21" s="218"/>
      <c r="T21" s="218"/>
      <c r="U21" s="218"/>
      <c r="V21" s="218"/>
      <c r="W21" s="218"/>
      <c r="X21" s="218"/>
      <c r="Y21" s="218"/>
      <c r="Z21" s="218"/>
      <c r="AA21" s="218"/>
      <c r="AB21" s="35"/>
      <c r="AC21" s="35"/>
      <c r="AD21" s="35"/>
      <c r="AE21" s="35"/>
      <c r="AF21" s="35"/>
      <c r="AG21" s="35"/>
      <c r="AH21" s="35"/>
      <c r="AI21" s="35"/>
      <c r="AJ21" s="35"/>
      <c r="AK21" s="35"/>
      <c r="AL21" s="35"/>
      <c r="AM21" s="35"/>
      <c r="AN21" s="35"/>
      <c r="AO21" s="35"/>
      <c r="AP21" s="35"/>
      <c r="AQ21" s="35"/>
      <c r="AR21" s="35"/>
      <c r="AS21" s="35"/>
      <c r="AT21" s="35"/>
      <c r="AU21" s="35"/>
      <c r="AV21" s="35"/>
      <c r="AW21" s="35"/>
      <c r="AX21" s="35"/>
      <c r="AY21" s="35"/>
      <c r="AZ21" s="35"/>
      <c r="BA21" s="35"/>
      <c r="BB21" s="35"/>
    </row>
    <row r="22" spans="1:54" ht="15" customHeight="1">
      <c r="A22" s="5"/>
      <c r="B22" s="5"/>
      <c r="C22" s="5"/>
      <c r="D22" s="5"/>
      <c r="E22" s="15" t="s">
        <v>570</v>
      </c>
      <c r="G22" s="15"/>
      <c r="H22" s="19" t="s">
        <v>571</v>
      </c>
      <c r="I22" s="30"/>
      <c r="J22" s="15"/>
      <c r="K22" s="15"/>
      <c r="L22" s="15"/>
      <c r="M22" s="15"/>
      <c r="N22" s="15"/>
      <c r="O22" s="31"/>
      <c r="P22" s="200">
        <f>Assessment!P95</f>
        <v>0</v>
      </c>
      <c r="Q22" s="200">
        <f>Assessment!Q95</f>
        <v>0</v>
      </c>
      <c r="R22" s="200">
        <f>Assessment!R95</f>
        <v>0</v>
      </c>
      <c r="S22" s="200">
        <f>Assessment!S95</f>
        <v>0</v>
      </c>
      <c r="T22" s="200">
        <f>Assessment!T95</f>
        <v>0</v>
      </c>
      <c r="U22" s="200">
        <f>Assessment!U95</f>
        <v>0</v>
      </c>
      <c r="V22" s="200">
        <f>Assessment!V95</f>
        <v>0</v>
      </c>
      <c r="W22" s="200">
        <f>Assessment!W95</f>
        <v>0</v>
      </c>
      <c r="X22" s="200">
        <f>Assessment!X95</f>
        <v>0</v>
      </c>
      <c r="Y22" s="200">
        <f>Assessment!Y95</f>
        <v>0</v>
      </c>
      <c r="Z22" s="200">
        <f>Assessment!Z95</f>
        <v>0</v>
      </c>
      <c r="AA22" s="200">
        <f>Assessment!AA95</f>
        <v>0</v>
      </c>
      <c r="AB22" s="200">
        <f>Assessment!AB95</f>
        <v>0</v>
      </c>
      <c r="AC22" s="200">
        <f>Assessment!AC95</f>
        <v>0</v>
      </c>
      <c r="AD22" s="200">
        <f>Assessment!AD95</f>
        <v>0</v>
      </c>
      <c r="AE22" s="200">
        <f>Assessment!AE95</f>
        <v>0</v>
      </c>
      <c r="AF22" s="200">
        <f>Assessment!AF95</f>
        <v>0</v>
      </c>
      <c r="AG22" s="200">
        <f>Assessment!AG95</f>
        <v>0</v>
      </c>
      <c r="AH22" s="200">
        <f>Assessment!AH95</f>
        <v>0</v>
      </c>
      <c r="AI22" s="200">
        <f>Assessment!AI95</f>
        <v>0</v>
      </c>
      <c r="AJ22" s="200">
        <f>Assessment!AJ95</f>
        <v>0</v>
      </c>
      <c r="AK22" s="200">
        <f>Assessment!AK95</f>
        <v>0</v>
      </c>
      <c r="AL22" s="200">
        <f>Assessment!AL95</f>
        <v>0</v>
      </c>
      <c r="AM22" s="200">
        <f>Assessment!AM95</f>
        <v>0</v>
      </c>
      <c r="AN22" s="200">
        <f>Assessment!AN95</f>
        <v>0</v>
      </c>
      <c r="AO22" s="200">
        <f>Assessment!AO95</f>
        <v>0</v>
      </c>
      <c r="AP22" s="200">
        <f>Assessment!AP95</f>
        <v>0</v>
      </c>
      <c r="AQ22" s="200">
        <f>Assessment!AQ95</f>
        <v>0</v>
      </c>
      <c r="AR22" s="200">
        <f>Assessment!AR95</f>
        <v>0</v>
      </c>
      <c r="AS22" s="200">
        <f>Assessment!AS95</f>
        <v>0</v>
      </c>
      <c r="AT22" s="200">
        <f>Assessment!AT95</f>
        <v>0</v>
      </c>
      <c r="AU22" s="200">
        <f>Assessment!AU95</f>
        <v>0</v>
      </c>
      <c r="AV22" s="200">
        <f>Assessment!AV95</f>
        <v>0</v>
      </c>
      <c r="AW22" s="200">
        <f>Assessment!AW95</f>
        <v>0</v>
      </c>
      <c r="AX22" s="200">
        <f>Assessment!AX95</f>
        <v>0</v>
      </c>
      <c r="AY22" s="200">
        <f>Assessment!AY95</f>
        <v>0</v>
      </c>
      <c r="AZ22" s="200">
        <f>Assessment!AZ95</f>
        <v>0</v>
      </c>
      <c r="BA22" s="200">
        <f>Assessment!BA95</f>
        <v>0</v>
      </c>
      <c r="BB22" s="200">
        <f>Assessment!BB95</f>
        <v>0</v>
      </c>
    </row>
    <row r="23" spans="1:54" ht="15" customHeight="1">
      <c r="A23" s="5"/>
      <c r="B23" s="5"/>
      <c r="C23" s="5"/>
      <c r="D23" s="5"/>
      <c r="E23" s="19" t="s">
        <v>590</v>
      </c>
      <c r="H23" s="19" t="s">
        <v>571</v>
      </c>
      <c r="I23" s="30"/>
      <c r="J23" s="15"/>
      <c r="K23" s="15"/>
      <c r="L23" s="15"/>
      <c r="M23" s="15"/>
      <c r="N23" s="15"/>
      <c r="O23" s="31"/>
      <c r="P23" s="200">
        <f>Assessment!P126</f>
        <v>0</v>
      </c>
      <c r="Q23" s="200">
        <f>Assessment!Q126</f>
        <v>0</v>
      </c>
      <c r="R23" s="200">
        <f>Assessment!R126</f>
        <v>0</v>
      </c>
      <c r="S23" s="200">
        <f>Assessment!S126</f>
        <v>0.79119113449730349</v>
      </c>
      <c r="T23" s="200">
        <f>Assessment!T126</f>
        <v>1.0704735035433621</v>
      </c>
      <c r="U23" s="200">
        <f>Assessment!U126</f>
        <v>1.1263522204283256</v>
      </c>
      <c r="V23" s="200">
        <f>Assessment!V126</f>
        <v>1.1851478063346843</v>
      </c>
      <c r="W23" s="200">
        <f>Assessment!W126</f>
        <v>1.2470125218253547</v>
      </c>
      <c r="X23" s="200">
        <f>Assessment!X126</f>
        <v>1.3121065754646382</v>
      </c>
      <c r="Y23" s="200">
        <f>Assessment!Y126</f>
        <v>1.3805985387038922</v>
      </c>
      <c r="Z23" s="200">
        <f>Assessment!Z126</f>
        <v>1.4526657824242353</v>
      </c>
      <c r="AA23" s="200">
        <f>Assessment!AA126</f>
        <v>1.5284949362667803</v>
      </c>
      <c r="AB23" s="200">
        <f>Assessment!AB126</f>
        <v>1.6082823719399062</v>
      </c>
      <c r="AC23" s="200">
        <f>Assessment!AC126</f>
        <v>1.6922347117551693</v>
      </c>
      <c r="AD23" s="200">
        <f>Assessment!AD126</f>
        <v>1.7805693637087892</v>
      </c>
      <c r="AE23" s="200">
        <f>Assessment!AE126</f>
        <v>1.873515084494388</v>
      </c>
      <c r="AF23" s="200">
        <f>Assessment!AF126</f>
        <v>1.9713125719049951</v>
      </c>
      <c r="AG23" s="200">
        <f>Assessment!AG126</f>
        <v>2.0742150881584358</v>
      </c>
      <c r="AH23" s="200">
        <f>Assessment!AH126</f>
        <v>2.1824891157603061</v>
      </c>
      <c r="AI23" s="200">
        <f>Assessment!AI126</f>
        <v>2.2964150476029941</v>
      </c>
      <c r="AJ23" s="200">
        <f>Assessment!AJ126</f>
        <v>2.4162879130878703</v>
      </c>
      <c r="AK23" s="200">
        <f>Assessment!AK126</f>
        <v>2.5424181421510572</v>
      </c>
      <c r="AL23" s="200">
        <f>Assessment!AL126</f>
        <v>2.6751323691713425</v>
      </c>
      <c r="AM23" s="200">
        <f>Assessment!AM126</f>
        <v>2.8147742788420866</v>
      </c>
      <c r="AN23" s="200">
        <f>Assessment!AN126</f>
        <v>2.9617054961976437</v>
      </c>
      <c r="AO23" s="200">
        <f>Assessment!AO126</f>
        <v>3.1163065230991607</v>
      </c>
      <c r="AP23" s="200">
        <f>Assessment!AP126</f>
        <v>3.2789777236049367</v>
      </c>
      <c r="AQ23" s="200">
        <f>Assessment!AQ126</f>
        <v>3.4501403607771142</v>
      </c>
      <c r="AR23" s="200">
        <f>Assessment!AR126</f>
        <v>3.6302376876096796</v>
      </c>
      <c r="AS23" s="200">
        <f>Assessment!AS126</f>
        <v>3.8197360949029049</v>
      </c>
      <c r="AT23" s="200">
        <f>Assessment!AT126</f>
        <v>4.0191263190568369</v>
      </c>
      <c r="AU23" s="200">
        <f>Assessment!AU126</f>
        <v>4.2289247129116037</v>
      </c>
      <c r="AV23" s="200">
        <f>Assessment!AV126</f>
        <v>4.4496745829255895</v>
      </c>
      <c r="AW23" s="200">
        <f>Assessment!AW126</f>
        <v>4.6819475961543056</v>
      </c>
      <c r="AX23" s="200">
        <f>Assessment!AX126</f>
        <v>4.9263452606735605</v>
      </c>
      <c r="AY23" s="200">
        <f>Assessment!AY126</f>
        <v>5.1835004832807208</v>
      </c>
      <c r="AZ23" s="200">
        <f>Assessment!AZ126</f>
        <v>5.4540792085079746</v>
      </c>
      <c r="BA23" s="200">
        <f>Assessment!BA126</f>
        <v>5.7387821431920907</v>
      </c>
      <c r="BB23" s="200">
        <f>Assessment!BB126</f>
        <v>6.0383465710667181</v>
      </c>
    </row>
    <row r="24" spans="1:54" ht="15" customHeight="1">
      <c r="A24" s="5"/>
      <c r="B24" s="5"/>
      <c r="C24" s="5"/>
      <c r="D24" s="5"/>
      <c r="E24" s="15"/>
      <c r="G24" s="15"/>
      <c r="J24" s="15"/>
      <c r="K24" s="15"/>
      <c r="L24" s="15"/>
      <c r="M24" s="15"/>
      <c r="N24" s="15"/>
      <c r="O24" s="15"/>
      <c r="P24" s="15"/>
      <c r="Q24" s="15"/>
      <c r="R24" s="15"/>
      <c r="S24" s="15"/>
      <c r="T24" s="15"/>
      <c r="U24" s="15"/>
      <c r="V24" s="15"/>
      <c r="W24" s="15"/>
      <c r="X24" s="15"/>
      <c r="Y24" s="15"/>
      <c r="Z24" s="36"/>
      <c r="AA24" s="36"/>
      <c r="AB24" s="15"/>
      <c r="AC24" s="15"/>
      <c r="AD24" s="15"/>
      <c r="AE24" s="15"/>
      <c r="AF24" s="15"/>
      <c r="AG24" s="15"/>
      <c r="AH24" s="15"/>
      <c r="AI24" s="15"/>
      <c r="AJ24" s="15"/>
      <c r="AK24" s="15"/>
      <c r="AL24" s="15"/>
      <c r="AM24" s="15"/>
      <c r="AN24" s="15"/>
      <c r="AO24" s="15"/>
      <c r="AP24" s="15"/>
      <c r="AQ24" s="15"/>
      <c r="AR24" s="15"/>
      <c r="AS24" s="15"/>
      <c r="AT24" s="15"/>
      <c r="AU24" s="15"/>
      <c r="AV24" s="15"/>
      <c r="AW24" s="15"/>
      <c r="AX24" s="15"/>
      <c r="AY24" s="15"/>
      <c r="AZ24" s="15"/>
      <c r="BA24" s="15"/>
      <c r="BB24" s="15"/>
    </row>
    <row r="25" spans="1:54" s="4" customFormat="1" ht="15" customHeight="1">
      <c r="B25" s="166" t="s">
        <v>46</v>
      </c>
      <c r="C25" s="8"/>
      <c r="D25" s="8"/>
      <c r="E25" s="8"/>
      <c r="F25" s="8"/>
      <c r="G25" s="8"/>
      <c r="H25" s="8"/>
      <c r="I25" s="8"/>
      <c r="J25" s="8"/>
      <c r="K25" s="8"/>
      <c r="L25" s="8"/>
      <c r="M25" s="8"/>
      <c r="N25" s="8"/>
      <c r="O25" s="8"/>
      <c r="P25" s="8"/>
      <c r="Q25" s="8"/>
      <c r="R25" s="8"/>
      <c r="S25" s="8"/>
      <c r="T25" s="8"/>
      <c r="U25" s="8"/>
      <c r="V25" s="8"/>
      <c r="W25" s="8"/>
      <c r="X25" s="8"/>
      <c r="Y25" s="8"/>
      <c r="Z25" s="8"/>
      <c r="AA25" s="8"/>
      <c r="AB25" s="8"/>
      <c r="AC25" s="8"/>
      <c r="AD25" s="8"/>
      <c r="AE25" s="8"/>
      <c r="AF25" s="8"/>
      <c r="AG25" s="8"/>
      <c r="AH25" s="8"/>
      <c r="AI25" s="8"/>
      <c r="AJ25" s="8"/>
      <c r="AK25" s="8"/>
      <c r="AL25" s="8"/>
      <c r="AM25" s="8"/>
      <c r="AN25" s="8"/>
      <c r="AO25" s="8"/>
      <c r="AP25" s="8"/>
      <c r="AQ25" s="8"/>
      <c r="AR25" s="8"/>
      <c r="AS25" s="8"/>
      <c r="AT25" s="8"/>
      <c r="AU25" s="8"/>
      <c r="AV25" s="8"/>
      <c r="AW25" s="8"/>
      <c r="AX25" s="8"/>
      <c r="AY25" s="8"/>
      <c r="AZ25" s="8"/>
      <c r="BA25" s="8"/>
      <c r="BB25" s="8"/>
    </row>
    <row r="26" spans="1:54" ht="15" customHeight="1"/>
    <row r="27" spans="1:54" ht="15" customHeight="1"/>
    <row r="28" spans="1:54" ht="15" hidden="1" customHeight="1">
      <c r="T28" s="73"/>
    </row>
    <row r="40" ht="13.5" hidden="1" customHeight="1"/>
  </sheetData>
  <pageMargins left="0.23622047244094491" right="0.23622047244094491" top="0.74803149606299213" bottom="0.74803149606299213" header="0.31496062992125984" footer="0.31496062992125984"/>
  <pageSetup paperSize="8" scale="43" fitToHeight="0" orientation="landscape" r:id="rId1"/>
  <headerFooter>
    <oddHeader>&amp;C&amp;"Aptos"&amp;10&amp;K000000 OFFICIAL&amp;1#_x000D_</oddHeader>
    <oddFooter>&amp;C_x000D_&amp;1#&amp;"Aptos"&amp;10&amp;K000000 OFFICIAL</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4011B-CCFB-4C3F-9EAE-6CBAD7667A76}">
  <sheetPr>
    <tabColor theme="7" tint="0.59999389629810485"/>
    <pageSetUpPr fitToPage="1"/>
  </sheetPr>
  <dimension ref="A1:BC65"/>
  <sheetViews>
    <sheetView zoomScale="115" zoomScaleNormal="115" workbookViewId="0">
      <pane xSplit="10" ySplit="5" topLeftCell="K6" activePane="bottomRight" state="frozen"/>
      <selection pane="bottomRight" activeCell="K6" sqref="K6"/>
      <selection pane="bottomLeft"/>
      <selection pane="topRight"/>
    </sheetView>
  </sheetViews>
  <sheetFormatPr defaultColWidth="0" defaultRowHeight="15" customHeight="1" zeroHeight="1"/>
  <cols>
    <col min="1" max="1" width="2.7109375" style="14" customWidth="1"/>
    <col min="2" max="2" width="2.7109375" style="30" customWidth="1"/>
    <col min="3" max="3" width="2.7109375" style="19" customWidth="1"/>
    <col min="4" max="4" width="2.7109375" style="30" customWidth="1"/>
    <col min="5" max="5" width="52.42578125" style="19" bestFit="1" customWidth="1"/>
    <col min="6" max="6" width="1.7109375" style="19" customWidth="1"/>
    <col min="7" max="7" width="15.7109375" style="19" customWidth="1"/>
    <col min="8" max="8" width="12" style="19" customWidth="1"/>
    <col min="9" max="9" width="10.7109375" style="19" customWidth="1"/>
    <col min="10" max="11" width="1.7109375" style="19" customWidth="1"/>
    <col min="12" max="15" width="11" style="19" customWidth="1"/>
    <col min="16" max="54" width="10.7109375" style="19" customWidth="1"/>
    <col min="55" max="55" width="2.7109375" style="19" customWidth="1"/>
    <col min="56" max="16384" width="9" style="19" hidden="1"/>
  </cols>
  <sheetData>
    <row r="1" spans="1:55" s="10" customFormat="1" ht="14.25">
      <c r="A1" s="117" t="s">
        <v>39</v>
      </c>
      <c r="H1" s="9" t="s">
        <v>122</v>
      </c>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row>
    <row r="2" spans="1:55" s="10" customFormat="1" ht="15" customHeight="1">
      <c r="E2" s="9" t="s">
        <v>123</v>
      </c>
      <c r="F2" s="9"/>
      <c r="G2" s="9" t="s">
        <v>124</v>
      </c>
      <c r="H2" s="9" t="s">
        <v>125</v>
      </c>
      <c r="I2" s="13" t="s">
        <v>126</v>
      </c>
      <c r="O2" s="9" t="s">
        <v>127</v>
      </c>
    </row>
    <row r="3" spans="1:55" s="10" customFormat="1" ht="15" customHeight="1">
      <c r="E3" s="49" t="s">
        <v>128</v>
      </c>
      <c r="F3" s="9"/>
      <c r="G3" s="9"/>
      <c r="H3" s="9"/>
      <c r="I3" s="9"/>
      <c r="O3" s="58">
        <f>Inputs!O3</f>
        <v>44197</v>
      </c>
      <c r="P3" s="58">
        <f>Inputs!P3</f>
        <v>44562</v>
      </c>
      <c r="Q3" s="58">
        <f>Inputs!Q3</f>
        <v>44927</v>
      </c>
      <c r="R3" s="58">
        <f>Inputs!R3</f>
        <v>45292</v>
      </c>
      <c r="S3" s="58">
        <f>Inputs!S3</f>
        <v>45658</v>
      </c>
      <c r="T3" s="58">
        <f>Inputs!T3</f>
        <v>46023</v>
      </c>
      <c r="U3" s="58">
        <f>Inputs!U3</f>
        <v>46388</v>
      </c>
      <c r="V3" s="58">
        <f>Inputs!V3</f>
        <v>46753</v>
      </c>
      <c r="W3" s="58">
        <f>Inputs!W3</f>
        <v>47119</v>
      </c>
      <c r="X3" s="58">
        <f>Inputs!X3</f>
        <v>47484</v>
      </c>
      <c r="Y3" s="58">
        <f>Inputs!Y3</f>
        <v>47849</v>
      </c>
      <c r="Z3" s="58">
        <f>Inputs!Z3</f>
        <v>48214</v>
      </c>
      <c r="AA3" s="58">
        <f>Inputs!AA3</f>
        <v>48580</v>
      </c>
      <c r="AB3" s="58">
        <f>Inputs!AB3</f>
        <v>48945</v>
      </c>
      <c r="AC3" s="58">
        <f>Inputs!AC3</f>
        <v>49310</v>
      </c>
      <c r="AD3" s="58">
        <f>Inputs!AD3</f>
        <v>49675</v>
      </c>
      <c r="AE3" s="58">
        <f>Inputs!AE3</f>
        <v>50041</v>
      </c>
      <c r="AF3" s="58">
        <f>Inputs!AF3</f>
        <v>50406</v>
      </c>
      <c r="AG3" s="58">
        <f>Inputs!AG3</f>
        <v>50771</v>
      </c>
      <c r="AH3" s="58">
        <f>Inputs!AH3</f>
        <v>51136</v>
      </c>
      <c r="AI3" s="58">
        <f>Inputs!AI3</f>
        <v>51502</v>
      </c>
      <c r="AJ3" s="58">
        <f>Inputs!AJ3</f>
        <v>51867</v>
      </c>
      <c r="AK3" s="58">
        <f>Inputs!AK3</f>
        <v>52232</v>
      </c>
      <c r="AL3" s="58">
        <f>Inputs!AL3</f>
        <v>52597</v>
      </c>
      <c r="AM3" s="58">
        <f>Inputs!AM3</f>
        <v>52963</v>
      </c>
      <c r="AN3" s="58">
        <f>Inputs!AN3</f>
        <v>53328</v>
      </c>
      <c r="AO3" s="58">
        <f>Inputs!AO3</f>
        <v>53693</v>
      </c>
      <c r="AP3" s="58">
        <f>Inputs!AP3</f>
        <v>54058</v>
      </c>
      <c r="AQ3" s="58">
        <f>Inputs!AQ3</f>
        <v>54424</v>
      </c>
      <c r="AR3" s="58">
        <f>Inputs!AR3</f>
        <v>54789</v>
      </c>
      <c r="AS3" s="58">
        <f>Inputs!AS3</f>
        <v>55154</v>
      </c>
      <c r="AT3" s="58">
        <f>Inputs!AT3</f>
        <v>55519</v>
      </c>
      <c r="AU3" s="58">
        <f>Inputs!AU3</f>
        <v>55885</v>
      </c>
      <c r="AV3" s="58">
        <f>Inputs!AV3</f>
        <v>56250</v>
      </c>
      <c r="AW3" s="58">
        <f>Inputs!AW3</f>
        <v>56615</v>
      </c>
      <c r="AX3" s="58">
        <f>Inputs!AX3</f>
        <v>56980</v>
      </c>
      <c r="AY3" s="58">
        <f>Inputs!AY3</f>
        <v>57346</v>
      </c>
      <c r="AZ3" s="58">
        <f>Inputs!AZ3</f>
        <v>57711</v>
      </c>
      <c r="BA3" s="58">
        <f>Inputs!BA3</f>
        <v>58076</v>
      </c>
      <c r="BB3" s="58">
        <f>Inputs!BB3</f>
        <v>58441</v>
      </c>
    </row>
    <row r="4" spans="1:55" s="49" customFormat="1" ht="15" customHeight="1">
      <c r="E4" s="49" t="s">
        <v>129</v>
      </c>
      <c r="O4" s="58">
        <f>Inputs!O4</f>
        <v>44561</v>
      </c>
      <c r="P4" s="58">
        <f>Inputs!P4</f>
        <v>44926</v>
      </c>
      <c r="Q4" s="58">
        <f>Inputs!Q4</f>
        <v>45291</v>
      </c>
      <c r="R4" s="58">
        <f>Inputs!R4</f>
        <v>45657</v>
      </c>
      <c r="S4" s="58">
        <f>Inputs!S4</f>
        <v>46022</v>
      </c>
      <c r="T4" s="58">
        <f>Inputs!T4</f>
        <v>46387</v>
      </c>
      <c r="U4" s="58">
        <f>Inputs!U4</f>
        <v>46752</v>
      </c>
      <c r="V4" s="58">
        <f>Inputs!V4</f>
        <v>47118</v>
      </c>
      <c r="W4" s="58">
        <f>Inputs!W4</f>
        <v>47483</v>
      </c>
      <c r="X4" s="58">
        <f>Inputs!X4</f>
        <v>47848</v>
      </c>
      <c r="Y4" s="58">
        <f>Inputs!Y4</f>
        <v>48213</v>
      </c>
      <c r="Z4" s="58">
        <f>Inputs!Z4</f>
        <v>48579</v>
      </c>
      <c r="AA4" s="58">
        <f>Inputs!AA4</f>
        <v>48944</v>
      </c>
      <c r="AB4" s="58">
        <f>Inputs!AB4</f>
        <v>49309</v>
      </c>
      <c r="AC4" s="58">
        <f>Inputs!AC4</f>
        <v>49674</v>
      </c>
      <c r="AD4" s="58">
        <f>Inputs!AD4</f>
        <v>50040</v>
      </c>
      <c r="AE4" s="58">
        <f>Inputs!AE4</f>
        <v>50405</v>
      </c>
      <c r="AF4" s="58">
        <f>Inputs!AF4</f>
        <v>50770</v>
      </c>
      <c r="AG4" s="58">
        <f>Inputs!AG4</f>
        <v>51135</v>
      </c>
      <c r="AH4" s="58">
        <f>Inputs!AH4</f>
        <v>51501</v>
      </c>
      <c r="AI4" s="58">
        <f>Inputs!AI4</f>
        <v>51866</v>
      </c>
      <c r="AJ4" s="58">
        <f>Inputs!AJ4</f>
        <v>52231</v>
      </c>
      <c r="AK4" s="58">
        <f>Inputs!AK4</f>
        <v>52596</v>
      </c>
      <c r="AL4" s="58">
        <f>Inputs!AL4</f>
        <v>52962</v>
      </c>
      <c r="AM4" s="58">
        <f>Inputs!AM4</f>
        <v>53327</v>
      </c>
      <c r="AN4" s="58">
        <f>Inputs!AN4</f>
        <v>53692</v>
      </c>
      <c r="AO4" s="58">
        <f>Inputs!AO4</f>
        <v>54057</v>
      </c>
      <c r="AP4" s="58">
        <f>Inputs!AP4</f>
        <v>54423</v>
      </c>
      <c r="AQ4" s="58">
        <f>Inputs!AQ4</f>
        <v>54788</v>
      </c>
      <c r="AR4" s="58">
        <f>Inputs!AR4</f>
        <v>55153</v>
      </c>
      <c r="AS4" s="58">
        <f>Inputs!AS4</f>
        <v>55518</v>
      </c>
      <c r="AT4" s="58">
        <f>Inputs!AT4</f>
        <v>55884</v>
      </c>
      <c r="AU4" s="58">
        <f>Inputs!AU4</f>
        <v>56249</v>
      </c>
      <c r="AV4" s="58">
        <f>Inputs!AV4</f>
        <v>56614</v>
      </c>
      <c r="AW4" s="58">
        <f>Inputs!AW4</f>
        <v>56979</v>
      </c>
      <c r="AX4" s="58">
        <f>Inputs!AX4</f>
        <v>57345</v>
      </c>
      <c r="AY4" s="58">
        <f>Inputs!AY4</f>
        <v>57710</v>
      </c>
      <c r="AZ4" s="58">
        <f>Inputs!AZ4</f>
        <v>58075</v>
      </c>
      <c r="BA4" s="58">
        <f>Inputs!BA4</f>
        <v>58440</v>
      </c>
      <c r="BB4" s="58">
        <f>Inputs!BB4</f>
        <v>58806</v>
      </c>
      <c r="BC4" s="58"/>
    </row>
    <row r="5" spans="1:55" s="49" customFormat="1" ht="15" customHeight="1">
      <c r="E5" s="49" t="s">
        <v>130</v>
      </c>
      <c r="O5" s="11">
        <f>Inputs!O5</f>
        <v>0</v>
      </c>
      <c r="P5" s="11">
        <f>Inputs!P5</f>
        <v>1</v>
      </c>
      <c r="Q5" s="11">
        <f>Inputs!Q5</f>
        <v>2</v>
      </c>
      <c r="R5" s="11">
        <f>Inputs!R5</f>
        <v>3</v>
      </c>
      <c r="S5" s="11">
        <f>Inputs!S5</f>
        <v>4</v>
      </c>
      <c r="T5" s="11">
        <f>Inputs!T5</f>
        <v>5</v>
      </c>
      <c r="U5" s="11">
        <f>Inputs!U5</f>
        <v>6</v>
      </c>
      <c r="V5" s="11">
        <f>Inputs!V5</f>
        <v>7</v>
      </c>
      <c r="W5" s="11">
        <f>Inputs!W5</f>
        <v>8</v>
      </c>
      <c r="X5" s="11">
        <f>Inputs!X5</f>
        <v>9</v>
      </c>
      <c r="Y5" s="11">
        <f>Inputs!Y5</f>
        <v>10</v>
      </c>
      <c r="Z5" s="11">
        <f>Inputs!Z5</f>
        <v>11</v>
      </c>
      <c r="AA5" s="11">
        <f>Inputs!AA5</f>
        <v>12</v>
      </c>
      <c r="AB5" s="11">
        <f>Inputs!AB5</f>
        <v>13</v>
      </c>
      <c r="AC5" s="11">
        <f>Inputs!AC5</f>
        <v>14</v>
      </c>
      <c r="AD5" s="11">
        <f>Inputs!AD5</f>
        <v>15</v>
      </c>
      <c r="AE5" s="11">
        <f>Inputs!AE5</f>
        <v>16</v>
      </c>
      <c r="AF5" s="11">
        <f>Inputs!AF5</f>
        <v>17</v>
      </c>
      <c r="AG5" s="11">
        <f>Inputs!AG5</f>
        <v>18</v>
      </c>
      <c r="AH5" s="11">
        <f>Inputs!AH5</f>
        <v>19</v>
      </c>
      <c r="AI5" s="11">
        <f>Inputs!AI5</f>
        <v>20</v>
      </c>
      <c r="AJ5" s="11">
        <f>Inputs!AJ5</f>
        <v>21</v>
      </c>
      <c r="AK5" s="11">
        <f>Inputs!AK5</f>
        <v>22</v>
      </c>
      <c r="AL5" s="11">
        <f>Inputs!AL5</f>
        <v>23</v>
      </c>
      <c r="AM5" s="11">
        <f>Inputs!AM5</f>
        <v>24</v>
      </c>
      <c r="AN5" s="11">
        <f>Inputs!AN5</f>
        <v>25</v>
      </c>
      <c r="AO5" s="11">
        <f>Inputs!AO5</f>
        <v>26</v>
      </c>
      <c r="AP5" s="11">
        <f>Inputs!AP5</f>
        <v>27</v>
      </c>
      <c r="AQ5" s="11">
        <f>Inputs!AQ5</f>
        <v>28</v>
      </c>
      <c r="AR5" s="11">
        <f>Inputs!AR5</f>
        <v>29</v>
      </c>
      <c r="AS5" s="11">
        <f>Inputs!AS5</f>
        <v>30</v>
      </c>
      <c r="AT5" s="11">
        <f>Inputs!AT5</f>
        <v>31</v>
      </c>
      <c r="AU5" s="11">
        <f>Inputs!AU5</f>
        <v>32</v>
      </c>
      <c r="AV5" s="11">
        <f>Inputs!AV5</f>
        <v>33</v>
      </c>
      <c r="AW5" s="11">
        <f>Inputs!AW5</f>
        <v>34</v>
      </c>
      <c r="AX5" s="11">
        <f>Inputs!AX5</f>
        <v>35</v>
      </c>
      <c r="AY5" s="11">
        <f>Inputs!AY5</f>
        <v>36</v>
      </c>
      <c r="AZ5" s="11">
        <f>Inputs!AZ5</f>
        <v>37</v>
      </c>
      <c r="BA5" s="11">
        <f>Inputs!BA5</f>
        <v>38</v>
      </c>
      <c r="BB5" s="11">
        <f>Inputs!BB5</f>
        <v>39</v>
      </c>
      <c r="BC5" s="58"/>
    </row>
    <row r="6" spans="1:55" ht="15" customHeight="1">
      <c r="A6" s="19"/>
      <c r="B6" s="19"/>
      <c r="D6" s="19"/>
    </row>
    <row r="7" spans="1:55" s="4" customFormat="1" ht="15" customHeight="1">
      <c r="B7" s="166" t="s">
        <v>613</v>
      </c>
      <c r="C7" s="8"/>
      <c r="D7" s="8"/>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row>
    <row r="8" spans="1:55" ht="15" customHeight="1">
      <c r="A8" s="19"/>
      <c r="B8" s="19"/>
      <c r="D8" s="19"/>
    </row>
    <row r="9" spans="1:55" s="59" customFormat="1" ht="15" customHeight="1">
      <c r="C9" s="38" t="s">
        <v>614</v>
      </c>
      <c r="D9" s="38"/>
      <c r="E9" s="38"/>
      <c r="F9" s="38"/>
      <c r="G9" s="38"/>
      <c r="H9" s="38"/>
      <c r="I9" s="38"/>
      <c r="J9" s="38"/>
      <c r="K9" s="38"/>
      <c r="L9" s="38"/>
      <c r="M9" s="38"/>
      <c r="N9" s="38"/>
      <c r="O9" s="38"/>
      <c r="P9" s="38"/>
      <c r="Q9" s="38"/>
      <c r="R9" s="38"/>
      <c r="S9" s="38"/>
      <c r="T9" s="38"/>
      <c r="U9" s="38"/>
      <c r="V9" s="38"/>
      <c r="W9" s="38"/>
      <c r="X9" s="38"/>
      <c r="Y9" s="38"/>
      <c r="Z9" s="38"/>
      <c r="AA9" s="38"/>
      <c r="AB9" s="38"/>
      <c r="AC9" s="38"/>
      <c r="AD9" s="38"/>
      <c r="AE9" s="38"/>
      <c r="AF9" s="38"/>
      <c r="AG9" s="38"/>
      <c r="AH9" s="38"/>
      <c r="AI9" s="38"/>
      <c r="AJ9" s="38"/>
      <c r="AK9" s="38"/>
      <c r="AL9" s="38"/>
      <c r="AM9" s="38"/>
      <c r="AN9" s="38"/>
      <c r="AO9" s="38"/>
      <c r="AP9" s="38"/>
      <c r="AQ9" s="38"/>
      <c r="AR9" s="38"/>
      <c r="AS9" s="38"/>
      <c r="AT9" s="38"/>
      <c r="AU9" s="38"/>
      <c r="AV9" s="38"/>
      <c r="AW9" s="38"/>
      <c r="AX9" s="38"/>
      <c r="AY9" s="38"/>
      <c r="AZ9" s="38"/>
      <c r="BA9" s="38"/>
      <c r="BB9" s="38"/>
    </row>
    <row r="10" spans="1:55" s="59" customFormat="1" ht="15" customHeight="1">
      <c r="C10" s="5"/>
      <c r="D10" s="5"/>
      <c r="E10" s="5"/>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row>
    <row r="11" spans="1:55" ht="15" customHeight="1">
      <c r="E11" s="19" t="s">
        <v>615</v>
      </c>
      <c r="P11" s="59" t="b">
        <f>Assessment!P26&gt;Assessment!P24</f>
        <v>0</v>
      </c>
      <c r="Q11" s="59" t="b">
        <f>Assessment!Q26&gt;Assessment!Q24</f>
        <v>0</v>
      </c>
      <c r="R11" s="59" t="b">
        <f>Assessment!R26&gt;Assessment!R24</f>
        <v>0</v>
      </c>
      <c r="S11" s="59" t="b">
        <f>Assessment!S26&gt;Assessment!S24</f>
        <v>1</v>
      </c>
      <c r="T11" s="59" t="b">
        <f>Assessment!T26&gt;Assessment!T24</f>
        <v>1</v>
      </c>
      <c r="U11" s="59" t="b">
        <f>Assessment!U26&gt;Assessment!U24</f>
        <v>0</v>
      </c>
      <c r="V11" s="59" t="b">
        <f>Assessment!V26&gt;Assessment!V24</f>
        <v>0</v>
      </c>
      <c r="W11" s="59" t="b">
        <f>Assessment!W26&gt;Assessment!W24</f>
        <v>0</v>
      </c>
      <c r="X11" s="59" t="b">
        <f>Assessment!X26&gt;Assessment!X24</f>
        <v>0</v>
      </c>
      <c r="Y11" s="59" t="b">
        <f>Assessment!Y26&gt;Assessment!Y24</f>
        <v>0</v>
      </c>
      <c r="Z11" s="59" t="b">
        <f>Assessment!Z26&gt;Assessment!Z24</f>
        <v>0</v>
      </c>
      <c r="AA11" s="59" t="b">
        <f>Assessment!AA26&gt;Assessment!AA24</f>
        <v>0</v>
      </c>
      <c r="AB11" s="59" t="b">
        <f>Assessment!AB26&gt;Assessment!AB24</f>
        <v>0</v>
      </c>
      <c r="AC11" s="59" t="b">
        <f>Assessment!AC26&gt;Assessment!AC24</f>
        <v>0</v>
      </c>
      <c r="AD11" s="59" t="b">
        <f>Assessment!AD26&gt;Assessment!AD24</f>
        <v>0</v>
      </c>
      <c r="AE11" s="59" t="b">
        <f>Assessment!AE26&gt;Assessment!AE24</f>
        <v>0</v>
      </c>
      <c r="AF11" s="59" t="b">
        <f>Assessment!AF26&gt;Assessment!AF24</f>
        <v>0</v>
      </c>
      <c r="AG11" s="59" t="b">
        <f>Assessment!AG26&gt;Assessment!AG24</f>
        <v>0</v>
      </c>
      <c r="AH11" s="59" t="b">
        <f>Assessment!AH26&gt;Assessment!AH24</f>
        <v>0</v>
      </c>
      <c r="AI11" s="59" t="b">
        <f>Assessment!AI26&gt;Assessment!AI24</f>
        <v>0</v>
      </c>
      <c r="AJ11" s="59" t="b">
        <f>Assessment!AJ26&gt;Assessment!AJ24</f>
        <v>0</v>
      </c>
      <c r="AK11" s="59" t="b">
        <f>Assessment!AK26&gt;Assessment!AK24</f>
        <v>0</v>
      </c>
      <c r="AL11" s="59" t="b">
        <f>Assessment!AL26&gt;Assessment!AL24</f>
        <v>0</v>
      </c>
      <c r="AM11" s="59" t="b">
        <f>Assessment!AM26&gt;Assessment!AM24</f>
        <v>0</v>
      </c>
      <c r="AN11" s="59" t="b">
        <f>Assessment!AN26&gt;Assessment!AN24</f>
        <v>0</v>
      </c>
      <c r="AO11" s="59" t="b">
        <f>Assessment!AO26&gt;Assessment!AO24</f>
        <v>0</v>
      </c>
      <c r="AP11" s="59" t="b">
        <f>Assessment!AP26&gt;Assessment!AP24</f>
        <v>0</v>
      </c>
      <c r="AQ11" s="59" t="b">
        <f>Assessment!AQ26&gt;Assessment!AQ24</f>
        <v>0</v>
      </c>
      <c r="AR11" s="59" t="b">
        <f>Assessment!AR26&gt;Assessment!AR24</f>
        <v>0</v>
      </c>
      <c r="AS11" s="59" t="b">
        <f>Assessment!AS26&gt;Assessment!AS24</f>
        <v>0</v>
      </c>
      <c r="AT11" s="59" t="b">
        <f>Assessment!AT26&gt;Assessment!AT24</f>
        <v>0</v>
      </c>
      <c r="AU11" s="59" t="b">
        <f>Assessment!AU26&gt;Assessment!AU24</f>
        <v>0</v>
      </c>
      <c r="AV11" s="59" t="b">
        <f>Assessment!AV26&gt;Assessment!AV24</f>
        <v>0</v>
      </c>
      <c r="AW11" s="59" t="b">
        <f>Assessment!AW26&gt;Assessment!AW24</f>
        <v>0</v>
      </c>
      <c r="AX11" s="59" t="b">
        <f>Assessment!AX26&gt;Assessment!AX24</f>
        <v>0</v>
      </c>
      <c r="AY11" s="59" t="b">
        <f>Assessment!AY26&gt;Assessment!AY24</f>
        <v>0</v>
      </c>
      <c r="AZ11" s="59" t="b">
        <f>Assessment!AZ26&gt;Assessment!AZ24</f>
        <v>0</v>
      </c>
      <c r="BA11" s="59" t="b">
        <f>Assessment!BA26&gt;Assessment!BA24</f>
        <v>0</v>
      </c>
      <c r="BB11" s="59" t="b">
        <f>Assessment!BB26&gt;Assessment!BB24</f>
        <v>0</v>
      </c>
    </row>
    <row r="12" spans="1:55" ht="15" customHeight="1">
      <c r="E12" s="19" t="s">
        <v>616</v>
      </c>
      <c r="P12" s="59" t="b">
        <f>Assessment!P23&gt;Assessment!P34</f>
        <v>0</v>
      </c>
      <c r="Q12" s="59" t="b">
        <f>Assessment!Q23&gt;Assessment!Q34</f>
        <v>0</v>
      </c>
      <c r="R12" s="59" t="b">
        <f>Assessment!R23&gt;Assessment!R34</f>
        <v>0</v>
      </c>
      <c r="S12" s="59" t="b">
        <f>Assessment!S23&gt;Assessment!S34</f>
        <v>0</v>
      </c>
      <c r="T12" s="59" t="b">
        <f>Assessment!T23&gt;Assessment!T34</f>
        <v>0</v>
      </c>
      <c r="U12" s="59" t="b">
        <f>Assessment!U23&gt;Assessment!U34</f>
        <v>0</v>
      </c>
      <c r="V12" s="59" t="b">
        <f>Assessment!V23&gt;Assessment!V34</f>
        <v>0</v>
      </c>
      <c r="W12" s="59" t="b">
        <f>Assessment!W23&gt;Assessment!W34</f>
        <v>0</v>
      </c>
      <c r="X12" s="59" t="b">
        <f>Assessment!X23&gt;Assessment!X34</f>
        <v>0</v>
      </c>
      <c r="Y12" s="59" t="b">
        <f>Assessment!Y23&gt;Assessment!Y34</f>
        <v>0</v>
      </c>
      <c r="Z12" s="59" t="b">
        <f>Assessment!Z23&gt;Assessment!Z34</f>
        <v>0</v>
      </c>
      <c r="AA12" s="59" t="b">
        <f>Assessment!AA23&gt;Assessment!AA34</f>
        <v>0</v>
      </c>
      <c r="AB12" s="59" t="b">
        <f>Assessment!AB23&gt;Assessment!AB34</f>
        <v>0</v>
      </c>
      <c r="AC12" s="59" t="b">
        <f>Assessment!AC23&gt;Assessment!AC34</f>
        <v>0</v>
      </c>
      <c r="AD12" s="59" t="b">
        <f>Assessment!AD23&gt;Assessment!AD34</f>
        <v>0</v>
      </c>
      <c r="AE12" s="59" t="b">
        <f>Assessment!AE23&gt;Assessment!AE34</f>
        <v>0</v>
      </c>
      <c r="AF12" s="59" t="b">
        <f>Assessment!AF23&gt;Assessment!AF34</f>
        <v>0</v>
      </c>
      <c r="AG12" s="59" t="b">
        <f>Assessment!AG23&gt;Assessment!AG34</f>
        <v>0</v>
      </c>
      <c r="AH12" s="59" t="b">
        <f>Assessment!AH23&gt;Assessment!AH34</f>
        <v>0</v>
      </c>
      <c r="AI12" s="59" t="b">
        <f>Assessment!AI23&gt;Assessment!AI34</f>
        <v>0</v>
      </c>
      <c r="AJ12" s="59" t="b">
        <f>Assessment!AJ23&gt;Assessment!AJ34</f>
        <v>0</v>
      </c>
      <c r="AK12" s="59" t="b">
        <f>Assessment!AK23&gt;Assessment!AK34</f>
        <v>0</v>
      </c>
      <c r="AL12" s="59" t="b">
        <f>Assessment!AL23&gt;Assessment!AL34</f>
        <v>0</v>
      </c>
      <c r="AM12" s="59" t="b">
        <f>Assessment!AM23&gt;Assessment!AM34</f>
        <v>0</v>
      </c>
      <c r="AN12" s="59" t="b">
        <f>Assessment!AN23&gt;Assessment!AN34</f>
        <v>0</v>
      </c>
      <c r="AO12" s="59" t="b">
        <f>Assessment!AO23&gt;Assessment!AO34</f>
        <v>0</v>
      </c>
      <c r="AP12" s="59" t="b">
        <f>Assessment!AP23&gt;Assessment!AP34</f>
        <v>0</v>
      </c>
      <c r="AQ12" s="59" t="b">
        <f>Assessment!AQ23&gt;Assessment!AQ34</f>
        <v>0</v>
      </c>
      <c r="AR12" s="59" t="b">
        <f>Assessment!AR23&gt;Assessment!AR34</f>
        <v>0</v>
      </c>
      <c r="AS12" s="59" t="b">
        <f>Assessment!AS23&gt;Assessment!AS34</f>
        <v>0</v>
      </c>
      <c r="AT12" s="59" t="b">
        <f>Assessment!AT23&gt;Assessment!AT34</f>
        <v>0</v>
      </c>
      <c r="AU12" s="59" t="b">
        <f>Assessment!AU23&gt;Assessment!AU34</f>
        <v>0</v>
      </c>
      <c r="AV12" s="59" t="b">
        <f>Assessment!AV23&gt;Assessment!AV34</f>
        <v>0</v>
      </c>
      <c r="AW12" s="59" t="b">
        <f>Assessment!AW23&gt;Assessment!AW34</f>
        <v>0</v>
      </c>
      <c r="AX12" s="59" t="b">
        <f>Assessment!AX23&gt;Assessment!AX34</f>
        <v>0</v>
      </c>
      <c r="AY12" s="59" t="b">
        <f>Assessment!AY23&gt;Assessment!AY34</f>
        <v>0</v>
      </c>
      <c r="AZ12" s="59" t="b">
        <f>Assessment!AZ23&gt;Assessment!AZ34</f>
        <v>0</v>
      </c>
      <c r="BA12" s="59" t="b">
        <f>Assessment!BA23&gt;Assessment!BA34</f>
        <v>0</v>
      </c>
      <c r="BB12" s="59" t="b">
        <f>Assessment!BB23&gt;Assessment!BB34</f>
        <v>0</v>
      </c>
    </row>
    <row r="13" spans="1:55" ht="15" customHeight="1">
      <c r="E13" s="19" t="s">
        <v>617</v>
      </c>
      <c r="P13" s="59" t="b">
        <f>AND(Assessment!P23&gt;MAX(Assessment!P24,Assessment!P26),Assessment!P23&lt;Assessment!P34)</f>
        <v>0</v>
      </c>
      <c r="Q13" s="59" t="b">
        <f>AND(Assessment!Q23&gt;MAX(Assessment!Q24,Assessment!Q26),Assessment!Q23&lt;Assessment!Q34)</f>
        <v>0</v>
      </c>
      <c r="R13" s="59" t="b">
        <f>AND(Assessment!R23&gt;MAX(Assessment!R24,Assessment!R26),Assessment!R23&lt;Assessment!R34)</f>
        <v>0</v>
      </c>
      <c r="S13" s="59" t="b">
        <f>AND(Assessment!S23&gt;MAX(Assessment!S24,Assessment!S26),Assessment!S23&lt;Assessment!S34)</f>
        <v>0</v>
      </c>
      <c r="T13" s="59" t="b">
        <f>AND(Assessment!T23&gt;MAX(Assessment!T24,Assessment!T26),Assessment!T23&lt;Assessment!T34)</f>
        <v>0</v>
      </c>
      <c r="U13" s="59" t="b">
        <f>AND(Assessment!U23&gt;MAX(Assessment!U24,Assessment!U26),Assessment!U23&lt;Assessment!U34)</f>
        <v>0</v>
      </c>
      <c r="V13" s="59" t="b">
        <f>AND(Assessment!V23&gt;MAX(Assessment!V24,Assessment!V26),Assessment!V23&lt;Assessment!V34)</f>
        <v>0</v>
      </c>
      <c r="W13" s="59" t="b">
        <f>AND(Assessment!W23&gt;MAX(Assessment!W24,Assessment!W26),Assessment!W23&lt;Assessment!W34)</f>
        <v>0</v>
      </c>
      <c r="X13" s="59" t="b">
        <f>AND(Assessment!X23&gt;MAX(Assessment!X24,Assessment!X26),Assessment!X23&lt;Assessment!X34)</f>
        <v>0</v>
      </c>
      <c r="Y13" s="59" t="b">
        <f>AND(Assessment!Y23&gt;MAX(Assessment!Y24,Assessment!Y26),Assessment!Y23&lt;Assessment!Y34)</f>
        <v>0</v>
      </c>
      <c r="Z13" s="59" t="b">
        <f>AND(Assessment!Z23&gt;MAX(Assessment!Z24,Assessment!Z26),Assessment!Z23&lt;Assessment!Z34)</f>
        <v>0</v>
      </c>
      <c r="AA13" s="59" t="b">
        <f>AND(Assessment!AA23&gt;MAX(Assessment!AA24,Assessment!AA26),Assessment!AA23&lt;Assessment!AA34)</f>
        <v>0</v>
      </c>
      <c r="AB13" s="59" t="b">
        <f>AND(Assessment!AB23&gt;MAX(Assessment!AB24,Assessment!AB26),Assessment!AB23&lt;Assessment!AB34)</f>
        <v>0</v>
      </c>
      <c r="AC13" s="59" t="b">
        <f>AND(Assessment!AC23&gt;MAX(Assessment!AC24,Assessment!AC26),Assessment!AC23&lt;Assessment!AC34)</f>
        <v>0</v>
      </c>
      <c r="AD13" s="59" t="b">
        <f>AND(Assessment!AD23&gt;MAX(Assessment!AD24,Assessment!AD26),Assessment!AD23&lt;Assessment!AD34)</f>
        <v>0</v>
      </c>
      <c r="AE13" s="59" t="b">
        <f>AND(Assessment!AE23&gt;MAX(Assessment!AE24,Assessment!AE26),Assessment!AE23&lt;Assessment!AE34)</f>
        <v>0</v>
      </c>
      <c r="AF13" s="59" t="b">
        <f>AND(Assessment!AF23&gt;MAX(Assessment!AF24,Assessment!AF26),Assessment!AF23&lt;Assessment!AF34)</f>
        <v>0</v>
      </c>
      <c r="AG13" s="59" t="b">
        <f>AND(Assessment!AG23&gt;MAX(Assessment!AG24,Assessment!AG26),Assessment!AG23&lt;Assessment!AG34)</f>
        <v>0</v>
      </c>
      <c r="AH13" s="59" t="b">
        <f>AND(Assessment!AH23&gt;MAX(Assessment!AH24,Assessment!AH26),Assessment!AH23&lt;Assessment!AH34)</f>
        <v>0</v>
      </c>
      <c r="AI13" s="59" t="b">
        <f>AND(Assessment!AI23&gt;MAX(Assessment!AI24,Assessment!AI26),Assessment!AI23&lt;Assessment!AI34)</f>
        <v>0</v>
      </c>
      <c r="AJ13" s="59" t="b">
        <f>AND(Assessment!AJ23&gt;MAX(Assessment!AJ24,Assessment!AJ26),Assessment!AJ23&lt;Assessment!AJ34)</f>
        <v>0</v>
      </c>
      <c r="AK13" s="59" t="b">
        <f>AND(Assessment!AK23&gt;MAX(Assessment!AK24,Assessment!AK26),Assessment!AK23&lt;Assessment!AK34)</f>
        <v>0</v>
      </c>
      <c r="AL13" s="59" t="b">
        <f>AND(Assessment!AL23&gt;MAX(Assessment!AL24,Assessment!AL26),Assessment!AL23&lt;Assessment!AL34)</f>
        <v>0</v>
      </c>
      <c r="AM13" s="59" t="b">
        <f>AND(Assessment!AM23&gt;MAX(Assessment!AM24,Assessment!AM26),Assessment!AM23&lt;Assessment!AM34)</f>
        <v>0</v>
      </c>
      <c r="AN13" s="59" t="b">
        <f>AND(Assessment!AN23&gt;MAX(Assessment!AN24,Assessment!AN26),Assessment!AN23&lt;Assessment!AN34)</f>
        <v>0</v>
      </c>
      <c r="AO13" s="59" t="b">
        <f>AND(Assessment!AO23&gt;MAX(Assessment!AO24,Assessment!AO26),Assessment!AO23&lt;Assessment!AO34)</f>
        <v>0</v>
      </c>
      <c r="AP13" s="59" t="b">
        <f>AND(Assessment!AP23&gt;MAX(Assessment!AP24,Assessment!AP26),Assessment!AP23&lt;Assessment!AP34)</f>
        <v>0</v>
      </c>
      <c r="AQ13" s="59" t="b">
        <f>AND(Assessment!AQ23&gt;MAX(Assessment!AQ24,Assessment!AQ26),Assessment!AQ23&lt;Assessment!AQ34)</f>
        <v>0</v>
      </c>
      <c r="AR13" s="59" t="b">
        <f>AND(Assessment!AR23&gt;MAX(Assessment!AR24,Assessment!AR26),Assessment!AR23&lt;Assessment!AR34)</f>
        <v>0</v>
      </c>
      <c r="AS13" s="59" t="b">
        <f>AND(Assessment!AS23&gt;MAX(Assessment!AS24,Assessment!AS26),Assessment!AS23&lt;Assessment!AS34)</f>
        <v>0</v>
      </c>
      <c r="AT13" s="59" t="b">
        <f>AND(Assessment!AT23&gt;MAX(Assessment!AT24,Assessment!AT26),Assessment!AT23&lt;Assessment!AT34)</f>
        <v>0</v>
      </c>
      <c r="AU13" s="59" t="b">
        <f>AND(Assessment!AU23&gt;MAX(Assessment!AU24,Assessment!AU26),Assessment!AU23&lt;Assessment!AU34)</f>
        <v>0</v>
      </c>
      <c r="AV13" s="59" t="b">
        <f>AND(Assessment!AV23&gt;MAX(Assessment!AV24,Assessment!AV26),Assessment!AV23&lt;Assessment!AV34)</f>
        <v>0</v>
      </c>
      <c r="AW13" s="59" t="b">
        <f>AND(Assessment!AW23&gt;MAX(Assessment!AW24,Assessment!AW26),Assessment!AW23&lt;Assessment!AW34)</f>
        <v>0</v>
      </c>
      <c r="AX13" s="59" t="b">
        <f>AND(Assessment!AX23&gt;MAX(Assessment!AX24,Assessment!AX26),Assessment!AX23&lt;Assessment!AX34)</f>
        <v>0</v>
      </c>
      <c r="AY13" s="59" t="b">
        <f>AND(Assessment!AY23&gt;MAX(Assessment!AY24,Assessment!AY26),Assessment!AY23&lt;Assessment!AY34)</f>
        <v>0</v>
      </c>
      <c r="AZ13" s="59" t="b">
        <f>AND(Assessment!AZ23&gt;MAX(Assessment!AZ24,Assessment!AZ26),Assessment!AZ23&lt;Assessment!AZ34)</f>
        <v>0</v>
      </c>
      <c r="BA13" s="59" t="b">
        <f>AND(Assessment!BA23&gt;MAX(Assessment!BA24,Assessment!BA26),Assessment!BA23&lt;Assessment!BA34)</f>
        <v>0</v>
      </c>
      <c r="BB13" s="59" t="b">
        <f>AND(Assessment!BB23&gt;MAX(Assessment!BB24,Assessment!BB26),Assessment!BB23&lt;Assessment!BB34)</f>
        <v>0</v>
      </c>
    </row>
    <row r="14" spans="1:55" ht="15" customHeight="1">
      <c r="E14" s="19" t="s">
        <v>618</v>
      </c>
      <c r="P14" s="59" t="b">
        <f>Assessment!P23&lt;Assessment!P24</f>
        <v>0</v>
      </c>
      <c r="Q14" s="59" t="b">
        <f>Assessment!Q23&lt;Assessment!Q24</f>
        <v>0</v>
      </c>
      <c r="R14" s="59" t="b">
        <f>Assessment!R23&lt;Assessment!R24</f>
        <v>0</v>
      </c>
      <c r="S14" s="59" t="b">
        <f>Assessment!S23&lt;Assessment!S24</f>
        <v>1</v>
      </c>
      <c r="T14" s="59" t="b">
        <f>Assessment!T23&lt;Assessment!T24</f>
        <v>1</v>
      </c>
      <c r="U14" s="59" t="b">
        <f>Assessment!U23&lt;Assessment!U24</f>
        <v>1</v>
      </c>
      <c r="V14" s="59" t="b">
        <f>Assessment!V23&lt;Assessment!V24</f>
        <v>1</v>
      </c>
      <c r="W14" s="59" t="b">
        <f>Assessment!W23&lt;Assessment!W24</f>
        <v>1</v>
      </c>
      <c r="X14" s="59" t="b">
        <f>Assessment!X23&lt;Assessment!X24</f>
        <v>1</v>
      </c>
      <c r="Y14" s="59" t="b">
        <f>Assessment!Y23&lt;Assessment!Y24</f>
        <v>1</v>
      </c>
      <c r="Z14" s="59" t="b">
        <f>Assessment!Z23&lt;Assessment!Z24</f>
        <v>1</v>
      </c>
      <c r="AA14" s="59" t="b">
        <f>Assessment!AA23&lt;Assessment!AA24</f>
        <v>1</v>
      </c>
      <c r="AB14" s="59" t="b">
        <f>Assessment!AB23&lt;Assessment!AB24</f>
        <v>1</v>
      </c>
      <c r="AC14" s="59" t="b">
        <f>Assessment!AC23&lt;Assessment!AC24</f>
        <v>1</v>
      </c>
      <c r="AD14" s="59" t="b">
        <f>Assessment!AD23&lt;Assessment!AD24</f>
        <v>1</v>
      </c>
      <c r="AE14" s="59" t="b">
        <f>Assessment!AE23&lt;Assessment!AE24</f>
        <v>1</v>
      </c>
      <c r="AF14" s="59" t="b">
        <f>Assessment!AF23&lt;Assessment!AF24</f>
        <v>1</v>
      </c>
      <c r="AG14" s="59" t="b">
        <f>Assessment!AG23&lt;Assessment!AG24</f>
        <v>1</v>
      </c>
      <c r="AH14" s="59" t="b">
        <f>Assessment!AH23&lt;Assessment!AH24</f>
        <v>1</v>
      </c>
      <c r="AI14" s="59" t="b">
        <f>Assessment!AI23&lt;Assessment!AI24</f>
        <v>1</v>
      </c>
      <c r="AJ14" s="59" t="b">
        <f>Assessment!AJ23&lt;Assessment!AJ24</f>
        <v>1</v>
      </c>
      <c r="AK14" s="59" t="b">
        <f>Assessment!AK23&lt;Assessment!AK24</f>
        <v>1</v>
      </c>
      <c r="AL14" s="59" t="b">
        <f>Assessment!AL23&lt;Assessment!AL24</f>
        <v>1</v>
      </c>
      <c r="AM14" s="59" t="b">
        <f>Assessment!AM23&lt;Assessment!AM24</f>
        <v>1</v>
      </c>
      <c r="AN14" s="59" t="b">
        <f>Assessment!AN23&lt;Assessment!AN24</f>
        <v>1</v>
      </c>
      <c r="AO14" s="59" t="b">
        <f>Assessment!AO23&lt;Assessment!AO24</f>
        <v>1</v>
      </c>
      <c r="AP14" s="59" t="b">
        <f>Assessment!AP23&lt;Assessment!AP24</f>
        <v>0</v>
      </c>
      <c r="AQ14" s="59" t="b">
        <f>Assessment!AQ23&lt;Assessment!AQ24</f>
        <v>0</v>
      </c>
      <c r="AR14" s="59" t="b">
        <f>Assessment!AR23&lt;Assessment!AR24</f>
        <v>0</v>
      </c>
      <c r="AS14" s="59" t="b">
        <f>Assessment!AS23&lt;Assessment!AS24</f>
        <v>0</v>
      </c>
      <c r="AT14" s="59" t="b">
        <f>Assessment!AT23&lt;Assessment!AT24</f>
        <v>0</v>
      </c>
      <c r="AU14" s="59" t="b">
        <f>Assessment!AU23&lt;Assessment!AU24</f>
        <v>0</v>
      </c>
      <c r="AV14" s="59" t="b">
        <f>Assessment!AV23&lt;Assessment!AV24</f>
        <v>0</v>
      </c>
      <c r="AW14" s="59" t="b">
        <f>Assessment!AW23&lt;Assessment!AW24</f>
        <v>0</v>
      </c>
      <c r="AX14" s="59" t="b">
        <f>Assessment!AX23&lt;Assessment!AX24</f>
        <v>0</v>
      </c>
      <c r="AY14" s="59" t="b">
        <f>Assessment!AY23&lt;Assessment!AY24</f>
        <v>0</v>
      </c>
      <c r="AZ14" s="59" t="b">
        <f>Assessment!AZ23&lt;Assessment!AZ24</f>
        <v>0</v>
      </c>
      <c r="BA14" s="59" t="b">
        <f>Assessment!BA23&lt;Assessment!BA24</f>
        <v>0</v>
      </c>
      <c r="BB14" s="59" t="b">
        <f>Assessment!BB23&lt;Assessment!BB24</f>
        <v>0</v>
      </c>
    </row>
    <row r="15" spans="1:55" ht="15" customHeight="1">
      <c r="E15" s="19" t="s">
        <v>619</v>
      </c>
      <c r="P15" s="59" t="b">
        <f>Assessment!P23&lt;Assessment!P26</f>
        <v>0</v>
      </c>
      <c r="Q15" s="59" t="b">
        <f>Assessment!Q23&lt;Assessment!Q26</f>
        <v>0</v>
      </c>
      <c r="R15" s="59" t="b">
        <f>Assessment!R23&lt;Assessment!R26</f>
        <v>0</v>
      </c>
      <c r="S15" s="59" t="b">
        <f>Assessment!S23&lt;Assessment!S26</f>
        <v>1</v>
      </c>
      <c r="T15" s="59" t="b">
        <f>Assessment!T23&lt;Assessment!T26</f>
        <v>1</v>
      </c>
      <c r="U15" s="59" t="b">
        <f>Assessment!U23&lt;Assessment!U26</f>
        <v>1</v>
      </c>
      <c r="V15" s="59" t="b">
        <f>Assessment!V23&lt;Assessment!V26</f>
        <v>1</v>
      </c>
      <c r="W15" s="59" t="b">
        <f>Assessment!W23&lt;Assessment!W26</f>
        <v>1</v>
      </c>
      <c r="X15" s="59" t="b">
        <f>Assessment!X23&lt;Assessment!X26</f>
        <v>1</v>
      </c>
      <c r="Y15" s="59" t="b">
        <f>Assessment!Y23&lt;Assessment!Y26</f>
        <v>1</v>
      </c>
      <c r="Z15" s="59" t="b">
        <f>Assessment!Z23&lt;Assessment!Z26</f>
        <v>1</v>
      </c>
      <c r="AA15" s="59" t="b">
        <f>Assessment!AA23&lt;Assessment!AA26</f>
        <v>1</v>
      </c>
      <c r="AB15" s="59" t="b">
        <f>Assessment!AB23&lt;Assessment!AB26</f>
        <v>1</v>
      </c>
      <c r="AC15" s="59" t="b">
        <f>Assessment!AC23&lt;Assessment!AC26</f>
        <v>1</v>
      </c>
      <c r="AD15" s="59" t="b">
        <f>Assessment!AD23&lt;Assessment!AD26</f>
        <v>1</v>
      </c>
      <c r="AE15" s="59" t="b">
        <f>Assessment!AE23&lt;Assessment!AE26</f>
        <v>1</v>
      </c>
      <c r="AF15" s="59" t="b">
        <f>Assessment!AF23&lt;Assessment!AF26</f>
        <v>1</v>
      </c>
      <c r="AG15" s="59" t="b">
        <f>Assessment!AG23&lt;Assessment!AG26</f>
        <v>1</v>
      </c>
      <c r="AH15" s="59" t="b">
        <f>Assessment!AH23&lt;Assessment!AH26</f>
        <v>1</v>
      </c>
      <c r="AI15" s="59" t="b">
        <f>Assessment!AI23&lt;Assessment!AI26</f>
        <v>1</v>
      </c>
      <c r="AJ15" s="59" t="b">
        <f>Assessment!AJ23&lt;Assessment!AJ26</f>
        <v>1</v>
      </c>
      <c r="AK15" s="59" t="b">
        <f>Assessment!AK23&lt;Assessment!AK26</f>
        <v>1</v>
      </c>
      <c r="AL15" s="59" t="b">
        <f>Assessment!AL23&lt;Assessment!AL26</f>
        <v>1</v>
      </c>
      <c r="AM15" s="59" t="b">
        <f>Assessment!AM23&lt;Assessment!AM26</f>
        <v>1</v>
      </c>
      <c r="AN15" s="59" t="b">
        <f>Assessment!AN23&lt;Assessment!AN26</f>
        <v>1</v>
      </c>
      <c r="AO15" s="59" t="b">
        <f>Assessment!AO23&lt;Assessment!AO26</f>
        <v>1</v>
      </c>
      <c r="AP15" s="59" t="b">
        <f>Assessment!AP23&lt;Assessment!AP26</f>
        <v>0</v>
      </c>
      <c r="AQ15" s="59" t="b">
        <f>Assessment!AQ23&lt;Assessment!AQ26</f>
        <v>0</v>
      </c>
      <c r="AR15" s="59" t="b">
        <f>Assessment!AR23&lt;Assessment!AR26</f>
        <v>0</v>
      </c>
      <c r="AS15" s="59" t="b">
        <f>Assessment!AS23&lt;Assessment!AS26</f>
        <v>0</v>
      </c>
      <c r="AT15" s="59" t="b">
        <f>Assessment!AT23&lt;Assessment!AT26</f>
        <v>0</v>
      </c>
      <c r="AU15" s="59" t="b">
        <f>Assessment!AU23&lt;Assessment!AU26</f>
        <v>0</v>
      </c>
      <c r="AV15" s="59" t="b">
        <f>Assessment!AV23&lt;Assessment!AV26</f>
        <v>0</v>
      </c>
      <c r="AW15" s="59" t="b">
        <f>Assessment!AW23&lt;Assessment!AW26</f>
        <v>0</v>
      </c>
      <c r="AX15" s="59" t="b">
        <f>Assessment!AX23&lt;Assessment!AX26</f>
        <v>0</v>
      </c>
      <c r="AY15" s="59" t="b">
        <f>Assessment!AY23&lt;Assessment!AY26</f>
        <v>0</v>
      </c>
      <c r="AZ15" s="59" t="b">
        <f>Assessment!AZ23&lt;Assessment!AZ26</f>
        <v>0</v>
      </c>
      <c r="BA15" s="59" t="b">
        <f>Assessment!BA23&lt;Assessment!BA26</f>
        <v>0</v>
      </c>
      <c r="BB15" s="59" t="b">
        <f>Assessment!BB23&lt;Assessment!BB26</f>
        <v>0</v>
      </c>
    </row>
    <row r="16" spans="1:55" ht="15" customHeight="1">
      <c r="E16" s="19" t="s">
        <v>620</v>
      </c>
      <c r="P16" s="59" t="b">
        <f>Assessment!P79&gt;=1</f>
        <v>0</v>
      </c>
      <c r="Q16" s="59" t="b">
        <f>Assessment!Q79&gt;=1</f>
        <v>0</v>
      </c>
      <c r="R16" s="59" t="b">
        <f>Assessment!R79&gt;=1</f>
        <v>0</v>
      </c>
      <c r="S16" s="59" t="b">
        <f>Assessment!S79&gt;=1</f>
        <v>1</v>
      </c>
      <c r="T16" s="59" t="b">
        <f>Assessment!T79&gt;=1</f>
        <v>1</v>
      </c>
      <c r="U16" s="59" t="b">
        <f>Assessment!U79&gt;=1</f>
        <v>1</v>
      </c>
      <c r="V16" s="59" t="b">
        <f>Assessment!V79&gt;=1</f>
        <v>1</v>
      </c>
      <c r="W16" s="59" t="b">
        <f>Assessment!W79&gt;=1</f>
        <v>1</v>
      </c>
      <c r="X16" s="59" t="b">
        <f>Assessment!X79&gt;=1</f>
        <v>1</v>
      </c>
      <c r="Y16" s="59" t="b">
        <f>Assessment!Y79&gt;=1</f>
        <v>1</v>
      </c>
      <c r="Z16" s="59" t="b">
        <f>Assessment!Z79&gt;=1</f>
        <v>1</v>
      </c>
      <c r="AA16" s="59" t="b">
        <f>Assessment!AA79&gt;=1</f>
        <v>1</v>
      </c>
      <c r="AB16" s="59" t="b">
        <f>Assessment!AB79&gt;=1</f>
        <v>1</v>
      </c>
      <c r="AC16" s="59" t="b">
        <f>Assessment!AC79&gt;=1</f>
        <v>1</v>
      </c>
      <c r="AD16" s="59" t="b">
        <f>Assessment!AD79&gt;=1</f>
        <v>1</v>
      </c>
      <c r="AE16" s="59" t="b">
        <f>Assessment!AE79&gt;=1</f>
        <v>1</v>
      </c>
      <c r="AF16" s="59" t="b">
        <f>Assessment!AF79&gt;=1</f>
        <v>1</v>
      </c>
      <c r="AG16" s="59" t="b">
        <f>Assessment!AG79&gt;=1</f>
        <v>1</v>
      </c>
      <c r="AH16" s="59" t="b">
        <f>Assessment!AH79&gt;=1</f>
        <v>1</v>
      </c>
      <c r="AI16" s="59" t="b">
        <f>Assessment!AI79&gt;=1</f>
        <v>1</v>
      </c>
      <c r="AJ16" s="59" t="b">
        <f>Assessment!AJ79&gt;=1</f>
        <v>1</v>
      </c>
      <c r="AK16" s="59" t="b">
        <f>Assessment!AK79&gt;=1</f>
        <v>1</v>
      </c>
      <c r="AL16" s="59" t="b">
        <f>Assessment!AL79&gt;=1</f>
        <v>1</v>
      </c>
      <c r="AM16" s="59" t="b">
        <f>Assessment!AM79&gt;=1</f>
        <v>1</v>
      </c>
      <c r="AN16" s="59" t="b">
        <f>Assessment!AN79&gt;=1</f>
        <v>1</v>
      </c>
      <c r="AO16" s="59" t="b">
        <f>Assessment!AO79&gt;=1</f>
        <v>1</v>
      </c>
      <c r="AP16" s="59" t="b">
        <f>Assessment!AP79&gt;=1</f>
        <v>0</v>
      </c>
      <c r="AQ16" s="59" t="b">
        <f>Assessment!AQ79&gt;=1</f>
        <v>0</v>
      </c>
      <c r="AR16" s="59" t="b">
        <f>Assessment!AR79&gt;=1</f>
        <v>0</v>
      </c>
      <c r="AS16" s="59" t="b">
        <f>Assessment!AS79&gt;=1</f>
        <v>0</v>
      </c>
      <c r="AT16" s="59" t="b">
        <f>Assessment!AT79&gt;=1</f>
        <v>0</v>
      </c>
      <c r="AU16" s="59" t="b">
        <f>Assessment!AU79&gt;=1</f>
        <v>0</v>
      </c>
      <c r="AV16" s="59" t="b">
        <f>Assessment!AV79&gt;=1</f>
        <v>0</v>
      </c>
      <c r="AW16" s="59" t="b">
        <f>Assessment!AW79&gt;=1</f>
        <v>0</v>
      </c>
      <c r="AX16" s="59" t="b">
        <f>Assessment!AX79&gt;=1</f>
        <v>0</v>
      </c>
      <c r="AY16" s="59" t="b">
        <f>Assessment!AY79&gt;=1</f>
        <v>0</v>
      </c>
      <c r="AZ16" s="59" t="b">
        <f>Assessment!AZ79&gt;=1</f>
        <v>0</v>
      </c>
      <c r="BA16" s="59" t="b">
        <f>Assessment!BA79&gt;=1</f>
        <v>0</v>
      </c>
      <c r="BB16" s="59" t="b">
        <f>Assessment!BB79&gt;=1</f>
        <v>0</v>
      </c>
    </row>
    <row r="17" spans="3:54" ht="15" customHeight="1">
      <c r="E17" s="19" t="s">
        <v>621</v>
      </c>
      <c r="P17" s="59" t="b">
        <f>Assessment!P86&lt;1</f>
        <v>1</v>
      </c>
      <c r="Q17" s="59" t="b">
        <f>Assessment!Q86&lt;1</f>
        <v>1</v>
      </c>
      <c r="R17" s="59" t="b">
        <f>Assessment!R86&lt;1</f>
        <v>1</v>
      </c>
      <c r="S17" s="59" t="b">
        <f>Assessment!S86&lt;1</f>
        <v>1</v>
      </c>
      <c r="T17" s="59" t="b">
        <f>Assessment!T86&lt;1</f>
        <v>1</v>
      </c>
      <c r="U17" s="59" t="b">
        <f>Assessment!U86&lt;1</f>
        <v>1</v>
      </c>
      <c r="V17" s="59" t="b">
        <f>Assessment!V86&lt;1</f>
        <v>1</v>
      </c>
      <c r="W17" s="59" t="b">
        <f>Assessment!W86&lt;1</f>
        <v>1</v>
      </c>
      <c r="X17" s="59" t="b">
        <f>Assessment!X86&lt;1</f>
        <v>1</v>
      </c>
      <c r="Y17" s="59" t="b">
        <f>Assessment!Y86&lt;1</f>
        <v>1</v>
      </c>
      <c r="Z17" s="59" t="b">
        <f>Assessment!Z86&lt;1</f>
        <v>1</v>
      </c>
      <c r="AA17" s="59" t="b">
        <f>Assessment!AA86&lt;1</f>
        <v>1</v>
      </c>
      <c r="AB17" s="59" t="b">
        <f>Assessment!AB86&lt;1</f>
        <v>1</v>
      </c>
      <c r="AC17" s="59" t="b">
        <f>Assessment!AC86&lt;1</f>
        <v>1</v>
      </c>
      <c r="AD17" s="59" t="b">
        <f>Assessment!AD86&lt;1</f>
        <v>1</v>
      </c>
      <c r="AE17" s="59" t="b">
        <f>Assessment!AE86&lt;1</f>
        <v>1</v>
      </c>
      <c r="AF17" s="59" t="b">
        <f>Assessment!AF86&lt;1</f>
        <v>1</v>
      </c>
      <c r="AG17" s="59" t="b">
        <f>Assessment!AG86&lt;1</f>
        <v>1</v>
      </c>
      <c r="AH17" s="59" t="b">
        <f>Assessment!AH86&lt;1</f>
        <v>1</v>
      </c>
      <c r="AI17" s="59" t="b">
        <f>Assessment!AI86&lt;1</f>
        <v>1</v>
      </c>
      <c r="AJ17" s="59" t="b">
        <f>Assessment!AJ86&lt;1</f>
        <v>1</v>
      </c>
      <c r="AK17" s="59" t="b">
        <f>Assessment!AK86&lt;1</f>
        <v>1</v>
      </c>
      <c r="AL17" s="59" t="b">
        <f>Assessment!AL86&lt;1</f>
        <v>1</v>
      </c>
      <c r="AM17" s="59" t="b">
        <f>Assessment!AM86&lt;1</f>
        <v>1</v>
      </c>
      <c r="AN17" s="59" t="b">
        <f>Assessment!AN86&lt;1</f>
        <v>1</v>
      </c>
      <c r="AO17" s="59" t="b">
        <f>Assessment!AO86&lt;1</f>
        <v>1</v>
      </c>
      <c r="AP17" s="59" t="b">
        <f>Assessment!AP86&lt;1</f>
        <v>1</v>
      </c>
      <c r="AQ17" s="59" t="b">
        <f>Assessment!AQ86&lt;1</f>
        <v>1</v>
      </c>
      <c r="AR17" s="59" t="b">
        <f>Assessment!AR86&lt;1</f>
        <v>1</v>
      </c>
      <c r="AS17" s="59" t="b">
        <f>Assessment!AS86&lt;1</f>
        <v>1</v>
      </c>
      <c r="AT17" s="59" t="b">
        <f>Assessment!AT86&lt;1</f>
        <v>1</v>
      </c>
      <c r="AU17" s="59" t="b">
        <f>Assessment!AU86&lt;1</f>
        <v>1</v>
      </c>
      <c r="AV17" s="59" t="b">
        <f>Assessment!AV86&lt;1</f>
        <v>1</v>
      </c>
      <c r="AW17" s="59" t="b">
        <f>Assessment!AW86&lt;1</f>
        <v>1</v>
      </c>
      <c r="AX17" s="59" t="b">
        <f>Assessment!AX86&lt;1</f>
        <v>1</v>
      </c>
      <c r="AY17" s="59" t="b">
        <f>Assessment!AY86&lt;1</f>
        <v>1</v>
      </c>
      <c r="AZ17" s="59" t="b">
        <f>Assessment!AZ86&lt;1</f>
        <v>1</v>
      </c>
      <c r="BA17" s="59" t="b">
        <f>Assessment!BA86&lt;1</f>
        <v>1</v>
      </c>
      <c r="BB17" s="59" t="b">
        <f>Assessment!BB86&lt;1</f>
        <v>1</v>
      </c>
    </row>
    <row r="18" spans="3:54" ht="15" customHeight="1">
      <c r="E18" s="19" t="s">
        <v>622</v>
      </c>
      <c r="P18" s="59" t="b">
        <f>Assessment!P108&lt;1</f>
        <v>1</v>
      </c>
      <c r="Q18" s="59" t="b">
        <f>Assessment!Q108&lt;1</f>
        <v>1</v>
      </c>
      <c r="R18" s="59" t="b">
        <f>Assessment!R108&lt;1</f>
        <v>1</v>
      </c>
      <c r="S18" s="59" t="b">
        <f>Assessment!S108&lt;1</f>
        <v>1</v>
      </c>
      <c r="T18" s="59" t="b">
        <f>Assessment!T108&lt;1</f>
        <v>1</v>
      </c>
      <c r="U18" s="59" t="b">
        <f>Assessment!U108&lt;1</f>
        <v>1</v>
      </c>
      <c r="V18" s="59" t="b">
        <f>Assessment!V108&lt;1</f>
        <v>1</v>
      </c>
      <c r="W18" s="59" t="b">
        <f>Assessment!W108&lt;1</f>
        <v>1</v>
      </c>
      <c r="X18" s="59" t="b">
        <f>Assessment!X108&lt;1</f>
        <v>1</v>
      </c>
      <c r="Y18" s="59" t="b">
        <f>Assessment!Y108&lt;1</f>
        <v>1</v>
      </c>
      <c r="Z18" s="59" t="b">
        <f>Assessment!Z108&lt;1</f>
        <v>1</v>
      </c>
      <c r="AA18" s="59" t="b">
        <f>Assessment!AA108&lt;1</f>
        <v>1</v>
      </c>
      <c r="AB18" s="59" t="b">
        <f>Assessment!AB108&lt;1</f>
        <v>1</v>
      </c>
      <c r="AC18" s="59" t="b">
        <f>Assessment!AC108&lt;1</f>
        <v>1</v>
      </c>
      <c r="AD18" s="59" t="b">
        <f>Assessment!AD108&lt;1</f>
        <v>1</v>
      </c>
      <c r="AE18" s="59" t="b">
        <f>Assessment!AE108&lt;1</f>
        <v>1</v>
      </c>
      <c r="AF18" s="59" t="b">
        <f>Assessment!AF108&lt;1</f>
        <v>1</v>
      </c>
      <c r="AG18" s="59" t="b">
        <f>Assessment!AG108&lt;1</f>
        <v>1</v>
      </c>
      <c r="AH18" s="59" t="b">
        <f>Assessment!AH108&lt;1</f>
        <v>1</v>
      </c>
      <c r="AI18" s="59" t="b">
        <f>Assessment!AI108&lt;1</f>
        <v>1</v>
      </c>
      <c r="AJ18" s="59" t="b">
        <f>Assessment!AJ108&lt;1</f>
        <v>1</v>
      </c>
      <c r="AK18" s="59" t="b">
        <f>Assessment!AK108&lt;1</f>
        <v>1</v>
      </c>
      <c r="AL18" s="59" t="b">
        <f>Assessment!AL108&lt;1</f>
        <v>1</v>
      </c>
      <c r="AM18" s="59" t="b">
        <f>Assessment!AM108&lt;1</f>
        <v>1</v>
      </c>
      <c r="AN18" s="59" t="b">
        <f>Assessment!AN108&lt;1</f>
        <v>1</v>
      </c>
      <c r="AO18" s="59" t="b">
        <f>Assessment!AO108&lt;1</f>
        <v>1</v>
      </c>
      <c r="AP18" s="59" t="b">
        <f>Assessment!AP108&lt;1</f>
        <v>1</v>
      </c>
      <c r="AQ18" s="59" t="b">
        <f>Assessment!AQ108&lt;1</f>
        <v>0</v>
      </c>
      <c r="AR18" s="59" t="b">
        <f>Assessment!AR108&lt;1</f>
        <v>0</v>
      </c>
      <c r="AS18" s="59" t="b">
        <f>Assessment!AS108&lt;1</f>
        <v>0</v>
      </c>
      <c r="AT18" s="59" t="b">
        <f>Assessment!AT108&lt;1</f>
        <v>0</v>
      </c>
      <c r="AU18" s="59" t="b">
        <f>Assessment!AU108&lt;1</f>
        <v>0</v>
      </c>
      <c r="AV18" s="59" t="b">
        <f>Assessment!AV108&lt;1</f>
        <v>0</v>
      </c>
      <c r="AW18" s="59" t="b">
        <f>Assessment!AW108&lt;1</f>
        <v>0</v>
      </c>
      <c r="AX18" s="59" t="b">
        <f>Assessment!AX108&lt;1</f>
        <v>0</v>
      </c>
      <c r="AY18" s="59" t="b">
        <f>Assessment!AY108&lt;1</f>
        <v>0</v>
      </c>
      <c r="AZ18" s="59" t="b">
        <f>Assessment!AZ108&lt;1</f>
        <v>0</v>
      </c>
      <c r="BA18" s="59" t="b">
        <f>Assessment!BA108&lt;1</f>
        <v>0</v>
      </c>
      <c r="BB18" s="59" t="b">
        <f>Assessment!BB108&lt;1</f>
        <v>0</v>
      </c>
    </row>
    <row r="19" spans="3:54" ht="15" customHeight="1">
      <c r="E19" s="19" t="s">
        <v>623</v>
      </c>
      <c r="P19" s="156">
        <f>Inputs!P121</f>
        <v>0</v>
      </c>
      <c r="Q19" s="156">
        <f>Inputs!Q121</f>
        <v>0</v>
      </c>
      <c r="R19" s="156">
        <f>Inputs!R121</f>
        <v>0</v>
      </c>
      <c r="S19" s="156">
        <f>Inputs!S121</f>
        <v>0</v>
      </c>
      <c r="T19" s="156">
        <f>Inputs!T121</f>
        <v>0</v>
      </c>
      <c r="U19" s="156">
        <f>Inputs!U121</f>
        <v>0</v>
      </c>
      <c r="V19" s="156">
        <f>Inputs!V121</f>
        <v>0</v>
      </c>
      <c r="W19" s="156">
        <f>Inputs!W121</f>
        <v>0</v>
      </c>
      <c r="X19" s="156">
        <f>Inputs!X121</f>
        <v>0</v>
      </c>
      <c r="Y19" s="156">
        <f>Inputs!Y121</f>
        <v>0</v>
      </c>
      <c r="Z19" s="156">
        <f>Inputs!Z121</f>
        <v>0</v>
      </c>
      <c r="AA19" s="156">
        <f>Inputs!AA121</f>
        <v>0</v>
      </c>
      <c r="AB19" s="156">
        <f>Inputs!AB121</f>
        <v>0</v>
      </c>
      <c r="AC19" s="156">
        <f>Inputs!AC121</f>
        <v>0</v>
      </c>
      <c r="AD19" s="156">
        <f>Inputs!AD121</f>
        <v>0</v>
      </c>
      <c r="AE19" s="156">
        <f>Inputs!AE121</f>
        <v>0</v>
      </c>
      <c r="AF19" s="156">
        <f>Inputs!AF121</f>
        <v>0</v>
      </c>
      <c r="AG19" s="156">
        <f>Inputs!AG121</f>
        <v>0</v>
      </c>
      <c r="AH19" s="156">
        <f>Inputs!AH121</f>
        <v>0</v>
      </c>
      <c r="AI19" s="156">
        <f>Inputs!AI121</f>
        <v>0</v>
      </c>
      <c r="AJ19" s="156">
        <f>Inputs!AJ121</f>
        <v>0</v>
      </c>
      <c r="AK19" s="156">
        <f>Inputs!AK121</f>
        <v>0</v>
      </c>
      <c r="AL19" s="156">
        <f>Inputs!AL121</f>
        <v>0</v>
      </c>
      <c r="AM19" s="156">
        <f>Inputs!AM121</f>
        <v>0</v>
      </c>
      <c r="AN19" s="156">
        <f>Inputs!AN121</f>
        <v>0</v>
      </c>
      <c r="AO19" s="156">
        <f>Inputs!AO121</f>
        <v>0</v>
      </c>
      <c r="AP19" s="156">
        <f>Inputs!AP121</f>
        <v>0</v>
      </c>
      <c r="AQ19" s="156">
        <f>Inputs!AQ121</f>
        <v>0</v>
      </c>
      <c r="AR19" s="156">
        <f>Inputs!AR121</f>
        <v>0</v>
      </c>
      <c r="AS19" s="156">
        <f>Inputs!AS121</f>
        <v>0</v>
      </c>
      <c r="AT19" s="156">
        <f>Inputs!AT121</f>
        <v>0</v>
      </c>
      <c r="AU19" s="156">
        <f>Inputs!AU121</f>
        <v>0</v>
      </c>
      <c r="AV19" s="156">
        <f>Inputs!AV121</f>
        <v>0</v>
      </c>
      <c r="AW19" s="156">
        <f>Inputs!AW121</f>
        <v>0</v>
      </c>
      <c r="AX19" s="156">
        <f>Inputs!AX121</f>
        <v>0</v>
      </c>
      <c r="AY19" s="156">
        <f>Inputs!AY121</f>
        <v>0</v>
      </c>
      <c r="AZ19" s="156">
        <f>Inputs!AZ121</f>
        <v>0</v>
      </c>
      <c r="BA19" s="156">
        <f>Inputs!BA121</f>
        <v>0</v>
      </c>
      <c r="BB19" s="156">
        <f>Inputs!BB121</f>
        <v>0</v>
      </c>
    </row>
    <row r="20" spans="3:54" ht="15" customHeight="1">
      <c r="P20" s="59"/>
      <c r="Q20" s="59"/>
      <c r="R20" s="59"/>
      <c r="S20" s="59"/>
      <c r="T20" s="59"/>
      <c r="U20" s="59"/>
      <c r="V20" s="59"/>
      <c r="W20" s="59"/>
      <c r="X20" s="59"/>
      <c r="Y20" s="59"/>
      <c r="Z20" s="59"/>
      <c r="AA20" s="59"/>
      <c r="AB20" s="59"/>
      <c r="AC20" s="59"/>
      <c r="AD20" s="59"/>
      <c r="AE20" s="59"/>
      <c r="AF20" s="59"/>
      <c r="AG20" s="59"/>
      <c r="AH20" s="59"/>
      <c r="AI20" s="59"/>
      <c r="AJ20" s="59"/>
      <c r="AK20" s="59"/>
      <c r="AL20" s="59"/>
      <c r="AM20" s="59"/>
      <c r="AN20" s="59"/>
      <c r="AO20" s="59"/>
      <c r="AP20" s="59"/>
      <c r="AQ20" s="59"/>
      <c r="AR20" s="59"/>
      <c r="AS20" s="59"/>
      <c r="AT20" s="59"/>
      <c r="AU20" s="59"/>
      <c r="AV20" s="59"/>
      <c r="AW20" s="59"/>
      <c r="AX20" s="59"/>
      <c r="AY20" s="59"/>
      <c r="AZ20" s="59"/>
      <c r="BA20" s="59"/>
      <c r="BB20" s="59"/>
    </row>
    <row r="21" spans="3:54" s="59" customFormat="1" ht="15" customHeight="1">
      <c r="C21" s="38" t="s">
        <v>624</v>
      </c>
      <c r="D21" s="38"/>
      <c r="E21" s="38"/>
      <c r="F21" s="38"/>
      <c r="G21" s="38"/>
      <c r="H21" s="38"/>
      <c r="I21" s="38"/>
      <c r="J21" s="38"/>
      <c r="K21" s="38"/>
      <c r="L21" s="38"/>
      <c r="M21" s="38"/>
      <c r="N21" s="38"/>
      <c r="O21" s="38"/>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row>
    <row r="22" spans="3:54" s="59" customFormat="1" ht="15" customHeight="1">
      <c r="C22" s="5"/>
      <c r="D22" s="5"/>
      <c r="E22" s="5"/>
      <c r="F22" s="5"/>
      <c r="G22" s="5"/>
      <c r="H22" s="5"/>
      <c r="I22" s="5"/>
      <c r="J22" s="5"/>
      <c r="K22" s="5"/>
      <c r="L22" s="5"/>
      <c r="M22" s="5"/>
      <c r="N22" s="5"/>
      <c r="O22" s="5"/>
      <c r="P22" s="70"/>
      <c r="Q22" s="70"/>
      <c r="R22" s="70"/>
      <c r="S22" s="70"/>
      <c r="T22" s="70"/>
      <c r="U22" s="70"/>
      <c r="V22" s="70"/>
      <c r="W22" s="70"/>
      <c r="X22" s="70"/>
      <c r="Y22" s="70"/>
      <c r="Z22" s="70"/>
      <c r="AA22" s="70"/>
      <c r="AB22" s="70"/>
      <c r="AC22" s="70"/>
      <c r="AD22" s="70"/>
      <c r="AE22" s="70"/>
      <c r="AF22" s="70"/>
      <c r="AG22" s="70"/>
      <c r="AH22" s="70"/>
      <c r="AI22" s="70"/>
      <c r="AJ22" s="70"/>
      <c r="AK22" s="70"/>
      <c r="AL22" s="70"/>
      <c r="AM22" s="70"/>
      <c r="AN22" s="70"/>
      <c r="AO22" s="70"/>
      <c r="AP22" s="70"/>
      <c r="AQ22" s="70"/>
      <c r="AR22" s="70"/>
      <c r="AS22" s="70"/>
      <c r="AT22" s="70"/>
      <c r="AU22" s="70"/>
      <c r="AV22" s="70"/>
      <c r="AW22" s="70"/>
      <c r="AX22" s="70"/>
      <c r="AY22" s="70"/>
      <c r="AZ22" s="70"/>
      <c r="BA22" s="70"/>
      <c r="BB22" s="70"/>
    </row>
    <row r="23" spans="3:54" ht="15" customHeight="1">
      <c r="E23" s="19" t="s">
        <v>625</v>
      </c>
      <c r="P23" s="59" t="b">
        <f t="shared" ref="P23:BB23" si="0">P12</f>
        <v>0</v>
      </c>
      <c r="Q23" s="59" t="b">
        <f t="shared" si="0"/>
        <v>0</v>
      </c>
      <c r="R23" s="59" t="b">
        <f t="shared" si="0"/>
        <v>0</v>
      </c>
      <c r="S23" s="59" t="b">
        <f t="shared" si="0"/>
        <v>0</v>
      </c>
      <c r="T23" s="59" t="b">
        <f t="shared" si="0"/>
        <v>0</v>
      </c>
      <c r="U23" s="59" t="b">
        <f t="shared" si="0"/>
        <v>0</v>
      </c>
      <c r="V23" s="59" t="b">
        <f t="shared" si="0"/>
        <v>0</v>
      </c>
      <c r="W23" s="59" t="b">
        <f t="shared" si="0"/>
        <v>0</v>
      </c>
      <c r="X23" s="59" t="b">
        <f t="shared" si="0"/>
        <v>0</v>
      </c>
      <c r="Y23" s="59" t="b">
        <f t="shared" si="0"/>
        <v>0</v>
      </c>
      <c r="Z23" s="59" t="b">
        <f t="shared" si="0"/>
        <v>0</v>
      </c>
      <c r="AA23" s="59" t="b">
        <f t="shared" si="0"/>
        <v>0</v>
      </c>
      <c r="AB23" s="59" t="b">
        <f t="shared" si="0"/>
        <v>0</v>
      </c>
      <c r="AC23" s="59" t="b">
        <f t="shared" si="0"/>
        <v>0</v>
      </c>
      <c r="AD23" s="59" t="b">
        <f t="shared" si="0"/>
        <v>0</v>
      </c>
      <c r="AE23" s="59" t="b">
        <f t="shared" si="0"/>
        <v>0</v>
      </c>
      <c r="AF23" s="59" t="b">
        <f t="shared" si="0"/>
        <v>0</v>
      </c>
      <c r="AG23" s="59" t="b">
        <f t="shared" si="0"/>
        <v>0</v>
      </c>
      <c r="AH23" s="59" t="b">
        <f t="shared" si="0"/>
        <v>0</v>
      </c>
      <c r="AI23" s="59" t="b">
        <f t="shared" si="0"/>
        <v>0</v>
      </c>
      <c r="AJ23" s="59" t="b">
        <f t="shared" si="0"/>
        <v>0</v>
      </c>
      <c r="AK23" s="59" t="b">
        <f t="shared" si="0"/>
        <v>0</v>
      </c>
      <c r="AL23" s="59" t="b">
        <f t="shared" si="0"/>
        <v>0</v>
      </c>
      <c r="AM23" s="59" t="b">
        <f t="shared" si="0"/>
        <v>0</v>
      </c>
      <c r="AN23" s="59" t="b">
        <f t="shared" si="0"/>
        <v>0</v>
      </c>
      <c r="AO23" s="59" t="b">
        <f t="shared" si="0"/>
        <v>0</v>
      </c>
      <c r="AP23" s="59" t="b">
        <f t="shared" si="0"/>
        <v>0</v>
      </c>
      <c r="AQ23" s="59" t="b">
        <f t="shared" si="0"/>
        <v>0</v>
      </c>
      <c r="AR23" s="59" t="b">
        <f t="shared" si="0"/>
        <v>0</v>
      </c>
      <c r="AS23" s="59" t="b">
        <f t="shared" si="0"/>
        <v>0</v>
      </c>
      <c r="AT23" s="59" t="b">
        <f t="shared" si="0"/>
        <v>0</v>
      </c>
      <c r="AU23" s="59" t="b">
        <f t="shared" si="0"/>
        <v>0</v>
      </c>
      <c r="AV23" s="59" t="b">
        <f t="shared" si="0"/>
        <v>0</v>
      </c>
      <c r="AW23" s="59" t="b">
        <f t="shared" si="0"/>
        <v>0</v>
      </c>
      <c r="AX23" s="59" t="b">
        <f t="shared" si="0"/>
        <v>0</v>
      </c>
      <c r="AY23" s="59" t="b">
        <f t="shared" si="0"/>
        <v>0</v>
      </c>
      <c r="AZ23" s="59" t="b">
        <f t="shared" si="0"/>
        <v>0</v>
      </c>
      <c r="BA23" s="59" t="b">
        <f t="shared" si="0"/>
        <v>0</v>
      </c>
      <c r="BB23" s="59" t="b">
        <f t="shared" si="0"/>
        <v>0</v>
      </c>
    </row>
    <row r="24" spans="3:54" ht="15" customHeight="1">
      <c r="E24" s="19" t="s">
        <v>626</v>
      </c>
      <c r="P24" s="59" t="b">
        <f t="shared" ref="P24:BB24" si="1">P13</f>
        <v>0</v>
      </c>
      <c r="Q24" s="59" t="b">
        <f t="shared" si="1"/>
        <v>0</v>
      </c>
      <c r="R24" s="59" t="b">
        <f t="shared" si="1"/>
        <v>0</v>
      </c>
      <c r="S24" s="59" t="b">
        <f t="shared" si="1"/>
        <v>0</v>
      </c>
      <c r="T24" s="59" t="b">
        <f t="shared" si="1"/>
        <v>0</v>
      </c>
      <c r="U24" s="59" t="b">
        <f t="shared" si="1"/>
        <v>0</v>
      </c>
      <c r="V24" s="59" t="b">
        <f t="shared" si="1"/>
        <v>0</v>
      </c>
      <c r="W24" s="59" t="b">
        <f t="shared" si="1"/>
        <v>0</v>
      </c>
      <c r="X24" s="59" t="b">
        <f t="shared" si="1"/>
        <v>0</v>
      </c>
      <c r="Y24" s="59" t="b">
        <f t="shared" si="1"/>
        <v>0</v>
      </c>
      <c r="Z24" s="59" t="b">
        <f t="shared" si="1"/>
        <v>0</v>
      </c>
      <c r="AA24" s="59" t="b">
        <f t="shared" si="1"/>
        <v>0</v>
      </c>
      <c r="AB24" s="59" t="b">
        <f t="shared" si="1"/>
        <v>0</v>
      </c>
      <c r="AC24" s="59" t="b">
        <f t="shared" si="1"/>
        <v>0</v>
      </c>
      <c r="AD24" s="59" t="b">
        <f t="shared" si="1"/>
        <v>0</v>
      </c>
      <c r="AE24" s="59" t="b">
        <f t="shared" si="1"/>
        <v>0</v>
      </c>
      <c r="AF24" s="59" t="b">
        <f t="shared" si="1"/>
        <v>0</v>
      </c>
      <c r="AG24" s="59" t="b">
        <f t="shared" si="1"/>
        <v>0</v>
      </c>
      <c r="AH24" s="59" t="b">
        <f t="shared" si="1"/>
        <v>0</v>
      </c>
      <c r="AI24" s="59" t="b">
        <f t="shared" si="1"/>
        <v>0</v>
      </c>
      <c r="AJ24" s="59" t="b">
        <f t="shared" si="1"/>
        <v>0</v>
      </c>
      <c r="AK24" s="59" t="b">
        <f t="shared" si="1"/>
        <v>0</v>
      </c>
      <c r="AL24" s="59" t="b">
        <f t="shared" si="1"/>
        <v>0</v>
      </c>
      <c r="AM24" s="59" t="b">
        <f t="shared" si="1"/>
        <v>0</v>
      </c>
      <c r="AN24" s="59" t="b">
        <f t="shared" si="1"/>
        <v>0</v>
      </c>
      <c r="AO24" s="59" t="b">
        <f t="shared" si="1"/>
        <v>0</v>
      </c>
      <c r="AP24" s="59" t="b">
        <f t="shared" si="1"/>
        <v>0</v>
      </c>
      <c r="AQ24" s="59" t="b">
        <f t="shared" si="1"/>
        <v>0</v>
      </c>
      <c r="AR24" s="59" t="b">
        <f t="shared" si="1"/>
        <v>0</v>
      </c>
      <c r="AS24" s="59" t="b">
        <f t="shared" si="1"/>
        <v>0</v>
      </c>
      <c r="AT24" s="59" t="b">
        <f t="shared" si="1"/>
        <v>0</v>
      </c>
      <c r="AU24" s="59" t="b">
        <f t="shared" si="1"/>
        <v>0</v>
      </c>
      <c r="AV24" s="59" t="b">
        <f t="shared" si="1"/>
        <v>0</v>
      </c>
      <c r="AW24" s="59" t="b">
        <f t="shared" si="1"/>
        <v>0</v>
      </c>
      <c r="AX24" s="59" t="b">
        <f t="shared" si="1"/>
        <v>0</v>
      </c>
      <c r="AY24" s="59" t="b">
        <f t="shared" si="1"/>
        <v>0</v>
      </c>
      <c r="AZ24" s="59" t="b">
        <f t="shared" si="1"/>
        <v>0</v>
      </c>
      <c r="BA24" s="59" t="b">
        <f t="shared" si="1"/>
        <v>0</v>
      </c>
      <c r="BB24" s="59" t="b">
        <f t="shared" si="1"/>
        <v>0</v>
      </c>
    </row>
    <row r="25" spans="3:54" ht="15" customHeight="1">
      <c r="P25" s="59"/>
      <c r="Q25" s="59"/>
      <c r="R25" s="59"/>
      <c r="S25" s="59"/>
      <c r="T25" s="59"/>
      <c r="U25" s="59"/>
      <c r="V25" s="59"/>
      <c r="W25" s="59"/>
      <c r="X25" s="59"/>
      <c r="Y25" s="59"/>
      <c r="Z25" s="59"/>
      <c r="AA25" s="59"/>
      <c r="AB25" s="59"/>
      <c r="AC25" s="59"/>
      <c r="AD25" s="59"/>
      <c r="AE25" s="59"/>
      <c r="AF25" s="59"/>
      <c r="AG25" s="59"/>
      <c r="AH25" s="59"/>
      <c r="AI25" s="59"/>
      <c r="AJ25" s="59"/>
      <c r="AK25" s="59"/>
      <c r="AL25" s="59"/>
      <c r="AM25" s="59"/>
      <c r="AN25" s="59"/>
      <c r="AO25" s="59"/>
      <c r="AP25" s="59"/>
      <c r="AQ25" s="59"/>
      <c r="AR25" s="59"/>
      <c r="AS25" s="59"/>
      <c r="AT25" s="59"/>
      <c r="AU25" s="59"/>
      <c r="AV25" s="59"/>
      <c r="AW25" s="59"/>
      <c r="AX25" s="59"/>
      <c r="AY25" s="59"/>
      <c r="AZ25" s="59"/>
      <c r="BA25" s="59"/>
      <c r="BB25" s="59"/>
    </row>
    <row r="26" spans="3:54" ht="15" customHeight="1">
      <c r="E26" s="19" t="s">
        <v>627</v>
      </c>
      <c r="P26" s="59" t="b">
        <f t="shared" ref="P26:BB26" si="2">P14</f>
        <v>0</v>
      </c>
      <c r="Q26" s="59" t="b">
        <f t="shared" si="2"/>
        <v>0</v>
      </c>
      <c r="R26" s="59" t="b">
        <f t="shared" si="2"/>
        <v>0</v>
      </c>
      <c r="S26" s="59" t="b">
        <f t="shared" si="2"/>
        <v>1</v>
      </c>
      <c r="T26" s="59" t="b">
        <f t="shared" si="2"/>
        <v>1</v>
      </c>
      <c r="U26" s="59" t="b">
        <f t="shared" si="2"/>
        <v>1</v>
      </c>
      <c r="V26" s="59" t="b">
        <f t="shared" si="2"/>
        <v>1</v>
      </c>
      <c r="W26" s="59" t="b">
        <f t="shared" si="2"/>
        <v>1</v>
      </c>
      <c r="X26" s="59" t="b">
        <f t="shared" si="2"/>
        <v>1</v>
      </c>
      <c r="Y26" s="59" t="b">
        <f t="shared" si="2"/>
        <v>1</v>
      </c>
      <c r="Z26" s="59" t="b">
        <f t="shared" si="2"/>
        <v>1</v>
      </c>
      <c r="AA26" s="59" t="b">
        <f t="shared" si="2"/>
        <v>1</v>
      </c>
      <c r="AB26" s="59" t="b">
        <f t="shared" si="2"/>
        <v>1</v>
      </c>
      <c r="AC26" s="59" t="b">
        <f t="shared" si="2"/>
        <v>1</v>
      </c>
      <c r="AD26" s="59" t="b">
        <f t="shared" si="2"/>
        <v>1</v>
      </c>
      <c r="AE26" s="59" t="b">
        <f t="shared" si="2"/>
        <v>1</v>
      </c>
      <c r="AF26" s="59" t="b">
        <f t="shared" si="2"/>
        <v>1</v>
      </c>
      <c r="AG26" s="59" t="b">
        <f t="shared" si="2"/>
        <v>1</v>
      </c>
      <c r="AH26" s="59" t="b">
        <f t="shared" si="2"/>
        <v>1</v>
      </c>
      <c r="AI26" s="59" t="b">
        <f t="shared" si="2"/>
        <v>1</v>
      </c>
      <c r="AJ26" s="59" t="b">
        <f t="shared" si="2"/>
        <v>1</v>
      </c>
      <c r="AK26" s="59" t="b">
        <f t="shared" si="2"/>
        <v>1</v>
      </c>
      <c r="AL26" s="59" t="b">
        <f t="shared" si="2"/>
        <v>1</v>
      </c>
      <c r="AM26" s="59" t="b">
        <f t="shared" si="2"/>
        <v>1</v>
      </c>
      <c r="AN26" s="59" t="b">
        <f t="shared" si="2"/>
        <v>1</v>
      </c>
      <c r="AO26" s="59" t="b">
        <f t="shared" si="2"/>
        <v>1</v>
      </c>
      <c r="AP26" s="59" t="b">
        <f t="shared" si="2"/>
        <v>0</v>
      </c>
      <c r="AQ26" s="59" t="b">
        <f t="shared" si="2"/>
        <v>0</v>
      </c>
      <c r="AR26" s="59" t="b">
        <f t="shared" si="2"/>
        <v>0</v>
      </c>
      <c r="AS26" s="59" t="b">
        <f t="shared" si="2"/>
        <v>0</v>
      </c>
      <c r="AT26" s="59" t="b">
        <f t="shared" si="2"/>
        <v>0</v>
      </c>
      <c r="AU26" s="59" t="b">
        <f t="shared" si="2"/>
        <v>0</v>
      </c>
      <c r="AV26" s="59" t="b">
        <f t="shared" si="2"/>
        <v>0</v>
      </c>
      <c r="AW26" s="59" t="b">
        <f t="shared" si="2"/>
        <v>0</v>
      </c>
      <c r="AX26" s="59" t="b">
        <f t="shared" si="2"/>
        <v>0</v>
      </c>
      <c r="AY26" s="59" t="b">
        <f t="shared" si="2"/>
        <v>0</v>
      </c>
      <c r="AZ26" s="59" t="b">
        <f t="shared" si="2"/>
        <v>0</v>
      </c>
      <c r="BA26" s="59" t="b">
        <f t="shared" si="2"/>
        <v>0</v>
      </c>
      <c r="BB26" s="59" t="b">
        <f t="shared" si="2"/>
        <v>0</v>
      </c>
    </row>
    <row r="27" spans="3:54" ht="15" customHeight="1">
      <c r="E27" s="19" t="s">
        <v>628</v>
      </c>
      <c r="P27" s="59" t="b">
        <f>AND(P14,P16)</f>
        <v>0</v>
      </c>
      <c r="Q27" s="59" t="b">
        <f t="shared" ref="Q27:BB27" si="3">AND(Q14,Q16)</f>
        <v>0</v>
      </c>
      <c r="R27" s="59" t="b">
        <f t="shared" si="3"/>
        <v>0</v>
      </c>
      <c r="S27" s="59" t="b">
        <f t="shared" si="3"/>
        <v>1</v>
      </c>
      <c r="T27" s="59" t="b">
        <f t="shared" si="3"/>
        <v>1</v>
      </c>
      <c r="U27" s="59" t="b">
        <f t="shared" si="3"/>
        <v>1</v>
      </c>
      <c r="V27" s="59" t="b">
        <f t="shared" si="3"/>
        <v>1</v>
      </c>
      <c r="W27" s="59" t="b">
        <f t="shared" si="3"/>
        <v>1</v>
      </c>
      <c r="X27" s="59" t="b">
        <f t="shared" si="3"/>
        <v>1</v>
      </c>
      <c r="Y27" s="59" t="b">
        <f t="shared" si="3"/>
        <v>1</v>
      </c>
      <c r="Z27" s="59" t="b">
        <f t="shared" si="3"/>
        <v>1</v>
      </c>
      <c r="AA27" s="59" t="b">
        <f t="shared" si="3"/>
        <v>1</v>
      </c>
      <c r="AB27" s="59" t="b">
        <f t="shared" si="3"/>
        <v>1</v>
      </c>
      <c r="AC27" s="59" t="b">
        <f t="shared" si="3"/>
        <v>1</v>
      </c>
      <c r="AD27" s="59" t="b">
        <f t="shared" si="3"/>
        <v>1</v>
      </c>
      <c r="AE27" s="59" t="b">
        <f t="shared" si="3"/>
        <v>1</v>
      </c>
      <c r="AF27" s="59" t="b">
        <f t="shared" si="3"/>
        <v>1</v>
      </c>
      <c r="AG27" s="59" t="b">
        <f t="shared" si="3"/>
        <v>1</v>
      </c>
      <c r="AH27" s="59" t="b">
        <f t="shared" si="3"/>
        <v>1</v>
      </c>
      <c r="AI27" s="59" t="b">
        <f t="shared" si="3"/>
        <v>1</v>
      </c>
      <c r="AJ27" s="59" t="b">
        <f t="shared" si="3"/>
        <v>1</v>
      </c>
      <c r="AK27" s="59" t="b">
        <f t="shared" si="3"/>
        <v>1</v>
      </c>
      <c r="AL27" s="59" t="b">
        <f t="shared" si="3"/>
        <v>1</v>
      </c>
      <c r="AM27" s="59" t="b">
        <f t="shared" si="3"/>
        <v>1</v>
      </c>
      <c r="AN27" s="59" t="b">
        <f t="shared" si="3"/>
        <v>1</v>
      </c>
      <c r="AO27" s="59" t="b">
        <f t="shared" si="3"/>
        <v>1</v>
      </c>
      <c r="AP27" s="59" t="b">
        <f t="shared" si="3"/>
        <v>0</v>
      </c>
      <c r="AQ27" s="59" t="b">
        <f t="shared" si="3"/>
        <v>0</v>
      </c>
      <c r="AR27" s="59" t="b">
        <f t="shared" si="3"/>
        <v>0</v>
      </c>
      <c r="AS27" s="59" t="b">
        <f t="shared" si="3"/>
        <v>0</v>
      </c>
      <c r="AT27" s="59" t="b">
        <f t="shared" si="3"/>
        <v>0</v>
      </c>
      <c r="AU27" s="59" t="b">
        <f t="shared" si="3"/>
        <v>0</v>
      </c>
      <c r="AV27" s="59" t="b">
        <f t="shared" si="3"/>
        <v>0</v>
      </c>
      <c r="AW27" s="59" t="b">
        <f t="shared" si="3"/>
        <v>0</v>
      </c>
      <c r="AX27" s="59" t="b">
        <f t="shared" si="3"/>
        <v>0</v>
      </c>
      <c r="AY27" s="59" t="b">
        <f t="shared" si="3"/>
        <v>0</v>
      </c>
      <c r="AZ27" s="59" t="b">
        <f t="shared" si="3"/>
        <v>0</v>
      </c>
      <c r="BA27" s="59" t="b">
        <f t="shared" si="3"/>
        <v>0</v>
      </c>
      <c r="BB27" s="59" t="b">
        <f t="shared" si="3"/>
        <v>0</v>
      </c>
    </row>
    <row r="28" spans="3:54" ht="15" customHeight="1">
      <c r="E28" s="19" t="s">
        <v>629</v>
      </c>
      <c r="P28" s="59" t="b">
        <f t="shared" ref="P28:BB28" si="4">AND(P14,P16=FALSE,P19)</f>
        <v>0</v>
      </c>
      <c r="Q28" s="59" t="b">
        <f t="shared" si="4"/>
        <v>0</v>
      </c>
      <c r="R28" s="59" t="b">
        <f t="shared" si="4"/>
        <v>0</v>
      </c>
      <c r="S28" s="59" t="b">
        <f t="shared" si="4"/>
        <v>0</v>
      </c>
      <c r="T28" s="59" t="b">
        <f t="shared" si="4"/>
        <v>0</v>
      </c>
      <c r="U28" s="59" t="b">
        <f t="shared" si="4"/>
        <v>0</v>
      </c>
      <c r="V28" s="59" t="b">
        <f t="shared" si="4"/>
        <v>0</v>
      </c>
      <c r="W28" s="59" t="b">
        <f t="shared" si="4"/>
        <v>0</v>
      </c>
      <c r="X28" s="59" t="b">
        <f t="shared" si="4"/>
        <v>0</v>
      </c>
      <c r="Y28" s="59" t="b">
        <f t="shared" si="4"/>
        <v>0</v>
      </c>
      <c r="Z28" s="59" t="b">
        <f t="shared" si="4"/>
        <v>0</v>
      </c>
      <c r="AA28" s="59" t="b">
        <f t="shared" si="4"/>
        <v>0</v>
      </c>
      <c r="AB28" s="59" t="b">
        <f t="shared" si="4"/>
        <v>0</v>
      </c>
      <c r="AC28" s="59" t="b">
        <f t="shared" si="4"/>
        <v>0</v>
      </c>
      <c r="AD28" s="59" t="b">
        <f t="shared" si="4"/>
        <v>0</v>
      </c>
      <c r="AE28" s="59" t="b">
        <f t="shared" si="4"/>
        <v>0</v>
      </c>
      <c r="AF28" s="59" t="b">
        <f t="shared" si="4"/>
        <v>0</v>
      </c>
      <c r="AG28" s="59" t="b">
        <f t="shared" si="4"/>
        <v>0</v>
      </c>
      <c r="AH28" s="59" t="b">
        <f t="shared" si="4"/>
        <v>0</v>
      </c>
      <c r="AI28" s="59" t="b">
        <f t="shared" si="4"/>
        <v>0</v>
      </c>
      <c r="AJ28" s="59" t="b">
        <f t="shared" si="4"/>
        <v>0</v>
      </c>
      <c r="AK28" s="59" t="b">
        <f t="shared" si="4"/>
        <v>0</v>
      </c>
      <c r="AL28" s="59" t="b">
        <f t="shared" si="4"/>
        <v>0</v>
      </c>
      <c r="AM28" s="59" t="b">
        <f t="shared" si="4"/>
        <v>0</v>
      </c>
      <c r="AN28" s="59" t="b">
        <f t="shared" si="4"/>
        <v>0</v>
      </c>
      <c r="AO28" s="59" t="b">
        <f t="shared" si="4"/>
        <v>0</v>
      </c>
      <c r="AP28" s="59" t="b">
        <f t="shared" si="4"/>
        <v>0</v>
      </c>
      <c r="AQ28" s="59" t="b">
        <f t="shared" si="4"/>
        <v>0</v>
      </c>
      <c r="AR28" s="59" t="b">
        <f t="shared" si="4"/>
        <v>0</v>
      </c>
      <c r="AS28" s="59" t="b">
        <f t="shared" si="4"/>
        <v>0</v>
      </c>
      <c r="AT28" s="59" t="b">
        <f t="shared" si="4"/>
        <v>0</v>
      </c>
      <c r="AU28" s="59" t="b">
        <f t="shared" si="4"/>
        <v>0</v>
      </c>
      <c r="AV28" s="59" t="b">
        <f t="shared" si="4"/>
        <v>0</v>
      </c>
      <c r="AW28" s="59" t="b">
        <f t="shared" si="4"/>
        <v>0</v>
      </c>
      <c r="AX28" s="59" t="b">
        <f t="shared" si="4"/>
        <v>0</v>
      </c>
      <c r="AY28" s="59" t="b">
        <f t="shared" si="4"/>
        <v>0</v>
      </c>
      <c r="AZ28" s="59" t="b">
        <f t="shared" si="4"/>
        <v>0</v>
      </c>
      <c r="BA28" s="59" t="b">
        <f t="shared" si="4"/>
        <v>0</v>
      </c>
      <c r="BB28" s="59" t="b">
        <f t="shared" si="4"/>
        <v>0</v>
      </c>
    </row>
    <row r="29" spans="3:54" ht="15" customHeight="1">
      <c r="E29" s="19" t="s">
        <v>630</v>
      </c>
      <c r="P29" s="59" t="b">
        <f t="shared" ref="P29:BB29" si="5">IF(AND(P28,P16=FALSE,P17),TRUE,FALSE)</f>
        <v>0</v>
      </c>
      <c r="Q29" s="59" t="b">
        <f t="shared" si="5"/>
        <v>0</v>
      </c>
      <c r="R29" s="59" t="b">
        <f t="shared" si="5"/>
        <v>0</v>
      </c>
      <c r="S29" s="59" t="b">
        <f t="shared" si="5"/>
        <v>0</v>
      </c>
      <c r="T29" s="59" t="b">
        <f t="shared" si="5"/>
        <v>0</v>
      </c>
      <c r="U29" s="59" t="b">
        <f t="shared" si="5"/>
        <v>0</v>
      </c>
      <c r="V29" s="59" t="b">
        <f t="shared" si="5"/>
        <v>0</v>
      </c>
      <c r="W29" s="59" t="b">
        <f t="shared" si="5"/>
        <v>0</v>
      </c>
      <c r="X29" s="59" t="b">
        <f t="shared" si="5"/>
        <v>0</v>
      </c>
      <c r="Y29" s="59" t="b">
        <f t="shared" si="5"/>
        <v>0</v>
      </c>
      <c r="Z29" s="59" t="b">
        <f t="shared" si="5"/>
        <v>0</v>
      </c>
      <c r="AA29" s="59" t="b">
        <f t="shared" si="5"/>
        <v>0</v>
      </c>
      <c r="AB29" s="59" t="b">
        <f t="shared" si="5"/>
        <v>0</v>
      </c>
      <c r="AC29" s="59" t="b">
        <f t="shared" si="5"/>
        <v>0</v>
      </c>
      <c r="AD29" s="59" t="b">
        <f t="shared" si="5"/>
        <v>0</v>
      </c>
      <c r="AE29" s="59" t="b">
        <f t="shared" si="5"/>
        <v>0</v>
      </c>
      <c r="AF29" s="59" t="b">
        <f t="shared" si="5"/>
        <v>0</v>
      </c>
      <c r="AG29" s="59" t="b">
        <f t="shared" si="5"/>
        <v>0</v>
      </c>
      <c r="AH29" s="59" t="b">
        <f t="shared" si="5"/>
        <v>0</v>
      </c>
      <c r="AI29" s="59" t="b">
        <f t="shared" si="5"/>
        <v>0</v>
      </c>
      <c r="AJ29" s="59" t="b">
        <f t="shared" si="5"/>
        <v>0</v>
      </c>
      <c r="AK29" s="59" t="b">
        <f t="shared" si="5"/>
        <v>0</v>
      </c>
      <c r="AL29" s="59" t="b">
        <f t="shared" si="5"/>
        <v>0</v>
      </c>
      <c r="AM29" s="59" t="b">
        <f t="shared" si="5"/>
        <v>0</v>
      </c>
      <c r="AN29" s="59" t="b">
        <f t="shared" si="5"/>
        <v>0</v>
      </c>
      <c r="AO29" s="59" t="b">
        <f t="shared" si="5"/>
        <v>0</v>
      </c>
      <c r="AP29" s="59" t="b">
        <f t="shared" si="5"/>
        <v>0</v>
      </c>
      <c r="AQ29" s="59" t="b">
        <f t="shared" si="5"/>
        <v>0</v>
      </c>
      <c r="AR29" s="59" t="b">
        <f t="shared" si="5"/>
        <v>0</v>
      </c>
      <c r="AS29" s="59" t="b">
        <f t="shared" si="5"/>
        <v>0</v>
      </c>
      <c r="AT29" s="59" t="b">
        <f t="shared" si="5"/>
        <v>0</v>
      </c>
      <c r="AU29" s="59" t="b">
        <f t="shared" si="5"/>
        <v>0</v>
      </c>
      <c r="AV29" s="59" t="b">
        <f t="shared" si="5"/>
        <v>0</v>
      </c>
      <c r="AW29" s="59" t="b">
        <f t="shared" si="5"/>
        <v>0</v>
      </c>
      <c r="AX29" s="59" t="b">
        <f t="shared" si="5"/>
        <v>0</v>
      </c>
      <c r="AY29" s="59" t="b">
        <f t="shared" si="5"/>
        <v>0</v>
      </c>
      <c r="AZ29" s="59" t="b">
        <f t="shared" si="5"/>
        <v>0</v>
      </c>
      <c r="BA29" s="59" t="b">
        <f t="shared" si="5"/>
        <v>0</v>
      </c>
      <c r="BB29" s="59" t="b">
        <f t="shared" si="5"/>
        <v>0</v>
      </c>
    </row>
    <row r="30" spans="3:54" ht="15" customHeight="1">
      <c r="E30" s="19" t="s">
        <v>631</v>
      </c>
      <c r="P30" s="59" t="b">
        <f t="shared" ref="P30:BB30" si="6">P17=FALSE</f>
        <v>0</v>
      </c>
      <c r="Q30" s="59" t="b">
        <f t="shared" si="6"/>
        <v>0</v>
      </c>
      <c r="R30" s="59" t="b">
        <f t="shared" si="6"/>
        <v>0</v>
      </c>
      <c r="S30" s="59" t="b">
        <f t="shared" si="6"/>
        <v>0</v>
      </c>
      <c r="T30" s="59" t="b">
        <f t="shared" si="6"/>
        <v>0</v>
      </c>
      <c r="U30" s="59" t="b">
        <f t="shared" si="6"/>
        <v>0</v>
      </c>
      <c r="V30" s="59" t="b">
        <f t="shared" si="6"/>
        <v>0</v>
      </c>
      <c r="W30" s="59" t="b">
        <f t="shared" si="6"/>
        <v>0</v>
      </c>
      <c r="X30" s="59" t="b">
        <f t="shared" si="6"/>
        <v>0</v>
      </c>
      <c r="Y30" s="59" t="b">
        <f t="shared" si="6"/>
        <v>0</v>
      </c>
      <c r="Z30" s="59" t="b">
        <f t="shared" si="6"/>
        <v>0</v>
      </c>
      <c r="AA30" s="59" t="b">
        <f t="shared" si="6"/>
        <v>0</v>
      </c>
      <c r="AB30" s="59" t="b">
        <f t="shared" si="6"/>
        <v>0</v>
      </c>
      <c r="AC30" s="59" t="b">
        <f t="shared" si="6"/>
        <v>0</v>
      </c>
      <c r="AD30" s="59" t="b">
        <f t="shared" si="6"/>
        <v>0</v>
      </c>
      <c r="AE30" s="59" t="b">
        <f t="shared" si="6"/>
        <v>0</v>
      </c>
      <c r="AF30" s="59" t="b">
        <f t="shared" si="6"/>
        <v>0</v>
      </c>
      <c r="AG30" s="59" t="b">
        <f t="shared" si="6"/>
        <v>0</v>
      </c>
      <c r="AH30" s="59" t="b">
        <f t="shared" si="6"/>
        <v>0</v>
      </c>
      <c r="AI30" s="59" t="b">
        <f t="shared" si="6"/>
        <v>0</v>
      </c>
      <c r="AJ30" s="59" t="b">
        <f t="shared" si="6"/>
        <v>0</v>
      </c>
      <c r="AK30" s="59" t="b">
        <f t="shared" si="6"/>
        <v>0</v>
      </c>
      <c r="AL30" s="59" t="b">
        <f t="shared" si="6"/>
        <v>0</v>
      </c>
      <c r="AM30" s="59" t="b">
        <f t="shared" si="6"/>
        <v>0</v>
      </c>
      <c r="AN30" s="59" t="b">
        <f t="shared" si="6"/>
        <v>0</v>
      </c>
      <c r="AO30" s="59" t="b">
        <f t="shared" si="6"/>
        <v>0</v>
      </c>
      <c r="AP30" s="59" t="b">
        <f t="shared" si="6"/>
        <v>0</v>
      </c>
      <c r="AQ30" s="59" t="b">
        <f t="shared" si="6"/>
        <v>0</v>
      </c>
      <c r="AR30" s="59" t="b">
        <f t="shared" si="6"/>
        <v>0</v>
      </c>
      <c r="AS30" s="59" t="b">
        <f t="shared" si="6"/>
        <v>0</v>
      </c>
      <c r="AT30" s="59" t="b">
        <f t="shared" si="6"/>
        <v>0</v>
      </c>
      <c r="AU30" s="59" t="b">
        <f t="shared" si="6"/>
        <v>0</v>
      </c>
      <c r="AV30" s="59" t="b">
        <f t="shared" si="6"/>
        <v>0</v>
      </c>
      <c r="AW30" s="59" t="b">
        <f t="shared" si="6"/>
        <v>0</v>
      </c>
      <c r="AX30" s="59" t="b">
        <f t="shared" si="6"/>
        <v>0</v>
      </c>
      <c r="AY30" s="59" t="b">
        <f t="shared" si="6"/>
        <v>0</v>
      </c>
      <c r="AZ30" s="59" t="b">
        <f t="shared" si="6"/>
        <v>0</v>
      </c>
      <c r="BA30" s="59" t="b">
        <f t="shared" si="6"/>
        <v>0</v>
      </c>
      <c r="BB30" s="59" t="b">
        <f t="shared" si="6"/>
        <v>0</v>
      </c>
    </row>
    <row r="31" spans="3:54" ht="15" customHeight="1">
      <c r="E31" s="19" t="s">
        <v>632</v>
      </c>
      <c r="P31" s="59" t="b">
        <f>(Assessment!P92+Assessment!P93)&lt;0</f>
        <v>0</v>
      </c>
      <c r="Q31" s="59" t="b">
        <f>(Assessment!Q92+Assessment!Q93)&lt;0</f>
        <v>0</v>
      </c>
      <c r="R31" s="59" t="b">
        <f>(Assessment!R92+Assessment!R93)&lt;0</f>
        <v>0</v>
      </c>
      <c r="S31" s="59" t="b">
        <f>(Assessment!S92+Assessment!S93)&lt;0</f>
        <v>0</v>
      </c>
      <c r="T31" s="59" t="b">
        <f>(Assessment!T92+Assessment!T93)&lt;0</f>
        <v>0</v>
      </c>
      <c r="U31" s="59" t="b">
        <f>(Assessment!U92+Assessment!U93)&lt;0</f>
        <v>0</v>
      </c>
      <c r="V31" s="59" t="b">
        <f>(Assessment!V92+Assessment!V93)&lt;0</f>
        <v>0</v>
      </c>
      <c r="W31" s="59" t="b">
        <f>(Assessment!W92+Assessment!W93)&lt;0</f>
        <v>0</v>
      </c>
      <c r="X31" s="59" t="b">
        <f>(Assessment!X92+Assessment!X93)&lt;0</f>
        <v>0</v>
      </c>
      <c r="Y31" s="59" t="b">
        <f>(Assessment!Y92+Assessment!Y93)&lt;0</f>
        <v>0</v>
      </c>
      <c r="Z31" s="59" t="b">
        <f>(Assessment!Z92+Assessment!Z93)&lt;0</f>
        <v>0</v>
      </c>
      <c r="AA31" s="59" t="b">
        <f>(Assessment!AA92+Assessment!AA93)&lt;0</f>
        <v>0</v>
      </c>
      <c r="AB31" s="59" t="b">
        <f>(Assessment!AB92+Assessment!AB93)&lt;0</f>
        <v>0</v>
      </c>
      <c r="AC31" s="59" t="b">
        <f>(Assessment!AC92+Assessment!AC93)&lt;0</f>
        <v>0</v>
      </c>
      <c r="AD31" s="59" t="b">
        <f>(Assessment!AD92+Assessment!AD93)&lt;0</f>
        <v>0</v>
      </c>
      <c r="AE31" s="59" t="b">
        <f>(Assessment!AE92+Assessment!AE93)&lt;0</f>
        <v>0</v>
      </c>
      <c r="AF31" s="59" t="b">
        <f>(Assessment!AF92+Assessment!AF93)&lt;0</f>
        <v>0</v>
      </c>
      <c r="AG31" s="59" t="b">
        <f>(Assessment!AG92+Assessment!AG93)&lt;0</f>
        <v>0</v>
      </c>
      <c r="AH31" s="59" t="b">
        <f>(Assessment!AH92+Assessment!AH93)&lt;0</f>
        <v>0</v>
      </c>
      <c r="AI31" s="59" t="b">
        <f>(Assessment!AI92+Assessment!AI93)&lt;0</f>
        <v>0</v>
      </c>
      <c r="AJ31" s="59" t="b">
        <f>(Assessment!AJ92+Assessment!AJ93)&lt;0</f>
        <v>0</v>
      </c>
      <c r="AK31" s="59" t="b">
        <f>(Assessment!AK92+Assessment!AK93)&lt;0</f>
        <v>0</v>
      </c>
      <c r="AL31" s="59" t="b">
        <f>(Assessment!AL92+Assessment!AL93)&lt;0</f>
        <v>0</v>
      </c>
      <c r="AM31" s="59" t="b">
        <f>(Assessment!AM92+Assessment!AM93)&lt;0</f>
        <v>0</v>
      </c>
      <c r="AN31" s="59" t="b">
        <f>(Assessment!AN92+Assessment!AN93)&lt;0</f>
        <v>0</v>
      </c>
      <c r="AO31" s="59" t="b">
        <f>(Assessment!AO92+Assessment!AO93)&lt;0</f>
        <v>0</v>
      </c>
      <c r="AP31" s="59" t="b">
        <f>(Assessment!AP92+Assessment!AP93)&lt;0</f>
        <v>0</v>
      </c>
      <c r="AQ31" s="59" t="b">
        <f>(Assessment!AQ92+Assessment!AQ93)&lt;0</f>
        <v>0</v>
      </c>
      <c r="AR31" s="59" t="b">
        <f>(Assessment!AR92+Assessment!AR93)&lt;0</f>
        <v>0</v>
      </c>
      <c r="AS31" s="59" t="b">
        <f>(Assessment!AS92+Assessment!AS93)&lt;0</f>
        <v>0</v>
      </c>
      <c r="AT31" s="59" t="b">
        <f>(Assessment!AT92+Assessment!AT93)&lt;0</f>
        <v>0</v>
      </c>
      <c r="AU31" s="59" t="b">
        <f>(Assessment!AU92+Assessment!AU93)&lt;0</f>
        <v>0</v>
      </c>
      <c r="AV31" s="59" t="b">
        <f>(Assessment!AV92+Assessment!AV93)&lt;0</f>
        <v>0</v>
      </c>
      <c r="AW31" s="59" t="b">
        <f>(Assessment!AW92+Assessment!AW93)&lt;0</f>
        <v>0</v>
      </c>
      <c r="AX31" s="59" t="b">
        <f>(Assessment!AX92+Assessment!AX93)&lt;0</f>
        <v>0</v>
      </c>
      <c r="AY31" s="59" t="b">
        <f>(Assessment!AY92+Assessment!AY93)&lt;0</f>
        <v>0</v>
      </c>
      <c r="AZ31" s="59" t="b">
        <f>(Assessment!AZ92+Assessment!AZ93)&lt;0</f>
        <v>0</v>
      </c>
      <c r="BA31" s="59" t="b">
        <f>(Assessment!BA92+Assessment!BA93)&lt;0</f>
        <v>0</v>
      </c>
      <c r="BB31" s="59" t="b">
        <f>(Assessment!BB92+Assessment!BB93)&lt;0</f>
        <v>0</v>
      </c>
    </row>
    <row r="32" spans="3:54" ht="15" customHeight="1">
      <c r="P32" s="59"/>
      <c r="Q32" s="59"/>
      <c r="R32" s="59"/>
      <c r="S32" s="59"/>
      <c r="T32" s="59"/>
      <c r="U32" s="59"/>
      <c r="V32" s="59"/>
      <c r="W32" s="59"/>
      <c r="X32" s="59"/>
      <c r="Y32" s="59"/>
      <c r="Z32" s="59"/>
      <c r="AA32" s="59"/>
      <c r="AB32" s="59"/>
      <c r="AC32" s="59"/>
      <c r="AD32" s="59"/>
      <c r="AE32" s="59"/>
      <c r="AF32" s="59"/>
      <c r="AG32" s="59"/>
      <c r="AH32" s="59"/>
      <c r="AI32" s="59"/>
      <c r="AJ32" s="59"/>
      <c r="AK32" s="59"/>
      <c r="AL32" s="59"/>
      <c r="AM32" s="59"/>
      <c r="AN32" s="59"/>
      <c r="AO32" s="59"/>
      <c r="AP32" s="59"/>
      <c r="AQ32" s="59"/>
      <c r="AR32" s="59"/>
      <c r="AS32" s="59"/>
      <c r="AT32" s="59"/>
      <c r="AU32" s="59"/>
      <c r="AV32" s="59"/>
      <c r="AW32" s="59"/>
      <c r="AX32" s="59"/>
      <c r="AY32" s="59"/>
      <c r="AZ32" s="59"/>
      <c r="BA32" s="59"/>
      <c r="BB32" s="59"/>
    </row>
    <row r="33" spans="2:54" ht="15" customHeight="1">
      <c r="E33" s="19" t="s">
        <v>633</v>
      </c>
      <c r="P33" s="59" t="b">
        <f t="shared" ref="P33:BB33" si="7">P15</f>
        <v>0</v>
      </c>
      <c r="Q33" s="59" t="b">
        <f t="shared" si="7"/>
        <v>0</v>
      </c>
      <c r="R33" s="59" t="b">
        <f t="shared" si="7"/>
        <v>0</v>
      </c>
      <c r="S33" s="59" t="b">
        <f t="shared" si="7"/>
        <v>1</v>
      </c>
      <c r="T33" s="59" t="b">
        <f t="shared" si="7"/>
        <v>1</v>
      </c>
      <c r="U33" s="59" t="b">
        <f t="shared" si="7"/>
        <v>1</v>
      </c>
      <c r="V33" s="59" t="b">
        <f t="shared" si="7"/>
        <v>1</v>
      </c>
      <c r="W33" s="59" t="b">
        <f t="shared" si="7"/>
        <v>1</v>
      </c>
      <c r="X33" s="59" t="b">
        <f t="shared" si="7"/>
        <v>1</v>
      </c>
      <c r="Y33" s="59" t="b">
        <f t="shared" si="7"/>
        <v>1</v>
      </c>
      <c r="Z33" s="59" t="b">
        <f t="shared" si="7"/>
        <v>1</v>
      </c>
      <c r="AA33" s="59" t="b">
        <f t="shared" si="7"/>
        <v>1</v>
      </c>
      <c r="AB33" s="59" t="b">
        <f t="shared" si="7"/>
        <v>1</v>
      </c>
      <c r="AC33" s="59" t="b">
        <f t="shared" si="7"/>
        <v>1</v>
      </c>
      <c r="AD33" s="59" t="b">
        <f t="shared" si="7"/>
        <v>1</v>
      </c>
      <c r="AE33" s="59" t="b">
        <f t="shared" si="7"/>
        <v>1</v>
      </c>
      <c r="AF33" s="59" t="b">
        <f t="shared" si="7"/>
        <v>1</v>
      </c>
      <c r="AG33" s="59" t="b">
        <f t="shared" si="7"/>
        <v>1</v>
      </c>
      <c r="AH33" s="59" t="b">
        <f t="shared" si="7"/>
        <v>1</v>
      </c>
      <c r="AI33" s="59" t="b">
        <f t="shared" si="7"/>
        <v>1</v>
      </c>
      <c r="AJ33" s="59" t="b">
        <f t="shared" si="7"/>
        <v>1</v>
      </c>
      <c r="AK33" s="59" t="b">
        <f t="shared" si="7"/>
        <v>1</v>
      </c>
      <c r="AL33" s="59" t="b">
        <f t="shared" si="7"/>
        <v>1</v>
      </c>
      <c r="AM33" s="59" t="b">
        <f t="shared" si="7"/>
        <v>1</v>
      </c>
      <c r="AN33" s="59" t="b">
        <f t="shared" si="7"/>
        <v>1</v>
      </c>
      <c r="AO33" s="59" t="b">
        <f t="shared" si="7"/>
        <v>1</v>
      </c>
      <c r="AP33" s="59" t="b">
        <f t="shared" si="7"/>
        <v>0</v>
      </c>
      <c r="AQ33" s="59" t="b">
        <f t="shared" si="7"/>
        <v>0</v>
      </c>
      <c r="AR33" s="59" t="b">
        <f t="shared" si="7"/>
        <v>0</v>
      </c>
      <c r="AS33" s="59" t="b">
        <f t="shared" si="7"/>
        <v>0</v>
      </c>
      <c r="AT33" s="59" t="b">
        <f t="shared" si="7"/>
        <v>0</v>
      </c>
      <c r="AU33" s="59" t="b">
        <f t="shared" si="7"/>
        <v>0</v>
      </c>
      <c r="AV33" s="59" t="b">
        <f t="shared" si="7"/>
        <v>0</v>
      </c>
      <c r="AW33" s="59" t="b">
        <f t="shared" si="7"/>
        <v>0</v>
      </c>
      <c r="AX33" s="59" t="b">
        <f t="shared" si="7"/>
        <v>0</v>
      </c>
      <c r="AY33" s="59" t="b">
        <f t="shared" si="7"/>
        <v>0</v>
      </c>
      <c r="AZ33" s="59" t="b">
        <f t="shared" si="7"/>
        <v>0</v>
      </c>
      <c r="BA33" s="59" t="b">
        <f t="shared" si="7"/>
        <v>0</v>
      </c>
      <c r="BB33" s="59" t="b">
        <f t="shared" si="7"/>
        <v>0</v>
      </c>
    </row>
    <row r="34" spans="2:54" ht="15" customHeight="1">
      <c r="E34" s="19" t="s">
        <v>634</v>
      </c>
      <c r="P34" s="157" t="b">
        <f>AND(P15,P16)</f>
        <v>0</v>
      </c>
      <c r="Q34" s="157" t="b">
        <f t="shared" ref="Q34:BB34" si="8">AND(Q15,Q16)</f>
        <v>0</v>
      </c>
      <c r="R34" s="157" t="b">
        <f t="shared" si="8"/>
        <v>0</v>
      </c>
      <c r="S34" s="157" t="b">
        <f t="shared" si="8"/>
        <v>1</v>
      </c>
      <c r="T34" s="157" t="b">
        <f t="shared" si="8"/>
        <v>1</v>
      </c>
      <c r="U34" s="157" t="b">
        <f t="shared" si="8"/>
        <v>1</v>
      </c>
      <c r="V34" s="157" t="b">
        <f t="shared" si="8"/>
        <v>1</v>
      </c>
      <c r="W34" s="157" t="b">
        <f t="shared" si="8"/>
        <v>1</v>
      </c>
      <c r="X34" s="157" t="b">
        <f t="shared" si="8"/>
        <v>1</v>
      </c>
      <c r="Y34" s="157" t="b">
        <f t="shared" si="8"/>
        <v>1</v>
      </c>
      <c r="Z34" s="157" t="b">
        <f t="shared" si="8"/>
        <v>1</v>
      </c>
      <c r="AA34" s="157" t="b">
        <f t="shared" si="8"/>
        <v>1</v>
      </c>
      <c r="AB34" s="157" t="b">
        <f t="shared" si="8"/>
        <v>1</v>
      </c>
      <c r="AC34" s="157" t="b">
        <f t="shared" si="8"/>
        <v>1</v>
      </c>
      <c r="AD34" s="157" t="b">
        <f t="shared" si="8"/>
        <v>1</v>
      </c>
      <c r="AE34" s="157" t="b">
        <f t="shared" si="8"/>
        <v>1</v>
      </c>
      <c r="AF34" s="157" t="b">
        <f t="shared" si="8"/>
        <v>1</v>
      </c>
      <c r="AG34" s="157" t="b">
        <f t="shared" si="8"/>
        <v>1</v>
      </c>
      <c r="AH34" s="157" t="b">
        <f t="shared" si="8"/>
        <v>1</v>
      </c>
      <c r="AI34" s="157" t="b">
        <f t="shared" si="8"/>
        <v>1</v>
      </c>
      <c r="AJ34" s="157" t="b">
        <f t="shared" si="8"/>
        <v>1</v>
      </c>
      <c r="AK34" s="157" t="b">
        <f t="shared" si="8"/>
        <v>1</v>
      </c>
      <c r="AL34" s="157" t="b">
        <f t="shared" si="8"/>
        <v>1</v>
      </c>
      <c r="AM34" s="157" t="b">
        <f t="shared" si="8"/>
        <v>1</v>
      </c>
      <c r="AN34" s="157" t="b">
        <f t="shared" si="8"/>
        <v>1</v>
      </c>
      <c r="AO34" s="157" t="b">
        <f t="shared" si="8"/>
        <v>1</v>
      </c>
      <c r="AP34" s="157" t="b">
        <f t="shared" si="8"/>
        <v>0</v>
      </c>
      <c r="AQ34" s="157" t="b">
        <f t="shared" si="8"/>
        <v>0</v>
      </c>
      <c r="AR34" s="157" t="b">
        <f t="shared" si="8"/>
        <v>0</v>
      </c>
      <c r="AS34" s="157" t="b">
        <f t="shared" si="8"/>
        <v>0</v>
      </c>
      <c r="AT34" s="157" t="b">
        <f t="shared" si="8"/>
        <v>0</v>
      </c>
      <c r="AU34" s="157" t="b">
        <f t="shared" si="8"/>
        <v>0</v>
      </c>
      <c r="AV34" s="157" t="b">
        <f t="shared" si="8"/>
        <v>0</v>
      </c>
      <c r="AW34" s="157" t="b">
        <f t="shared" si="8"/>
        <v>0</v>
      </c>
      <c r="AX34" s="157" t="b">
        <f t="shared" si="8"/>
        <v>0</v>
      </c>
      <c r="AY34" s="157" t="b">
        <f t="shared" si="8"/>
        <v>0</v>
      </c>
      <c r="AZ34" s="157" t="b">
        <f t="shared" si="8"/>
        <v>0</v>
      </c>
      <c r="BA34" s="157" t="b">
        <f t="shared" si="8"/>
        <v>0</v>
      </c>
      <c r="BB34" s="157" t="b">
        <f t="shared" si="8"/>
        <v>0</v>
      </c>
    </row>
    <row r="35" spans="2:54" ht="15" customHeight="1">
      <c r="E35" s="19" t="s">
        <v>635</v>
      </c>
      <c r="P35" s="59" t="b">
        <f t="shared" ref="P35:BB35" si="9">AND(P15,P11,P16,P19)</f>
        <v>0</v>
      </c>
      <c r="Q35" s="59" t="b">
        <f t="shared" si="9"/>
        <v>0</v>
      </c>
      <c r="R35" s="59" t="b">
        <f t="shared" si="9"/>
        <v>0</v>
      </c>
      <c r="S35" s="59" t="b">
        <f t="shared" si="9"/>
        <v>0</v>
      </c>
      <c r="T35" s="59" t="b">
        <f t="shared" si="9"/>
        <v>0</v>
      </c>
      <c r="U35" s="59" t="b">
        <f t="shared" si="9"/>
        <v>0</v>
      </c>
      <c r="V35" s="59" t="b">
        <f t="shared" si="9"/>
        <v>0</v>
      </c>
      <c r="W35" s="59" t="b">
        <f t="shared" si="9"/>
        <v>0</v>
      </c>
      <c r="X35" s="59" t="b">
        <f t="shared" si="9"/>
        <v>0</v>
      </c>
      <c r="Y35" s="59" t="b">
        <f t="shared" si="9"/>
        <v>0</v>
      </c>
      <c r="Z35" s="59" t="b">
        <f t="shared" si="9"/>
        <v>0</v>
      </c>
      <c r="AA35" s="59" t="b">
        <f t="shared" si="9"/>
        <v>0</v>
      </c>
      <c r="AB35" s="59" t="b">
        <f t="shared" si="9"/>
        <v>0</v>
      </c>
      <c r="AC35" s="59" t="b">
        <f t="shared" si="9"/>
        <v>0</v>
      </c>
      <c r="AD35" s="59" t="b">
        <f t="shared" si="9"/>
        <v>0</v>
      </c>
      <c r="AE35" s="59" t="b">
        <f t="shared" si="9"/>
        <v>0</v>
      </c>
      <c r="AF35" s="59" t="b">
        <f t="shared" si="9"/>
        <v>0</v>
      </c>
      <c r="AG35" s="59" t="b">
        <f t="shared" si="9"/>
        <v>0</v>
      </c>
      <c r="AH35" s="59" t="b">
        <f t="shared" si="9"/>
        <v>0</v>
      </c>
      <c r="AI35" s="59" t="b">
        <f t="shared" si="9"/>
        <v>0</v>
      </c>
      <c r="AJ35" s="59" t="b">
        <f t="shared" si="9"/>
        <v>0</v>
      </c>
      <c r="AK35" s="59" t="b">
        <f t="shared" si="9"/>
        <v>0</v>
      </c>
      <c r="AL35" s="59" t="b">
        <f t="shared" si="9"/>
        <v>0</v>
      </c>
      <c r="AM35" s="59" t="b">
        <f t="shared" si="9"/>
        <v>0</v>
      </c>
      <c r="AN35" s="59" t="b">
        <f t="shared" si="9"/>
        <v>0</v>
      </c>
      <c r="AO35" s="59" t="b">
        <f t="shared" si="9"/>
        <v>0</v>
      </c>
      <c r="AP35" s="59" t="b">
        <f t="shared" si="9"/>
        <v>0</v>
      </c>
      <c r="AQ35" s="59" t="b">
        <f t="shared" si="9"/>
        <v>0</v>
      </c>
      <c r="AR35" s="59" t="b">
        <f t="shared" si="9"/>
        <v>0</v>
      </c>
      <c r="AS35" s="59" t="b">
        <f t="shared" si="9"/>
        <v>0</v>
      </c>
      <c r="AT35" s="59" t="b">
        <f t="shared" si="9"/>
        <v>0</v>
      </c>
      <c r="AU35" s="59" t="b">
        <f t="shared" si="9"/>
        <v>0</v>
      </c>
      <c r="AV35" s="59" t="b">
        <f t="shared" si="9"/>
        <v>0</v>
      </c>
      <c r="AW35" s="59" t="b">
        <f t="shared" si="9"/>
        <v>0</v>
      </c>
      <c r="AX35" s="59" t="b">
        <f t="shared" si="9"/>
        <v>0</v>
      </c>
      <c r="AY35" s="59" t="b">
        <f t="shared" si="9"/>
        <v>0</v>
      </c>
      <c r="AZ35" s="59" t="b">
        <f t="shared" si="9"/>
        <v>0</v>
      </c>
      <c r="BA35" s="59" t="b">
        <f t="shared" si="9"/>
        <v>0</v>
      </c>
      <c r="BB35" s="59" t="b">
        <f t="shared" si="9"/>
        <v>0</v>
      </c>
    </row>
    <row r="36" spans="2:54" ht="15" customHeight="1">
      <c r="E36" s="19" t="s">
        <v>636</v>
      </c>
      <c r="P36" s="59" t="b">
        <f t="shared" ref="P36:BB36" si="10">AND(P15,P16=FALSE,P19)</f>
        <v>0</v>
      </c>
      <c r="Q36" s="59" t="b">
        <f t="shared" si="10"/>
        <v>0</v>
      </c>
      <c r="R36" s="59" t="b">
        <f t="shared" si="10"/>
        <v>0</v>
      </c>
      <c r="S36" s="59" t="b">
        <f t="shared" si="10"/>
        <v>0</v>
      </c>
      <c r="T36" s="59" t="b">
        <f t="shared" si="10"/>
        <v>0</v>
      </c>
      <c r="U36" s="59" t="b">
        <f t="shared" si="10"/>
        <v>0</v>
      </c>
      <c r="V36" s="59" t="b">
        <f t="shared" si="10"/>
        <v>0</v>
      </c>
      <c r="W36" s="59" t="b">
        <f t="shared" si="10"/>
        <v>0</v>
      </c>
      <c r="X36" s="59" t="b">
        <f t="shared" si="10"/>
        <v>0</v>
      </c>
      <c r="Y36" s="59" t="b">
        <f t="shared" si="10"/>
        <v>0</v>
      </c>
      <c r="Z36" s="59" t="b">
        <f t="shared" si="10"/>
        <v>0</v>
      </c>
      <c r="AA36" s="59" t="b">
        <f t="shared" si="10"/>
        <v>0</v>
      </c>
      <c r="AB36" s="59" t="b">
        <f t="shared" si="10"/>
        <v>0</v>
      </c>
      <c r="AC36" s="59" t="b">
        <f t="shared" si="10"/>
        <v>0</v>
      </c>
      <c r="AD36" s="59" t="b">
        <f t="shared" si="10"/>
        <v>0</v>
      </c>
      <c r="AE36" s="59" t="b">
        <f t="shared" si="10"/>
        <v>0</v>
      </c>
      <c r="AF36" s="59" t="b">
        <f t="shared" si="10"/>
        <v>0</v>
      </c>
      <c r="AG36" s="59" t="b">
        <f t="shared" si="10"/>
        <v>0</v>
      </c>
      <c r="AH36" s="59" t="b">
        <f t="shared" si="10"/>
        <v>0</v>
      </c>
      <c r="AI36" s="59" t="b">
        <f t="shared" si="10"/>
        <v>0</v>
      </c>
      <c r="AJ36" s="59" t="b">
        <f t="shared" si="10"/>
        <v>0</v>
      </c>
      <c r="AK36" s="59" t="b">
        <f t="shared" si="10"/>
        <v>0</v>
      </c>
      <c r="AL36" s="59" t="b">
        <f t="shared" si="10"/>
        <v>0</v>
      </c>
      <c r="AM36" s="59" t="b">
        <f t="shared" si="10"/>
        <v>0</v>
      </c>
      <c r="AN36" s="59" t="b">
        <f t="shared" si="10"/>
        <v>0</v>
      </c>
      <c r="AO36" s="59" t="b">
        <f t="shared" si="10"/>
        <v>0</v>
      </c>
      <c r="AP36" s="59" t="b">
        <f t="shared" si="10"/>
        <v>0</v>
      </c>
      <c r="AQ36" s="59" t="b">
        <f t="shared" si="10"/>
        <v>0</v>
      </c>
      <c r="AR36" s="59" t="b">
        <f t="shared" si="10"/>
        <v>0</v>
      </c>
      <c r="AS36" s="59" t="b">
        <f t="shared" si="10"/>
        <v>0</v>
      </c>
      <c r="AT36" s="59" t="b">
        <f t="shared" si="10"/>
        <v>0</v>
      </c>
      <c r="AU36" s="59" t="b">
        <f t="shared" si="10"/>
        <v>0</v>
      </c>
      <c r="AV36" s="59" t="b">
        <f t="shared" si="10"/>
        <v>0</v>
      </c>
      <c r="AW36" s="59" t="b">
        <f t="shared" si="10"/>
        <v>0</v>
      </c>
      <c r="AX36" s="59" t="b">
        <f t="shared" si="10"/>
        <v>0</v>
      </c>
      <c r="AY36" s="59" t="b">
        <f t="shared" si="10"/>
        <v>0</v>
      </c>
      <c r="AZ36" s="59" t="b">
        <f t="shared" si="10"/>
        <v>0</v>
      </c>
      <c r="BA36" s="59" t="b">
        <f t="shared" si="10"/>
        <v>0</v>
      </c>
      <c r="BB36" s="59" t="b">
        <f t="shared" si="10"/>
        <v>0</v>
      </c>
    </row>
    <row r="37" spans="2:54" ht="15" customHeight="1">
      <c r="E37" s="19" t="s">
        <v>637</v>
      </c>
      <c r="P37" s="59" t="b">
        <f t="shared" ref="P37:BB37" si="11">IF(AND(P36,P16=FALSE,P18),TRUE,FALSE)</f>
        <v>0</v>
      </c>
      <c r="Q37" s="59" t="b">
        <f t="shared" si="11"/>
        <v>0</v>
      </c>
      <c r="R37" s="59" t="b">
        <f t="shared" si="11"/>
        <v>0</v>
      </c>
      <c r="S37" s="59" t="b">
        <f t="shared" si="11"/>
        <v>0</v>
      </c>
      <c r="T37" s="59" t="b">
        <f t="shared" si="11"/>
        <v>0</v>
      </c>
      <c r="U37" s="59" t="b">
        <f t="shared" si="11"/>
        <v>0</v>
      </c>
      <c r="V37" s="59" t="b">
        <f t="shared" si="11"/>
        <v>0</v>
      </c>
      <c r="W37" s="59" t="b">
        <f t="shared" si="11"/>
        <v>0</v>
      </c>
      <c r="X37" s="59" t="b">
        <f t="shared" si="11"/>
        <v>0</v>
      </c>
      <c r="Y37" s="59" t="b">
        <f t="shared" si="11"/>
        <v>0</v>
      </c>
      <c r="Z37" s="59" t="b">
        <f t="shared" si="11"/>
        <v>0</v>
      </c>
      <c r="AA37" s="59" t="b">
        <f t="shared" si="11"/>
        <v>0</v>
      </c>
      <c r="AB37" s="59" t="b">
        <f t="shared" si="11"/>
        <v>0</v>
      </c>
      <c r="AC37" s="59" t="b">
        <f t="shared" si="11"/>
        <v>0</v>
      </c>
      <c r="AD37" s="59" t="b">
        <f t="shared" si="11"/>
        <v>0</v>
      </c>
      <c r="AE37" s="59" t="b">
        <f t="shared" si="11"/>
        <v>0</v>
      </c>
      <c r="AF37" s="59" t="b">
        <f t="shared" si="11"/>
        <v>0</v>
      </c>
      <c r="AG37" s="59" t="b">
        <f t="shared" si="11"/>
        <v>0</v>
      </c>
      <c r="AH37" s="59" t="b">
        <f t="shared" si="11"/>
        <v>0</v>
      </c>
      <c r="AI37" s="59" t="b">
        <f t="shared" si="11"/>
        <v>0</v>
      </c>
      <c r="AJ37" s="59" t="b">
        <f t="shared" si="11"/>
        <v>0</v>
      </c>
      <c r="AK37" s="59" t="b">
        <f t="shared" si="11"/>
        <v>0</v>
      </c>
      <c r="AL37" s="59" t="b">
        <f t="shared" si="11"/>
        <v>0</v>
      </c>
      <c r="AM37" s="59" t="b">
        <f t="shared" si="11"/>
        <v>0</v>
      </c>
      <c r="AN37" s="59" t="b">
        <f t="shared" si="11"/>
        <v>0</v>
      </c>
      <c r="AO37" s="59" t="b">
        <f t="shared" si="11"/>
        <v>0</v>
      </c>
      <c r="AP37" s="59" t="b">
        <f t="shared" si="11"/>
        <v>0</v>
      </c>
      <c r="AQ37" s="59" t="b">
        <f t="shared" si="11"/>
        <v>0</v>
      </c>
      <c r="AR37" s="59" t="b">
        <f t="shared" si="11"/>
        <v>0</v>
      </c>
      <c r="AS37" s="59" t="b">
        <f t="shared" si="11"/>
        <v>0</v>
      </c>
      <c r="AT37" s="59" t="b">
        <f t="shared" si="11"/>
        <v>0</v>
      </c>
      <c r="AU37" s="59" t="b">
        <f t="shared" si="11"/>
        <v>0</v>
      </c>
      <c r="AV37" s="59" t="b">
        <f t="shared" si="11"/>
        <v>0</v>
      </c>
      <c r="AW37" s="59" t="b">
        <f t="shared" si="11"/>
        <v>0</v>
      </c>
      <c r="AX37" s="59" t="b">
        <f t="shared" si="11"/>
        <v>0</v>
      </c>
      <c r="AY37" s="59" t="b">
        <f t="shared" si="11"/>
        <v>0</v>
      </c>
      <c r="AZ37" s="59" t="b">
        <f t="shared" si="11"/>
        <v>0</v>
      </c>
      <c r="BA37" s="59" t="b">
        <f t="shared" si="11"/>
        <v>0</v>
      </c>
      <c r="BB37" s="59" t="b">
        <f t="shared" si="11"/>
        <v>0</v>
      </c>
    </row>
    <row r="38" spans="2:54" ht="15" customHeight="1">
      <c r="E38" s="19" t="s">
        <v>638</v>
      </c>
      <c r="P38" s="59" t="b">
        <f t="shared" ref="P38:BB38" si="12">P18=FALSE</f>
        <v>0</v>
      </c>
      <c r="Q38" s="59" t="b">
        <f t="shared" si="12"/>
        <v>0</v>
      </c>
      <c r="R38" s="59" t="b">
        <f t="shared" si="12"/>
        <v>0</v>
      </c>
      <c r="S38" s="59" t="b">
        <f t="shared" si="12"/>
        <v>0</v>
      </c>
      <c r="T38" s="59" t="b">
        <f t="shared" si="12"/>
        <v>0</v>
      </c>
      <c r="U38" s="59" t="b">
        <f t="shared" si="12"/>
        <v>0</v>
      </c>
      <c r="V38" s="59" t="b">
        <f t="shared" si="12"/>
        <v>0</v>
      </c>
      <c r="W38" s="59" t="b">
        <f t="shared" si="12"/>
        <v>0</v>
      </c>
      <c r="X38" s="59" t="b">
        <f t="shared" si="12"/>
        <v>0</v>
      </c>
      <c r="Y38" s="59" t="b">
        <f t="shared" si="12"/>
        <v>0</v>
      </c>
      <c r="Z38" s="59" t="b">
        <f t="shared" si="12"/>
        <v>0</v>
      </c>
      <c r="AA38" s="59" t="b">
        <f t="shared" si="12"/>
        <v>0</v>
      </c>
      <c r="AB38" s="59" t="b">
        <f t="shared" si="12"/>
        <v>0</v>
      </c>
      <c r="AC38" s="59" t="b">
        <f t="shared" si="12"/>
        <v>0</v>
      </c>
      <c r="AD38" s="59" t="b">
        <f t="shared" si="12"/>
        <v>0</v>
      </c>
      <c r="AE38" s="59" t="b">
        <f t="shared" si="12"/>
        <v>0</v>
      </c>
      <c r="AF38" s="59" t="b">
        <f t="shared" si="12"/>
        <v>0</v>
      </c>
      <c r="AG38" s="59" t="b">
        <f t="shared" si="12"/>
        <v>0</v>
      </c>
      <c r="AH38" s="59" t="b">
        <f t="shared" si="12"/>
        <v>0</v>
      </c>
      <c r="AI38" s="59" t="b">
        <f t="shared" si="12"/>
        <v>0</v>
      </c>
      <c r="AJ38" s="59" t="b">
        <f t="shared" si="12"/>
        <v>0</v>
      </c>
      <c r="AK38" s="59" t="b">
        <f t="shared" si="12"/>
        <v>0</v>
      </c>
      <c r="AL38" s="59" t="b">
        <f t="shared" si="12"/>
        <v>0</v>
      </c>
      <c r="AM38" s="59" t="b">
        <f t="shared" si="12"/>
        <v>0</v>
      </c>
      <c r="AN38" s="59" t="b">
        <f t="shared" si="12"/>
        <v>0</v>
      </c>
      <c r="AO38" s="59" t="b">
        <f t="shared" si="12"/>
        <v>0</v>
      </c>
      <c r="AP38" s="59" t="b">
        <f t="shared" si="12"/>
        <v>0</v>
      </c>
      <c r="AQ38" s="59" t="b">
        <f t="shared" si="12"/>
        <v>1</v>
      </c>
      <c r="AR38" s="59" t="b">
        <f t="shared" si="12"/>
        <v>1</v>
      </c>
      <c r="AS38" s="59" t="b">
        <f t="shared" si="12"/>
        <v>1</v>
      </c>
      <c r="AT38" s="59" t="b">
        <f t="shared" si="12"/>
        <v>1</v>
      </c>
      <c r="AU38" s="59" t="b">
        <f t="shared" si="12"/>
        <v>1</v>
      </c>
      <c r="AV38" s="59" t="b">
        <f t="shared" si="12"/>
        <v>1</v>
      </c>
      <c r="AW38" s="59" t="b">
        <f t="shared" si="12"/>
        <v>1</v>
      </c>
      <c r="AX38" s="59" t="b">
        <f t="shared" si="12"/>
        <v>1</v>
      </c>
      <c r="AY38" s="59" t="b">
        <f t="shared" si="12"/>
        <v>1</v>
      </c>
      <c r="AZ38" s="59" t="b">
        <f t="shared" si="12"/>
        <v>1</v>
      </c>
      <c r="BA38" s="59" t="b">
        <f t="shared" si="12"/>
        <v>1</v>
      </c>
      <c r="BB38" s="59" t="b">
        <f t="shared" si="12"/>
        <v>1</v>
      </c>
    </row>
    <row r="39" spans="2:54" ht="15" customHeight="1">
      <c r="E39" s="19" t="s">
        <v>639</v>
      </c>
      <c r="P39" s="59" t="b">
        <f>(Assessment!P122+Assessment!P123)&lt;0</f>
        <v>0</v>
      </c>
      <c r="Q39" s="59" t="b">
        <f>(Assessment!Q122+Assessment!Q123)&lt;0</f>
        <v>0</v>
      </c>
      <c r="R39" s="59" t="b">
        <f>(Assessment!R122+Assessment!R123)&lt;0</f>
        <v>0</v>
      </c>
      <c r="S39" s="59" t="b">
        <f>(Assessment!S122+Assessment!S123)&lt;0</f>
        <v>0</v>
      </c>
      <c r="T39" s="59" t="b">
        <f>(Assessment!T122+Assessment!T123)&lt;0</f>
        <v>0</v>
      </c>
      <c r="U39" s="59" t="b">
        <f>(Assessment!U122+Assessment!U123)&lt;0</f>
        <v>0</v>
      </c>
      <c r="V39" s="59" t="b">
        <f>(Assessment!V122+Assessment!V123)&lt;0</f>
        <v>0</v>
      </c>
      <c r="W39" s="59" t="b">
        <f>(Assessment!W122+Assessment!W123)&lt;0</f>
        <v>0</v>
      </c>
      <c r="X39" s="59" t="b">
        <f>(Assessment!X122+Assessment!X123)&lt;0</f>
        <v>0</v>
      </c>
      <c r="Y39" s="59" t="b">
        <f>(Assessment!Y122+Assessment!Y123)&lt;0</f>
        <v>0</v>
      </c>
      <c r="Z39" s="59" t="b">
        <f>(Assessment!Z122+Assessment!Z123)&lt;0</f>
        <v>0</v>
      </c>
      <c r="AA39" s="59" t="b">
        <f>(Assessment!AA122+Assessment!AA123)&lt;0</f>
        <v>0</v>
      </c>
      <c r="AB39" s="59" t="b">
        <f>(Assessment!AB122+Assessment!AB123)&lt;0</f>
        <v>0</v>
      </c>
      <c r="AC39" s="59" t="b">
        <f>(Assessment!AC122+Assessment!AC123)&lt;0</f>
        <v>0</v>
      </c>
      <c r="AD39" s="59" t="b">
        <f>(Assessment!AD122+Assessment!AD123)&lt;0</f>
        <v>0</v>
      </c>
      <c r="AE39" s="59" t="b">
        <f>(Assessment!AE122+Assessment!AE123)&lt;0</f>
        <v>0</v>
      </c>
      <c r="AF39" s="59" t="b">
        <f>(Assessment!AF122+Assessment!AF123)&lt;0</f>
        <v>0</v>
      </c>
      <c r="AG39" s="59" t="b">
        <f>(Assessment!AG122+Assessment!AG123)&lt;0</f>
        <v>0</v>
      </c>
      <c r="AH39" s="59" t="b">
        <f>(Assessment!AH122+Assessment!AH123)&lt;0</f>
        <v>0</v>
      </c>
      <c r="AI39" s="59" t="b">
        <f>(Assessment!AI122+Assessment!AI123)&lt;0</f>
        <v>0</v>
      </c>
      <c r="AJ39" s="59" t="b">
        <f>(Assessment!AJ122+Assessment!AJ123)&lt;0</f>
        <v>0</v>
      </c>
      <c r="AK39" s="59" t="b">
        <f>(Assessment!AK122+Assessment!AK123)&lt;0</f>
        <v>0</v>
      </c>
      <c r="AL39" s="59" t="b">
        <f>(Assessment!AL122+Assessment!AL123)&lt;0</f>
        <v>0</v>
      </c>
      <c r="AM39" s="59" t="b">
        <f>(Assessment!AM122+Assessment!AM123)&lt;0</f>
        <v>0</v>
      </c>
      <c r="AN39" s="59" t="b">
        <f>(Assessment!AN122+Assessment!AN123)&lt;0</f>
        <v>0</v>
      </c>
      <c r="AO39" s="59" t="b">
        <f>(Assessment!AO122+Assessment!AO123)&lt;0</f>
        <v>0</v>
      </c>
      <c r="AP39" s="59" t="b">
        <f>(Assessment!AP122+Assessment!AP123)&lt;0</f>
        <v>0</v>
      </c>
      <c r="AQ39" s="59" t="b">
        <f>(Assessment!AQ122+Assessment!AQ123)&lt;0</f>
        <v>0</v>
      </c>
      <c r="AR39" s="59" t="b">
        <f>(Assessment!AR122+Assessment!AR123)&lt;0</f>
        <v>0</v>
      </c>
      <c r="AS39" s="59" t="b">
        <f>(Assessment!AS122+Assessment!AS123)&lt;0</f>
        <v>0</v>
      </c>
      <c r="AT39" s="59" t="b">
        <f>(Assessment!AT122+Assessment!AT123)&lt;0</f>
        <v>0</v>
      </c>
      <c r="AU39" s="59" t="b">
        <f>(Assessment!AU122+Assessment!AU123)&lt;0</f>
        <v>0</v>
      </c>
      <c r="AV39" s="59" t="b">
        <f>(Assessment!AV122+Assessment!AV123)&lt;0</f>
        <v>0</v>
      </c>
      <c r="AW39" s="59" t="b">
        <f>(Assessment!AW122+Assessment!AW123)&lt;0</f>
        <v>0</v>
      </c>
      <c r="AX39" s="59" t="b">
        <f>(Assessment!AX122+Assessment!AX123)&lt;0</f>
        <v>0</v>
      </c>
      <c r="AY39" s="59" t="b">
        <f>(Assessment!AY122+Assessment!AY123)&lt;0</f>
        <v>0</v>
      </c>
      <c r="AZ39" s="59" t="b">
        <f>(Assessment!AZ122+Assessment!AZ123)&lt;0</f>
        <v>0</v>
      </c>
      <c r="BA39" s="59" t="b">
        <f>(Assessment!BA122+Assessment!BA123)&lt;0</f>
        <v>0</v>
      </c>
      <c r="BB39" s="59" t="b">
        <f>(Assessment!BB122+Assessment!BB123)&lt;0</f>
        <v>0</v>
      </c>
    </row>
    <row r="40" spans="2:54" ht="15" customHeight="1"/>
    <row r="41" spans="2:54" s="4" customFormat="1" ht="15" customHeight="1">
      <c r="B41" s="166" t="s">
        <v>640</v>
      </c>
      <c r="C41" s="8"/>
      <c r="D41" s="8"/>
      <c r="E41" s="8"/>
      <c r="F41" s="8"/>
      <c r="G41" s="8"/>
      <c r="H41" s="8"/>
      <c r="I41" s="8"/>
      <c r="J41" s="8"/>
      <c r="K41" s="8"/>
      <c r="L41" s="8"/>
      <c r="M41" s="8"/>
      <c r="N41" s="8"/>
      <c r="O41" s="8"/>
      <c r="P41" s="8"/>
      <c r="Q41" s="8"/>
      <c r="R41" s="8"/>
      <c r="S41" s="8"/>
      <c r="T41" s="8"/>
      <c r="U41" s="8"/>
      <c r="V41" s="8"/>
      <c r="W41" s="8"/>
      <c r="X41" s="8"/>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row>
    <row r="42" spans="2:54" ht="15" customHeight="1"/>
    <row r="43" spans="2:54" s="59" customFormat="1" ht="15" customHeight="1">
      <c r="C43" s="38" t="s">
        <v>641</v>
      </c>
      <c r="D43" s="38"/>
      <c r="E43" s="38"/>
      <c r="F43" s="38"/>
      <c r="G43" s="38"/>
      <c r="H43" s="38"/>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row>
    <row r="44" spans="2:54" s="59" customFormat="1" ht="15" customHeight="1">
      <c r="C44" s="5"/>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5"/>
      <c r="AI44" s="5"/>
      <c r="AJ44" s="5"/>
      <c r="AK44" s="5"/>
      <c r="AL44" s="5"/>
      <c r="AM44" s="5"/>
      <c r="AN44" s="5"/>
      <c r="AO44" s="5"/>
      <c r="AP44" s="5"/>
      <c r="AQ44" s="5"/>
      <c r="AR44" s="5"/>
      <c r="AS44" s="5"/>
      <c r="AT44" s="5"/>
      <c r="AU44" s="5"/>
      <c r="AV44" s="5"/>
      <c r="AW44" s="5"/>
      <c r="AX44" s="5"/>
      <c r="AY44" s="5"/>
      <c r="AZ44" s="5"/>
      <c r="BA44" s="5"/>
      <c r="BB44" s="5"/>
    </row>
    <row r="45" spans="2:54" ht="15" customHeight="1">
      <c r="E45" s="19" t="s">
        <v>642</v>
      </c>
      <c r="G45" s="5" t="s">
        <v>248</v>
      </c>
      <c r="P45" s="200">
        <f>Assessment!P140</f>
        <v>-1.968139094972245</v>
      </c>
      <c r="Q45" s="200">
        <f>Assessment!Q140</f>
        <v>-2.0523754482370569</v>
      </c>
      <c r="R45" s="200">
        <f>Assessment!R140</f>
        <v>-2.1402171174216029</v>
      </c>
      <c r="S45" s="200">
        <f>Assessment!S140</f>
        <v>-2.2318184100472473</v>
      </c>
      <c r="T45" s="200">
        <f>Assessment!T140</f>
        <v>-2.3273402379972694</v>
      </c>
      <c r="U45" s="200">
        <f>Assessment!U140</f>
        <v>-2.4269504001835522</v>
      </c>
      <c r="V45" s="200">
        <f>Assessment!V140</f>
        <v>-2.5308238773114082</v>
      </c>
      <c r="W45" s="200">
        <f>Assessment!W140</f>
        <v>-2.6391431392603364</v>
      </c>
      <c r="X45" s="200">
        <f>Assessment!X140</f>
        <v>-2.7520984656206791</v>
      </c>
      <c r="Y45" s="200">
        <f>Assessment!Y140</f>
        <v>-2.8698882799492433</v>
      </c>
      <c r="Z45" s="200">
        <f>Assessment!Z140</f>
        <v>-2.9927194983310708</v>
      </c>
      <c r="AA45" s="200">
        <f>Assessment!AA140</f>
        <v>-3.1208078928596406</v>
      </c>
      <c r="AB45" s="200">
        <f>Assessment!AB140</f>
        <v>-3.2543784706740331</v>
      </c>
      <c r="AC45" s="200">
        <f>Assessment!AC140</f>
        <v>-3.3936658692188812</v>
      </c>
      <c r="AD45" s="200">
        <f>Assessment!AD140</f>
        <v>-3.5389147684214493</v>
      </c>
      <c r="AE45" s="200">
        <f>Assessment!AE140</f>
        <v>-3.6903803205098873</v>
      </c>
      <c r="AF45" s="200">
        <f>Assessment!AF140</f>
        <v>-3.8483285982277109</v>
      </c>
      <c r="AG45" s="200">
        <f>Assessment!AG140</f>
        <v>-4.0130370622318567</v>
      </c>
      <c r="AH45" s="200">
        <f>Assessment!AH140</f>
        <v>-4.1847950484953795</v>
      </c>
      <c r="AI45" s="200">
        <f>Assessment!AI140</f>
        <v>-4.363904276570981</v>
      </c>
      <c r="AJ45" s="200">
        <f>Assessment!AJ140</f>
        <v>-4.5506793796082192</v>
      </c>
      <c r="AK45" s="200">
        <f>Assessment!AK140</f>
        <v>-4.7454484570554509</v>
      </c>
      <c r="AL45" s="200">
        <f>Assessment!AL140</f>
        <v>-4.9485536510174244</v>
      </c>
      <c r="AM45" s="200">
        <f>Assessment!AM140</f>
        <v>-5.1603517472809699</v>
      </c>
      <c r="AN45" s="200">
        <f>Assessment!AN140</f>
        <v>-5.3812148020645951</v>
      </c>
      <c r="AO45" s="200">
        <f>Assessment!AO140</f>
        <v>-0.5764280386493984</v>
      </c>
      <c r="AP45" s="200">
        <f>Assessment!AP140</f>
        <v>0</v>
      </c>
      <c r="AQ45" s="200">
        <f>Assessment!AQ140</f>
        <v>0</v>
      </c>
      <c r="AR45" s="200">
        <f>Assessment!AR140</f>
        <v>0</v>
      </c>
      <c r="AS45" s="200">
        <f>Assessment!AS140</f>
        <v>0</v>
      </c>
      <c r="AT45" s="200">
        <f>Assessment!AT140</f>
        <v>0</v>
      </c>
      <c r="AU45" s="200">
        <f>Assessment!AU140</f>
        <v>0</v>
      </c>
      <c r="AV45" s="200">
        <f>Assessment!AV140</f>
        <v>0</v>
      </c>
      <c r="AW45" s="200">
        <f>Assessment!AW140</f>
        <v>0</v>
      </c>
      <c r="AX45" s="200">
        <f>Assessment!AX140</f>
        <v>0</v>
      </c>
      <c r="AY45" s="200">
        <f>Assessment!AY140</f>
        <v>0</v>
      </c>
      <c r="AZ45" s="200">
        <f>Assessment!AZ140</f>
        <v>0</v>
      </c>
      <c r="BA45" s="200">
        <f>Assessment!BA140</f>
        <v>0</v>
      </c>
      <c r="BB45" s="200">
        <f>Assessment!BB140</f>
        <v>0</v>
      </c>
    </row>
    <row r="46" spans="2:54" ht="15" customHeight="1">
      <c r="E46" s="19" t="s">
        <v>643</v>
      </c>
      <c r="G46" s="5" t="s">
        <v>248</v>
      </c>
      <c r="P46" s="200">
        <f>Assessment!P92</f>
        <v>0</v>
      </c>
      <c r="Q46" s="200">
        <f>Assessment!Q92</f>
        <v>0</v>
      </c>
      <c r="R46" s="200">
        <f>Assessment!R92</f>
        <v>0</v>
      </c>
      <c r="S46" s="200">
        <f>Assessment!S92</f>
        <v>0</v>
      </c>
      <c r="T46" s="200">
        <f>Assessment!T92</f>
        <v>0</v>
      </c>
      <c r="U46" s="200">
        <f>Assessment!U92</f>
        <v>0</v>
      </c>
      <c r="V46" s="200">
        <f>Assessment!V92</f>
        <v>0</v>
      </c>
      <c r="W46" s="200">
        <f>Assessment!W92</f>
        <v>0</v>
      </c>
      <c r="X46" s="200">
        <f>Assessment!X92</f>
        <v>0</v>
      </c>
      <c r="Y46" s="200">
        <f>Assessment!Y92</f>
        <v>0</v>
      </c>
      <c r="Z46" s="200">
        <f>Assessment!Z92</f>
        <v>0</v>
      </c>
      <c r="AA46" s="200">
        <f>Assessment!AA92</f>
        <v>0</v>
      </c>
      <c r="AB46" s="200">
        <f>Assessment!AB92</f>
        <v>0</v>
      </c>
      <c r="AC46" s="200">
        <f>Assessment!AC92</f>
        <v>0</v>
      </c>
      <c r="AD46" s="200">
        <f>Assessment!AD92</f>
        <v>0</v>
      </c>
      <c r="AE46" s="200">
        <f>Assessment!AE92</f>
        <v>0</v>
      </c>
      <c r="AF46" s="200">
        <f>Assessment!AF92</f>
        <v>0</v>
      </c>
      <c r="AG46" s="200">
        <f>Assessment!AG92</f>
        <v>0</v>
      </c>
      <c r="AH46" s="200">
        <f>Assessment!AH92</f>
        <v>0</v>
      </c>
      <c r="AI46" s="200">
        <f>Assessment!AI92</f>
        <v>0</v>
      </c>
      <c r="AJ46" s="200">
        <f>Assessment!AJ92</f>
        <v>0</v>
      </c>
      <c r="AK46" s="200">
        <f>Assessment!AK92</f>
        <v>0</v>
      </c>
      <c r="AL46" s="200">
        <f>Assessment!AL92</f>
        <v>0</v>
      </c>
      <c r="AM46" s="200">
        <f>Assessment!AM92</f>
        <v>0</v>
      </c>
      <c r="AN46" s="200">
        <f>Assessment!AN92</f>
        <v>0</v>
      </c>
      <c r="AO46" s="200">
        <f>Assessment!AO92</f>
        <v>0</v>
      </c>
      <c r="AP46" s="200">
        <f>Assessment!AP92</f>
        <v>0</v>
      </c>
      <c r="AQ46" s="200">
        <f>Assessment!AQ92</f>
        <v>0</v>
      </c>
      <c r="AR46" s="200">
        <f>Assessment!AR92</f>
        <v>0</v>
      </c>
      <c r="AS46" s="200">
        <f>Assessment!AS92</f>
        <v>0</v>
      </c>
      <c r="AT46" s="200">
        <f>Assessment!AT92</f>
        <v>0</v>
      </c>
      <c r="AU46" s="200">
        <f>Assessment!AU92</f>
        <v>0</v>
      </c>
      <c r="AV46" s="200">
        <f>Assessment!AV92</f>
        <v>0</v>
      </c>
      <c r="AW46" s="200">
        <f>Assessment!AW92</f>
        <v>0</v>
      </c>
      <c r="AX46" s="200">
        <f>Assessment!AX92</f>
        <v>0</v>
      </c>
      <c r="AY46" s="200">
        <f>Assessment!AY92</f>
        <v>0</v>
      </c>
      <c r="AZ46" s="200">
        <f>Assessment!AZ92</f>
        <v>0</v>
      </c>
      <c r="BA46" s="200">
        <f>Assessment!BA92</f>
        <v>0</v>
      </c>
      <c r="BB46" s="200">
        <f>Assessment!BB92</f>
        <v>0</v>
      </c>
    </row>
    <row r="47" spans="2:54" ht="15" customHeight="1">
      <c r="E47" s="19" t="s">
        <v>644</v>
      </c>
      <c r="G47" s="5" t="s">
        <v>248</v>
      </c>
      <c r="P47" s="200">
        <f>Assessment!P93</f>
        <v>0</v>
      </c>
      <c r="Q47" s="200">
        <f>Assessment!Q93</f>
        <v>0</v>
      </c>
      <c r="R47" s="200">
        <f>Assessment!R93</f>
        <v>0</v>
      </c>
      <c r="S47" s="200">
        <f>Assessment!S93</f>
        <v>0</v>
      </c>
      <c r="T47" s="200">
        <f>Assessment!T93</f>
        <v>0</v>
      </c>
      <c r="U47" s="200">
        <f>Assessment!U93</f>
        <v>0</v>
      </c>
      <c r="V47" s="200">
        <f>Assessment!V93</f>
        <v>0</v>
      </c>
      <c r="W47" s="200">
        <f>Assessment!W93</f>
        <v>0</v>
      </c>
      <c r="X47" s="200">
        <f>Assessment!X93</f>
        <v>0</v>
      </c>
      <c r="Y47" s="200">
        <f>Assessment!Y93</f>
        <v>0</v>
      </c>
      <c r="Z47" s="200">
        <f>Assessment!Z93</f>
        <v>0</v>
      </c>
      <c r="AA47" s="200">
        <f>Assessment!AA93</f>
        <v>0</v>
      </c>
      <c r="AB47" s="200">
        <f>Assessment!AB93</f>
        <v>0</v>
      </c>
      <c r="AC47" s="200">
        <f>Assessment!AC93</f>
        <v>0</v>
      </c>
      <c r="AD47" s="200">
        <f>Assessment!AD93</f>
        <v>0</v>
      </c>
      <c r="AE47" s="200">
        <f>Assessment!AE93</f>
        <v>0</v>
      </c>
      <c r="AF47" s="200">
        <f>Assessment!AF93</f>
        <v>0</v>
      </c>
      <c r="AG47" s="200">
        <f>Assessment!AG93</f>
        <v>0</v>
      </c>
      <c r="AH47" s="200">
        <f>Assessment!AH93</f>
        <v>0</v>
      </c>
      <c r="AI47" s="200">
        <f>Assessment!AI93</f>
        <v>0</v>
      </c>
      <c r="AJ47" s="200">
        <f>Assessment!AJ93</f>
        <v>0</v>
      </c>
      <c r="AK47" s="200">
        <f>Assessment!AK93</f>
        <v>0</v>
      </c>
      <c r="AL47" s="200">
        <f>Assessment!AL93</f>
        <v>0</v>
      </c>
      <c r="AM47" s="200">
        <f>Assessment!AM93</f>
        <v>0</v>
      </c>
      <c r="AN47" s="200">
        <f>Assessment!AN93</f>
        <v>0</v>
      </c>
      <c r="AO47" s="200">
        <f>Assessment!AO93</f>
        <v>0</v>
      </c>
      <c r="AP47" s="200">
        <f>Assessment!AP93</f>
        <v>0</v>
      </c>
      <c r="AQ47" s="200">
        <f>Assessment!AQ93</f>
        <v>0</v>
      </c>
      <c r="AR47" s="200">
        <f>Assessment!AR93</f>
        <v>0</v>
      </c>
      <c r="AS47" s="200">
        <f>Assessment!AS93</f>
        <v>0</v>
      </c>
      <c r="AT47" s="200">
        <f>Assessment!AT93</f>
        <v>0</v>
      </c>
      <c r="AU47" s="200">
        <f>Assessment!AU93</f>
        <v>0</v>
      </c>
      <c r="AV47" s="200">
        <f>Assessment!AV93</f>
        <v>0</v>
      </c>
      <c r="AW47" s="200">
        <f>Assessment!AW93</f>
        <v>0</v>
      </c>
      <c r="AX47" s="200">
        <f>Assessment!AX93</f>
        <v>0</v>
      </c>
      <c r="AY47" s="200">
        <f>Assessment!AY93</f>
        <v>0</v>
      </c>
      <c r="AZ47" s="200">
        <f>Assessment!AZ93</f>
        <v>0</v>
      </c>
      <c r="BA47" s="200">
        <f>Assessment!BA93</f>
        <v>0</v>
      </c>
      <c r="BB47" s="200">
        <f>Assessment!BB93</f>
        <v>0</v>
      </c>
    </row>
    <row r="48" spans="2:54" ht="15" customHeight="1">
      <c r="E48" s="19" t="s">
        <v>645</v>
      </c>
      <c r="G48" s="5" t="s">
        <v>248</v>
      </c>
      <c r="P48" s="200">
        <f>-Assessment!P57</f>
        <v>0</v>
      </c>
      <c r="Q48" s="200">
        <f>-Assessment!Q57</f>
        <v>0</v>
      </c>
      <c r="R48" s="200">
        <f>-Assessment!R57</f>
        <v>0</v>
      </c>
      <c r="S48" s="200">
        <f>-Assessment!S57</f>
        <v>0</v>
      </c>
      <c r="T48" s="200">
        <f>-Assessment!T57</f>
        <v>0</v>
      </c>
      <c r="U48" s="200">
        <f>-Assessment!U57</f>
        <v>0</v>
      </c>
      <c r="V48" s="200">
        <f>-Assessment!V57</f>
        <v>0</v>
      </c>
      <c r="W48" s="200">
        <f>-Assessment!W57</f>
        <v>0</v>
      </c>
      <c r="X48" s="200">
        <f>-Assessment!X57</f>
        <v>0</v>
      </c>
      <c r="Y48" s="200">
        <f>-Assessment!Y57</f>
        <v>0</v>
      </c>
      <c r="Z48" s="200">
        <f>-Assessment!Z57</f>
        <v>0</v>
      </c>
      <c r="AA48" s="200">
        <f>-Assessment!AA57</f>
        <v>0</v>
      </c>
      <c r="AB48" s="200">
        <f>-Assessment!AB57</f>
        <v>0</v>
      </c>
      <c r="AC48" s="200">
        <f>-Assessment!AC57</f>
        <v>0</v>
      </c>
      <c r="AD48" s="200">
        <f>-Assessment!AD57</f>
        <v>0</v>
      </c>
      <c r="AE48" s="200">
        <f>-Assessment!AE57</f>
        <v>0</v>
      </c>
      <c r="AF48" s="200">
        <f>-Assessment!AF57</f>
        <v>0</v>
      </c>
      <c r="AG48" s="200">
        <f>-Assessment!AG57</f>
        <v>0</v>
      </c>
      <c r="AH48" s="200">
        <f>-Assessment!AH57</f>
        <v>0</v>
      </c>
      <c r="AI48" s="200">
        <f>-Assessment!AI57</f>
        <v>0</v>
      </c>
      <c r="AJ48" s="200">
        <f>-Assessment!AJ57</f>
        <v>0</v>
      </c>
      <c r="AK48" s="200">
        <f>-Assessment!AK57</f>
        <v>0</v>
      </c>
      <c r="AL48" s="200">
        <f>-Assessment!AL57</f>
        <v>0</v>
      </c>
      <c r="AM48" s="200">
        <f>-Assessment!AM57</f>
        <v>0</v>
      </c>
      <c r="AN48" s="200">
        <f>-Assessment!AN57</f>
        <v>0</v>
      </c>
      <c r="AO48" s="200">
        <f>-Assessment!AO57</f>
        <v>0</v>
      </c>
      <c r="AP48" s="200">
        <f>-Assessment!AP57</f>
        <v>0</v>
      </c>
      <c r="AQ48" s="200">
        <f>-Assessment!AQ57</f>
        <v>0</v>
      </c>
      <c r="AR48" s="200">
        <f>-Assessment!AR57</f>
        <v>0</v>
      </c>
      <c r="AS48" s="200">
        <f>-Assessment!AS57</f>
        <v>0</v>
      </c>
      <c r="AT48" s="200">
        <f>-Assessment!AT57</f>
        <v>0</v>
      </c>
      <c r="AU48" s="200">
        <f>-Assessment!AU57</f>
        <v>0</v>
      </c>
      <c r="AV48" s="200">
        <f>-Assessment!AV57</f>
        <v>0</v>
      </c>
      <c r="AW48" s="200">
        <f>-Assessment!AW57</f>
        <v>0</v>
      </c>
      <c r="AX48" s="200">
        <f>-Assessment!AX57</f>
        <v>0</v>
      </c>
      <c r="AY48" s="200">
        <f>-Assessment!AY57</f>
        <v>0</v>
      </c>
      <c r="AZ48" s="200">
        <f>-Assessment!AZ57</f>
        <v>0</v>
      </c>
      <c r="BA48" s="200">
        <f>-Assessment!BA57</f>
        <v>0</v>
      </c>
      <c r="BB48" s="200">
        <f>-Assessment!BB57</f>
        <v>0</v>
      </c>
    </row>
    <row r="49" spans="3:54" ht="15" customHeight="1">
      <c r="E49" s="19" t="s">
        <v>646</v>
      </c>
      <c r="G49" s="5" t="s">
        <v>248</v>
      </c>
      <c r="P49" s="35">
        <f>Assessment!P62*IF(Assessment!P79&gt;1,1,0)</f>
        <v>0</v>
      </c>
      <c r="Q49" s="35">
        <f>Assessment!Q62*IF(Assessment!Q79&gt;1,1,0)</f>
        <v>0</v>
      </c>
      <c r="R49" s="35">
        <f>Assessment!R62*IF(Assessment!R79&gt;1,1,0)</f>
        <v>0</v>
      </c>
      <c r="S49" s="35">
        <f>Assessment!S62*IF(Assessment!S79&gt;1,1,0)</f>
        <v>24.205308577085852</v>
      </c>
      <c r="T49" s="35">
        <f>Assessment!T62*IF(Assessment!T79&gt;1,1,0)</f>
        <v>25.339064090865126</v>
      </c>
      <c r="U49" s="35">
        <f>Assessment!U62*IF(Assessment!U79&gt;1,1,0)</f>
        <v>27.328469291029048</v>
      </c>
      <c r="V49" s="35">
        <f>Assessment!V62*IF(Assessment!V79&gt;1,1,0)</f>
        <v>28.498127776685092</v>
      </c>
      <c r="W49" s="35">
        <f>Assessment!W62*IF(Assessment!W79&gt;1,1,0)</f>
        <v>29.717847645527215</v>
      </c>
      <c r="X49" s="35">
        <f>Assessment!X62*IF(Assessment!X79&gt;1,1,0)</f>
        <v>30.989771524755774</v>
      </c>
      <c r="Y49" s="35">
        <f>Assessment!Y62*IF(Assessment!Y79&gt;1,1,0)</f>
        <v>32.316133746015318</v>
      </c>
      <c r="Z49" s="35">
        <f>Assessment!Z62*IF(Assessment!Z79&gt;1,1,0)</f>
        <v>33.69926427034477</v>
      </c>
      <c r="AA49" s="35">
        <f>Assessment!AA62*IF(Assessment!AA79&gt;1,1,0)</f>
        <v>35.141592781115527</v>
      </c>
      <c r="AB49" s="35">
        <f>Assessment!AB62*IF(Assessment!AB79&gt;1,1,0)</f>
        <v>36.645652952147266</v>
      </c>
      <c r="AC49" s="35">
        <f>Assessment!AC62*IF(Assessment!AC79&gt;1,1,0)</f>
        <v>38.214086898499168</v>
      </c>
      <c r="AD49" s="35">
        <f>Assessment!AD62*IF(Assessment!AD79&gt;1,1,0)</f>
        <v>39.84964981775493</v>
      </c>
      <c r="AE49" s="35">
        <f>Assessment!AE62*IF(Assessment!AE79&gt;1,1,0)</f>
        <v>41.555214829954842</v>
      </c>
      <c r="AF49" s="35">
        <f>Assessment!AF62*IF(Assessment!AF79&gt;1,1,0)</f>
        <v>43.333778024676917</v>
      </c>
      <c r="AG49" s="35">
        <f>Assessment!AG62*IF(Assessment!AG79&gt;1,1,0)</f>
        <v>45.188463724133079</v>
      </c>
      <c r="AH49" s="35">
        <f>Assessment!AH62*IF(Assessment!AH79&gt;1,1,0)</f>
        <v>47.122529971525978</v>
      </c>
      <c r="AI49" s="35">
        <f>Assessment!AI62*IF(Assessment!AI79&gt;1,1,0)</f>
        <v>49.139374254307278</v>
      </c>
      <c r="AJ49" s="35">
        <f>Assessment!AJ62*IF(Assessment!AJ79&gt;1,1,0)</f>
        <v>51.242539472391634</v>
      </c>
      <c r="AK49" s="35">
        <f>Assessment!AK62*IF(Assessment!AK79&gt;1,1,0)</f>
        <v>53.435720161809996</v>
      </c>
      <c r="AL49" s="35">
        <f>Assessment!AL62*IF(Assessment!AL79&gt;1,1,0)</f>
        <v>55.72276898473546</v>
      </c>
      <c r="AM49" s="35">
        <f>Assessment!AM62*IF(Assessment!AM79&gt;1,1,0)</f>
        <v>58.107703497282138</v>
      </c>
      <c r="AN49" s="35">
        <f>Assessment!AN62*IF(Assessment!AN79&gt;1,1,0)</f>
        <v>60.594713206965807</v>
      </c>
      <c r="AO49" s="35">
        <f>Assessment!AO62*IF(Assessment!AO79&gt;1,1,0)</f>
        <v>20.803222651882074</v>
      </c>
      <c r="AP49" s="35">
        <f>Assessment!AP62*IF(Assessment!AP79&gt;1,1,0)</f>
        <v>0</v>
      </c>
      <c r="AQ49" s="35">
        <f>Assessment!AQ62*IF(Assessment!AQ79&gt;1,1,0)</f>
        <v>0</v>
      </c>
      <c r="AR49" s="35">
        <f>Assessment!AR62*IF(Assessment!AR79&gt;1,1,0)</f>
        <v>0</v>
      </c>
      <c r="AS49" s="35">
        <f>Assessment!AS62*IF(Assessment!AS79&gt;1,1,0)</f>
        <v>0</v>
      </c>
      <c r="AT49" s="35">
        <f>Assessment!AT62*IF(Assessment!AT79&gt;1,1,0)</f>
        <v>0</v>
      </c>
      <c r="AU49" s="35">
        <f>Assessment!AU62*IF(Assessment!AU79&gt;1,1,0)</f>
        <v>0</v>
      </c>
      <c r="AV49" s="35">
        <f>Assessment!AV62*IF(Assessment!AV79&gt;1,1,0)</f>
        <v>0</v>
      </c>
      <c r="AW49" s="35">
        <f>Assessment!AW62*IF(Assessment!AW79&gt;1,1,0)</f>
        <v>0</v>
      </c>
      <c r="AX49" s="35">
        <f>Assessment!AX62*IF(Assessment!AX79&gt;1,1,0)</f>
        <v>0</v>
      </c>
      <c r="AY49" s="35">
        <f>Assessment!AY62*IF(Assessment!AY79&gt;1,1,0)</f>
        <v>0</v>
      </c>
      <c r="AZ49" s="35">
        <f>Assessment!AZ62*IF(Assessment!AZ79&gt;1,1,0)</f>
        <v>0</v>
      </c>
      <c r="BA49" s="35">
        <f>Assessment!BA62*IF(Assessment!BA79&gt;1,1,0)</f>
        <v>0</v>
      </c>
      <c r="BB49" s="35">
        <f>Assessment!BB62*IF(Assessment!BB79&gt;1,1,0)</f>
        <v>0</v>
      </c>
    </row>
    <row r="50" spans="3:54" ht="15" customHeight="1">
      <c r="E50" s="19" t="s">
        <v>647</v>
      </c>
      <c r="G50" s="5" t="s">
        <v>248</v>
      </c>
      <c r="P50" s="200">
        <f>Assessment!P85</f>
        <v>0</v>
      </c>
      <c r="Q50" s="200">
        <f>Assessment!Q85</f>
        <v>0</v>
      </c>
      <c r="R50" s="200">
        <f>Assessment!R85</f>
        <v>0</v>
      </c>
      <c r="S50" s="200">
        <f>Assessment!S85</f>
        <v>0</v>
      </c>
      <c r="T50" s="200">
        <f>Assessment!T85</f>
        <v>0</v>
      </c>
      <c r="U50" s="200">
        <f>Assessment!U85</f>
        <v>0</v>
      </c>
      <c r="V50" s="200">
        <f>Assessment!V85</f>
        <v>0</v>
      </c>
      <c r="W50" s="200">
        <f>Assessment!W85</f>
        <v>0</v>
      </c>
      <c r="X50" s="200">
        <f>Assessment!X85</f>
        <v>0</v>
      </c>
      <c r="Y50" s="200">
        <f>Assessment!Y85</f>
        <v>0</v>
      </c>
      <c r="Z50" s="200">
        <f>Assessment!Z85</f>
        <v>0</v>
      </c>
      <c r="AA50" s="200">
        <f>Assessment!AA85</f>
        <v>0</v>
      </c>
      <c r="AB50" s="200">
        <f>Assessment!AB85</f>
        <v>0</v>
      </c>
      <c r="AC50" s="200">
        <f>Assessment!AC85</f>
        <v>0</v>
      </c>
      <c r="AD50" s="200">
        <f>Assessment!AD85</f>
        <v>0</v>
      </c>
      <c r="AE50" s="200">
        <f>Assessment!AE85</f>
        <v>0</v>
      </c>
      <c r="AF50" s="200">
        <f>Assessment!AF85</f>
        <v>0</v>
      </c>
      <c r="AG50" s="200">
        <f>Assessment!AG85</f>
        <v>0</v>
      </c>
      <c r="AH50" s="200">
        <f>Assessment!AH85</f>
        <v>0</v>
      </c>
      <c r="AI50" s="200">
        <f>Assessment!AI85</f>
        <v>0</v>
      </c>
      <c r="AJ50" s="200">
        <f>Assessment!AJ85</f>
        <v>0</v>
      </c>
      <c r="AK50" s="200">
        <f>Assessment!AK85</f>
        <v>0</v>
      </c>
      <c r="AL50" s="200">
        <f>Assessment!AL85</f>
        <v>0</v>
      </c>
      <c r="AM50" s="200">
        <f>Assessment!AM85</f>
        <v>0</v>
      </c>
      <c r="AN50" s="200">
        <f>Assessment!AN85</f>
        <v>0</v>
      </c>
      <c r="AO50" s="200">
        <f>Assessment!AO85</f>
        <v>0</v>
      </c>
      <c r="AP50" s="200">
        <f>Assessment!AP85</f>
        <v>0</v>
      </c>
      <c r="AQ50" s="200">
        <f>Assessment!AQ85</f>
        <v>0</v>
      </c>
      <c r="AR50" s="200">
        <f>Assessment!AR85</f>
        <v>0</v>
      </c>
      <c r="AS50" s="200">
        <f>Assessment!AS85</f>
        <v>0</v>
      </c>
      <c r="AT50" s="200">
        <f>Assessment!AT85</f>
        <v>0</v>
      </c>
      <c r="AU50" s="200">
        <f>Assessment!AU85</f>
        <v>0</v>
      </c>
      <c r="AV50" s="200">
        <f>Assessment!AV85</f>
        <v>0</v>
      </c>
      <c r="AW50" s="200">
        <f>Assessment!AW85</f>
        <v>0</v>
      </c>
      <c r="AX50" s="200">
        <f>Assessment!AX85</f>
        <v>0</v>
      </c>
      <c r="AY50" s="200">
        <f>Assessment!AY85</f>
        <v>0</v>
      </c>
      <c r="AZ50" s="200">
        <f>Assessment!AZ85</f>
        <v>0</v>
      </c>
      <c r="BA50" s="200">
        <f>Assessment!BA85</f>
        <v>0</v>
      </c>
      <c r="BB50" s="200">
        <f>Assessment!BB85</f>
        <v>0</v>
      </c>
    </row>
    <row r="51" spans="3:54" ht="15" customHeight="1">
      <c r="E51" s="19" t="s">
        <v>648</v>
      </c>
      <c r="G51" s="5" t="s">
        <v>248</v>
      </c>
      <c r="P51" s="35">
        <f t="shared" ref="P51:BB51" si="13">SUM(P45:P50)</f>
        <v>-1.968139094972245</v>
      </c>
      <c r="Q51" s="35">
        <f t="shared" si="13"/>
        <v>-2.0523754482370569</v>
      </c>
      <c r="R51" s="35">
        <f t="shared" si="13"/>
        <v>-2.1402171174216029</v>
      </c>
      <c r="S51" s="35">
        <f t="shared" si="13"/>
        <v>21.973490167038605</v>
      </c>
      <c r="T51" s="35">
        <f t="shared" si="13"/>
        <v>23.011723852867856</v>
      </c>
      <c r="U51" s="35">
        <f t="shared" si="13"/>
        <v>24.901518890845495</v>
      </c>
      <c r="V51" s="35">
        <f t="shared" si="13"/>
        <v>25.967303899373682</v>
      </c>
      <c r="W51" s="35">
        <f t="shared" si="13"/>
        <v>27.078704506266877</v>
      </c>
      <c r="X51" s="35">
        <f t="shared" si="13"/>
        <v>28.237673059135094</v>
      </c>
      <c r="Y51" s="35">
        <f t="shared" si="13"/>
        <v>29.446245466066074</v>
      </c>
      <c r="Z51" s="35">
        <f t="shared" si="13"/>
        <v>30.7065447720137</v>
      </c>
      <c r="AA51" s="35">
        <f t="shared" si="13"/>
        <v>32.020784888255889</v>
      </c>
      <c r="AB51" s="35">
        <f t="shared" si="13"/>
        <v>33.391274481473232</v>
      </c>
      <c r="AC51" s="35">
        <f t="shared" si="13"/>
        <v>34.82042102928029</v>
      </c>
      <c r="AD51" s="35">
        <f t="shared" si="13"/>
        <v>36.310735049333481</v>
      </c>
      <c r="AE51" s="35">
        <f t="shared" si="13"/>
        <v>37.864834509444954</v>
      </c>
      <c r="AF51" s="35">
        <f t="shared" si="13"/>
        <v>39.485449426449208</v>
      </c>
      <c r="AG51" s="35">
        <f t="shared" si="13"/>
        <v>41.17542666190122</v>
      </c>
      <c r="AH51" s="35">
        <f t="shared" si="13"/>
        <v>42.937734923030597</v>
      </c>
      <c r="AI51" s="35">
        <f t="shared" si="13"/>
        <v>44.775469977736293</v>
      </c>
      <c r="AJ51" s="35">
        <f t="shared" si="13"/>
        <v>46.691860092783415</v>
      </c>
      <c r="AK51" s="35">
        <f t="shared" si="13"/>
        <v>48.690271704754544</v>
      </c>
      <c r="AL51" s="35">
        <f t="shared" si="13"/>
        <v>50.774215333718033</v>
      </c>
      <c r="AM51" s="35">
        <f t="shared" si="13"/>
        <v>52.947351750001168</v>
      </c>
      <c r="AN51" s="35">
        <f t="shared" si="13"/>
        <v>55.213498404901209</v>
      </c>
      <c r="AO51" s="35">
        <f t="shared" si="13"/>
        <v>20.226794613232673</v>
      </c>
      <c r="AP51" s="35">
        <f t="shared" si="13"/>
        <v>0</v>
      </c>
      <c r="AQ51" s="35">
        <f t="shared" si="13"/>
        <v>0</v>
      </c>
      <c r="AR51" s="35">
        <f t="shared" si="13"/>
        <v>0</v>
      </c>
      <c r="AS51" s="35">
        <f t="shared" si="13"/>
        <v>0</v>
      </c>
      <c r="AT51" s="35">
        <f t="shared" si="13"/>
        <v>0</v>
      </c>
      <c r="AU51" s="35">
        <f t="shared" si="13"/>
        <v>0</v>
      </c>
      <c r="AV51" s="35">
        <f t="shared" si="13"/>
        <v>0</v>
      </c>
      <c r="AW51" s="35">
        <f t="shared" si="13"/>
        <v>0</v>
      </c>
      <c r="AX51" s="35">
        <f t="shared" si="13"/>
        <v>0</v>
      </c>
      <c r="AY51" s="35">
        <f t="shared" si="13"/>
        <v>0</v>
      </c>
      <c r="AZ51" s="35">
        <f t="shared" si="13"/>
        <v>0</v>
      </c>
      <c r="BA51" s="35">
        <f t="shared" si="13"/>
        <v>0</v>
      </c>
      <c r="BB51" s="35">
        <f t="shared" si="13"/>
        <v>0</v>
      </c>
    </row>
    <row r="52" spans="3:54" ht="15" customHeight="1">
      <c r="E52" s="19" t="s">
        <v>649</v>
      </c>
      <c r="G52" s="194" t="str">
        <f>IF(COUNTIF(P52:BB52,FALSE)=0,"OK",COUNTIF(P52:BB52,FALSE)&amp;" ERRORS")</f>
        <v>OK</v>
      </c>
      <c r="P52" s="19" t="b">
        <f>P51=Assessment!P144</f>
        <v>1</v>
      </c>
      <c r="Q52" s="19" t="b">
        <f>Q51=Assessment!Q144</f>
        <v>1</v>
      </c>
      <c r="R52" s="19" t="b">
        <f>R51=Assessment!R144</f>
        <v>1</v>
      </c>
      <c r="S52" s="19" t="b">
        <f>S51=Assessment!S144</f>
        <v>1</v>
      </c>
      <c r="T52" s="19" t="b">
        <f>T51=Assessment!T144</f>
        <v>1</v>
      </c>
      <c r="U52" s="19" t="b">
        <f>U51=Assessment!U144</f>
        <v>1</v>
      </c>
      <c r="V52" s="19" t="b">
        <f>V51=Assessment!V144</f>
        <v>1</v>
      </c>
      <c r="W52" s="19" t="b">
        <f>W51=Assessment!W144</f>
        <v>1</v>
      </c>
      <c r="X52" s="19" t="b">
        <f>X51=Assessment!X144</f>
        <v>1</v>
      </c>
      <c r="Y52" s="19" t="b">
        <f>Y51=Assessment!Y144</f>
        <v>1</v>
      </c>
      <c r="Z52" s="19" t="b">
        <f>Z51=Assessment!Z144</f>
        <v>1</v>
      </c>
      <c r="AA52" s="19" t="b">
        <f>AA51=Assessment!AA144</f>
        <v>1</v>
      </c>
      <c r="AB52" s="19" t="b">
        <f>AB51=Assessment!AB144</f>
        <v>1</v>
      </c>
      <c r="AC52" s="19" t="b">
        <f>AC51=Assessment!AC144</f>
        <v>1</v>
      </c>
      <c r="AD52" s="19" t="b">
        <f>AD51=Assessment!AD144</f>
        <v>1</v>
      </c>
      <c r="AE52" s="19" t="b">
        <f>AE51=Assessment!AE144</f>
        <v>1</v>
      </c>
      <c r="AF52" s="19" t="b">
        <f>AF51=Assessment!AF144</f>
        <v>1</v>
      </c>
      <c r="AG52" s="19" t="b">
        <f>AG51=Assessment!AG144</f>
        <v>1</v>
      </c>
      <c r="AH52" s="19" t="b">
        <f>AH51=Assessment!AH144</f>
        <v>1</v>
      </c>
      <c r="AI52" s="19" t="b">
        <f>AI51=Assessment!AI144</f>
        <v>1</v>
      </c>
      <c r="AJ52" s="19" t="b">
        <f>AJ51=Assessment!AJ144</f>
        <v>1</v>
      </c>
      <c r="AK52" s="19" t="b">
        <f>AK51=Assessment!AK144</f>
        <v>1</v>
      </c>
      <c r="AL52" s="19" t="b">
        <f>AL51=Assessment!AL144</f>
        <v>1</v>
      </c>
      <c r="AM52" s="19" t="b">
        <f>AM51=Assessment!AM144</f>
        <v>1</v>
      </c>
      <c r="AN52" s="19" t="b">
        <f>AN51=Assessment!AN144</f>
        <v>1</v>
      </c>
      <c r="AO52" s="19" t="b">
        <f>AO51=Assessment!AO144</f>
        <v>1</v>
      </c>
      <c r="AP52" s="19" t="b">
        <f>AP51=Assessment!AP144</f>
        <v>1</v>
      </c>
      <c r="AQ52" s="19" t="b">
        <f>AQ51=Assessment!AQ144</f>
        <v>1</v>
      </c>
      <c r="AR52" s="19" t="b">
        <f>AR51=Assessment!AR144</f>
        <v>1</v>
      </c>
      <c r="AS52" s="19" t="b">
        <f>AS51=Assessment!AS144</f>
        <v>1</v>
      </c>
      <c r="AT52" s="19" t="b">
        <f>AT51=Assessment!AT144</f>
        <v>1</v>
      </c>
      <c r="AU52" s="19" t="b">
        <f>AU51=Assessment!AU144</f>
        <v>1</v>
      </c>
      <c r="AV52" s="19" t="b">
        <f>AV51=Assessment!AV144</f>
        <v>1</v>
      </c>
      <c r="AW52" s="19" t="b">
        <f>AW51=Assessment!AW144</f>
        <v>1</v>
      </c>
      <c r="AX52" s="19" t="b">
        <f>AX51=Assessment!AX144</f>
        <v>1</v>
      </c>
      <c r="AY52" s="19" t="b">
        <f>AY51=Assessment!AY144</f>
        <v>1</v>
      </c>
      <c r="AZ52" s="19" t="b">
        <f>AZ51=Assessment!AZ144</f>
        <v>1</v>
      </c>
      <c r="BA52" s="19" t="b">
        <f>BA51=Assessment!BA144</f>
        <v>1</v>
      </c>
      <c r="BB52" s="19" t="b">
        <f>BB51=Assessment!BB144</f>
        <v>1</v>
      </c>
    </row>
    <row r="53" spans="3:54" ht="15" customHeight="1"/>
    <row r="54" spans="3:54" s="59" customFormat="1" ht="15" customHeight="1">
      <c r="C54" s="38" t="s">
        <v>650</v>
      </c>
      <c r="D54" s="38"/>
      <c r="E54" s="38"/>
      <c r="F54" s="38"/>
      <c r="G54" s="38"/>
      <c r="H54" s="38"/>
      <c r="I54" s="38"/>
      <c r="J54" s="38"/>
      <c r="K54" s="38"/>
      <c r="L54" s="38"/>
      <c r="M54" s="38"/>
      <c r="N54" s="38"/>
      <c r="O54" s="38"/>
      <c r="P54" s="38"/>
      <c r="Q54" s="38"/>
      <c r="R54" s="38"/>
      <c r="S54" s="38"/>
      <c r="T54" s="38"/>
      <c r="U54" s="38"/>
      <c r="V54" s="38"/>
      <c r="W54" s="38"/>
      <c r="X54" s="38"/>
      <c r="Y54" s="38"/>
      <c r="Z54" s="38"/>
      <c r="AA54" s="38"/>
      <c r="AB54" s="38"/>
      <c r="AC54" s="38"/>
      <c r="AD54" s="38"/>
      <c r="AE54" s="38"/>
      <c r="AF54" s="38"/>
      <c r="AG54" s="38"/>
      <c r="AH54" s="38"/>
      <c r="AI54" s="38"/>
      <c r="AJ54" s="38"/>
      <c r="AK54" s="38"/>
      <c r="AL54" s="38"/>
      <c r="AM54" s="38"/>
      <c r="AN54" s="38"/>
      <c r="AO54" s="38"/>
      <c r="AP54" s="38"/>
      <c r="AQ54" s="38"/>
      <c r="AR54" s="38"/>
      <c r="AS54" s="38"/>
      <c r="AT54" s="38"/>
      <c r="AU54" s="38"/>
      <c r="AV54" s="38"/>
      <c r="AW54" s="38"/>
      <c r="AX54" s="38"/>
      <c r="AY54" s="38"/>
      <c r="AZ54" s="38"/>
      <c r="BA54" s="38"/>
      <c r="BB54" s="38"/>
    </row>
    <row r="55" spans="3:54" s="59" customFormat="1" ht="15" customHeight="1">
      <c r="C55" s="5"/>
      <c r="D55" s="5"/>
      <c r="E55" s="5"/>
      <c r="F55" s="5"/>
      <c r="G55" s="5"/>
      <c r="H55" s="5"/>
      <c r="I55" s="5"/>
      <c r="J55" s="5"/>
      <c r="K55" s="5"/>
      <c r="L55" s="5"/>
      <c r="M55" s="5"/>
      <c r="N55" s="5"/>
      <c r="O55" s="5"/>
      <c r="P55" s="5"/>
      <c r="Q55" s="5"/>
      <c r="R55" s="5"/>
      <c r="S55" s="5"/>
      <c r="T55" s="5"/>
      <c r="U55" s="5"/>
      <c r="V55" s="5"/>
      <c r="W55" s="5"/>
      <c r="X55" s="5"/>
      <c r="Y55" s="5"/>
      <c r="Z55" s="5"/>
      <c r="AA55" s="5"/>
      <c r="AB55" s="5"/>
      <c r="AC55" s="5"/>
      <c r="AD55" s="5"/>
      <c r="AE55" s="5"/>
      <c r="AF55" s="5"/>
      <c r="AG55" s="5"/>
      <c r="AH55" s="5"/>
      <c r="AI55" s="5"/>
      <c r="AJ55" s="5"/>
      <c r="AK55" s="5"/>
      <c r="AL55" s="5"/>
      <c r="AM55" s="5"/>
      <c r="AN55" s="5"/>
      <c r="AO55" s="5"/>
      <c r="AP55" s="5"/>
      <c r="AQ55" s="5"/>
      <c r="AR55" s="5"/>
      <c r="AS55" s="5"/>
      <c r="AT55" s="5"/>
      <c r="AU55" s="5"/>
      <c r="AV55" s="5"/>
      <c r="AW55" s="5"/>
      <c r="AX55" s="5"/>
      <c r="AY55" s="5"/>
      <c r="AZ55" s="5"/>
      <c r="BA55" s="5"/>
      <c r="BB55" s="5"/>
    </row>
    <row r="56" spans="3:54" ht="15" customHeight="1">
      <c r="E56" s="19" t="s">
        <v>642</v>
      </c>
      <c r="G56" s="5" t="s">
        <v>248</v>
      </c>
      <c r="P56" s="35">
        <f>Assessment!P140</f>
        <v>-1.968139094972245</v>
      </c>
      <c r="Q56" s="35">
        <f>Assessment!Q140</f>
        <v>-2.0523754482370569</v>
      </c>
      <c r="R56" s="35">
        <f>Assessment!R140</f>
        <v>-2.1402171174216029</v>
      </c>
      <c r="S56" s="35">
        <f>Assessment!S140</f>
        <v>-2.2318184100472473</v>
      </c>
      <c r="T56" s="35">
        <f>Assessment!T140</f>
        <v>-2.3273402379972694</v>
      </c>
      <c r="U56" s="35">
        <f>Assessment!U140</f>
        <v>-2.4269504001835522</v>
      </c>
      <c r="V56" s="35">
        <f>Assessment!V140</f>
        <v>-2.5308238773114082</v>
      </c>
      <c r="W56" s="35">
        <f>Assessment!W140</f>
        <v>-2.6391431392603364</v>
      </c>
      <c r="X56" s="35">
        <f>Assessment!X140</f>
        <v>-2.7520984656206791</v>
      </c>
      <c r="Y56" s="35">
        <f>Assessment!Y140</f>
        <v>-2.8698882799492433</v>
      </c>
      <c r="Z56" s="35">
        <f>Assessment!Z140</f>
        <v>-2.9927194983310708</v>
      </c>
      <c r="AA56" s="35">
        <f>Assessment!AA140</f>
        <v>-3.1208078928596406</v>
      </c>
      <c r="AB56" s="35">
        <f>Assessment!AB140</f>
        <v>-3.2543784706740331</v>
      </c>
      <c r="AC56" s="35">
        <f>Assessment!AC140</f>
        <v>-3.3936658692188812</v>
      </c>
      <c r="AD56" s="35">
        <f>Assessment!AD140</f>
        <v>-3.5389147684214493</v>
      </c>
      <c r="AE56" s="35">
        <f>Assessment!AE140</f>
        <v>-3.6903803205098873</v>
      </c>
      <c r="AF56" s="35">
        <f>Assessment!AF140</f>
        <v>-3.8483285982277109</v>
      </c>
      <c r="AG56" s="35">
        <f>Assessment!AG140</f>
        <v>-4.0130370622318567</v>
      </c>
      <c r="AH56" s="35">
        <f>Assessment!AH140</f>
        <v>-4.1847950484953795</v>
      </c>
      <c r="AI56" s="35">
        <f>Assessment!AI140</f>
        <v>-4.363904276570981</v>
      </c>
      <c r="AJ56" s="35">
        <f>Assessment!AJ140</f>
        <v>-4.5506793796082192</v>
      </c>
      <c r="AK56" s="35">
        <f>Assessment!AK140</f>
        <v>-4.7454484570554509</v>
      </c>
      <c r="AL56" s="35">
        <f>Assessment!AL140</f>
        <v>-4.9485536510174244</v>
      </c>
      <c r="AM56" s="35">
        <f>Assessment!AM140</f>
        <v>-5.1603517472809699</v>
      </c>
      <c r="AN56" s="35">
        <f>Assessment!AN140</f>
        <v>-5.3812148020645951</v>
      </c>
      <c r="AO56" s="35">
        <f>Assessment!AO140</f>
        <v>-0.5764280386493984</v>
      </c>
      <c r="AP56" s="35">
        <f>Assessment!AP140</f>
        <v>0</v>
      </c>
      <c r="AQ56" s="35">
        <f>Assessment!AQ140</f>
        <v>0</v>
      </c>
      <c r="AR56" s="35">
        <f>Assessment!AR140</f>
        <v>0</v>
      </c>
      <c r="AS56" s="35">
        <f>Assessment!AS140</f>
        <v>0</v>
      </c>
      <c r="AT56" s="35">
        <f>Assessment!AT140</f>
        <v>0</v>
      </c>
      <c r="AU56" s="35">
        <f>Assessment!AU140</f>
        <v>0</v>
      </c>
      <c r="AV56" s="35">
        <f>Assessment!AV140</f>
        <v>0</v>
      </c>
      <c r="AW56" s="35">
        <f>Assessment!AW140</f>
        <v>0</v>
      </c>
      <c r="AX56" s="35">
        <f>Assessment!AX140</f>
        <v>0</v>
      </c>
      <c r="AY56" s="35">
        <f>Assessment!AY140</f>
        <v>0</v>
      </c>
      <c r="AZ56" s="35">
        <f>Assessment!AZ140</f>
        <v>0</v>
      </c>
      <c r="BA56" s="35">
        <f>Assessment!BA140</f>
        <v>0</v>
      </c>
      <c r="BB56" s="35">
        <f>Assessment!BB140</f>
        <v>0</v>
      </c>
    </row>
    <row r="57" spans="3:54" ht="15" customHeight="1">
      <c r="E57" s="19" t="s">
        <v>643</v>
      </c>
      <c r="G57" s="5" t="s">
        <v>248</v>
      </c>
      <c r="P57" s="35">
        <f>Assessment!P122</f>
        <v>0</v>
      </c>
      <c r="Q57" s="35">
        <f>Assessment!Q122</f>
        <v>0</v>
      </c>
      <c r="R57" s="35">
        <f>Assessment!R122</f>
        <v>0</v>
      </c>
      <c r="S57" s="35">
        <f>Assessment!S122</f>
        <v>0</v>
      </c>
      <c r="T57" s="35">
        <f>Assessment!T122</f>
        <v>0</v>
      </c>
      <c r="U57" s="35">
        <f>Assessment!U122</f>
        <v>0</v>
      </c>
      <c r="V57" s="35">
        <f>Assessment!V122</f>
        <v>0</v>
      </c>
      <c r="W57" s="35">
        <f>Assessment!W122</f>
        <v>0</v>
      </c>
      <c r="X57" s="35">
        <f>Assessment!X122</f>
        <v>0</v>
      </c>
      <c r="Y57" s="35">
        <f>Assessment!Y122</f>
        <v>0</v>
      </c>
      <c r="Z57" s="35">
        <f>Assessment!Z122</f>
        <v>0</v>
      </c>
      <c r="AA57" s="35">
        <f>Assessment!AA122</f>
        <v>0</v>
      </c>
      <c r="AB57" s="35">
        <f>Assessment!AB122</f>
        <v>0</v>
      </c>
      <c r="AC57" s="35">
        <f>Assessment!AC122</f>
        <v>0</v>
      </c>
      <c r="AD57" s="35">
        <f>Assessment!AD122</f>
        <v>0</v>
      </c>
      <c r="AE57" s="35">
        <f>Assessment!AE122</f>
        <v>0</v>
      </c>
      <c r="AF57" s="35">
        <f>Assessment!AF122</f>
        <v>0</v>
      </c>
      <c r="AG57" s="35">
        <f>Assessment!AG122</f>
        <v>0</v>
      </c>
      <c r="AH57" s="35">
        <f>Assessment!AH122</f>
        <v>0</v>
      </c>
      <c r="AI57" s="35">
        <f>Assessment!AI122</f>
        <v>0</v>
      </c>
      <c r="AJ57" s="35">
        <f>Assessment!AJ122</f>
        <v>0</v>
      </c>
      <c r="AK57" s="35">
        <f>Assessment!AK122</f>
        <v>0</v>
      </c>
      <c r="AL57" s="35">
        <f>Assessment!AL122</f>
        <v>0</v>
      </c>
      <c r="AM57" s="35">
        <f>Assessment!AM122</f>
        <v>0</v>
      </c>
      <c r="AN57" s="35">
        <f>Assessment!AN122</f>
        <v>0</v>
      </c>
      <c r="AO57" s="35">
        <f>Assessment!AO122</f>
        <v>0</v>
      </c>
      <c r="AP57" s="35">
        <f>Assessment!AP122</f>
        <v>0</v>
      </c>
      <c r="AQ57" s="35">
        <f>Assessment!AQ122</f>
        <v>0</v>
      </c>
      <c r="AR57" s="35">
        <f>Assessment!AR122</f>
        <v>0</v>
      </c>
      <c r="AS57" s="35">
        <f>Assessment!AS122</f>
        <v>0</v>
      </c>
      <c r="AT57" s="35">
        <f>Assessment!AT122</f>
        <v>0</v>
      </c>
      <c r="AU57" s="35">
        <f>Assessment!AU122</f>
        <v>0</v>
      </c>
      <c r="AV57" s="35">
        <f>Assessment!AV122</f>
        <v>0</v>
      </c>
      <c r="AW57" s="35">
        <f>Assessment!AW122</f>
        <v>0</v>
      </c>
      <c r="AX57" s="35">
        <f>Assessment!AX122</f>
        <v>0</v>
      </c>
      <c r="AY57" s="35">
        <f>Assessment!AY122</f>
        <v>0</v>
      </c>
      <c r="AZ57" s="35">
        <f>Assessment!AZ122</f>
        <v>0</v>
      </c>
      <c r="BA57" s="35">
        <f>Assessment!BA122</f>
        <v>0</v>
      </c>
      <c r="BB57" s="35">
        <f>Assessment!BB122</f>
        <v>0</v>
      </c>
    </row>
    <row r="58" spans="3:54" ht="15" customHeight="1">
      <c r="E58" s="19" t="s">
        <v>644</v>
      </c>
      <c r="G58" s="5" t="s">
        <v>248</v>
      </c>
      <c r="P58" s="35">
        <f>Assessment!P123</f>
        <v>0</v>
      </c>
      <c r="Q58" s="35">
        <f>Assessment!Q123</f>
        <v>0</v>
      </c>
      <c r="R58" s="35">
        <f>Assessment!R123</f>
        <v>0</v>
      </c>
      <c r="S58" s="35">
        <f>Assessment!S123</f>
        <v>0</v>
      </c>
      <c r="T58" s="35">
        <f>Assessment!T123</f>
        <v>0</v>
      </c>
      <c r="U58" s="35">
        <f>Assessment!U123</f>
        <v>0</v>
      </c>
      <c r="V58" s="35">
        <f>Assessment!V123</f>
        <v>0</v>
      </c>
      <c r="W58" s="35">
        <f>Assessment!W123</f>
        <v>0</v>
      </c>
      <c r="X58" s="35">
        <f>Assessment!X123</f>
        <v>0</v>
      </c>
      <c r="Y58" s="35">
        <f>Assessment!Y123</f>
        <v>0</v>
      </c>
      <c r="Z58" s="35">
        <f>Assessment!Z123</f>
        <v>0</v>
      </c>
      <c r="AA58" s="35">
        <f>Assessment!AA123</f>
        <v>0</v>
      </c>
      <c r="AB58" s="35">
        <f>Assessment!AB123</f>
        <v>0</v>
      </c>
      <c r="AC58" s="35">
        <f>Assessment!AC123</f>
        <v>0</v>
      </c>
      <c r="AD58" s="35">
        <f>Assessment!AD123</f>
        <v>0</v>
      </c>
      <c r="AE58" s="35">
        <f>Assessment!AE123</f>
        <v>0</v>
      </c>
      <c r="AF58" s="35">
        <f>Assessment!AF123</f>
        <v>0</v>
      </c>
      <c r="AG58" s="35">
        <f>Assessment!AG123</f>
        <v>0</v>
      </c>
      <c r="AH58" s="35">
        <f>Assessment!AH123</f>
        <v>0</v>
      </c>
      <c r="AI58" s="35">
        <f>Assessment!AI123</f>
        <v>0</v>
      </c>
      <c r="AJ58" s="35">
        <f>Assessment!AJ123</f>
        <v>0</v>
      </c>
      <c r="AK58" s="35">
        <f>Assessment!AK123</f>
        <v>0</v>
      </c>
      <c r="AL58" s="35">
        <f>Assessment!AL123</f>
        <v>0</v>
      </c>
      <c r="AM58" s="35">
        <f>Assessment!AM123</f>
        <v>0</v>
      </c>
      <c r="AN58" s="35">
        <f>Assessment!AN123</f>
        <v>0</v>
      </c>
      <c r="AO58" s="35">
        <f>Assessment!AO123</f>
        <v>0</v>
      </c>
      <c r="AP58" s="35">
        <f>Assessment!AP123</f>
        <v>0</v>
      </c>
      <c r="AQ58" s="35">
        <f>Assessment!AQ123</f>
        <v>0</v>
      </c>
      <c r="AR58" s="35">
        <f>Assessment!AR123</f>
        <v>0</v>
      </c>
      <c r="AS58" s="35">
        <f>Assessment!AS123</f>
        <v>0</v>
      </c>
      <c r="AT58" s="35">
        <f>Assessment!AT123</f>
        <v>0</v>
      </c>
      <c r="AU58" s="35">
        <f>Assessment!AU123</f>
        <v>0</v>
      </c>
      <c r="AV58" s="35">
        <f>Assessment!AV123</f>
        <v>0</v>
      </c>
      <c r="AW58" s="35">
        <f>Assessment!AW123</f>
        <v>0</v>
      </c>
      <c r="AX58" s="35">
        <f>Assessment!AX123</f>
        <v>0</v>
      </c>
      <c r="AY58" s="35">
        <f>Assessment!AY123</f>
        <v>0</v>
      </c>
      <c r="AZ58" s="35">
        <f>Assessment!AZ123</f>
        <v>0</v>
      </c>
      <c r="BA58" s="35">
        <f>Assessment!BA123</f>
        <v>0</v>
      </c>
      <c r="BB58" s="35">
        <f>Assessment!BB123</f>
        <v>0</v>
      </c>
    </row>
    <row r="59" spans="3:54" ht="15" customHeight="1">
      <c r="E59" s="19" t="s">
        <v>645</v>
      </c>
      <c r="G59" s="5" t="s">
        <v>248</v>
      </c>
      <c r="P59" s="35">
        <f>-Assessment!P57</f>
        <v>0</v>
      </c>
      <c r="Q59" s="35">
        <f>-Assessment!Q57</f>
        <v>0</v>
      </c>
      <c r="R59" s="35">
        <f>-Assessment!R57</f>
        <v>0</v>
      </c>
      <c r="S59" s="35">
        <f>-Assessment!S57</f>
        <v>0</v>
      </c>
      <c r="T59" s="35">
        <f>-Assessment!T57</f>
        <v>0</v>
      </c>
      <c r="U59" s="35">
        <f>-Assessment!U57</f>
        <v>0</v>
      </c>
      <c r="V59" s="35">
        <f>-Assessment!V57</f>
        <v>0</v>
      </c>
      <c r="W59" s="35">
        <f>-Assessment!W57</f>
        <v>0</v>
      </c>
      <c r="X59" s="35">
        <f>-Assessment!X57</f>
        <v>0</v>
      </c>
      <c r="Y59" s="35">
        <f>-Assessment!Y57</f>
        <v>0</v>
      </c>
      <c r="Z59" s="35">
        <f>-Assessment!Z57</f>
        <v>0</v>
      </c>
      <c r="AA59" s="35">
        <f>-Assessment!AA57</f>
        <v>0</v>
      </c>
      <c r="AB59" s="35">
        <f>-Assessment!AB57</f>
        <v>0</v>
      </c>
      <c r="AC59" s="35">
        <f>-Assessment!AC57</f>
        <v>0</v>
      </c>
      <c r="AD59" s="35">
        <f>-Assessment!AD57</f>
        <v>0</v>
      </c>
      <c r="AE59" s="35">
        <f>-Assessment!AE57</f>
        <v>0</v>
      </c>
      <c r="AF59" s="35">
        <f>-Assessment!AF57</f>
        <v>0</v>
      </c>
      <c r="AG59" s="35">
        <f>-Assessment!AG57</f>
        <v>0</v>
      </c>
      <c r="AH59" s="35">
        <f>-Assessment!AH57</f>
        <v>0</v>
      </c>
      <c r="AI59" s="35">
        <f>-Assessment!AI57</f>
        <v>0</v>
      </c>
      <c r="AJ59" s="35">
        <f>-Assessment!AJ57</f>
        <v>0</v>
      </c>
      <c r="AK59" s="35">
        <f>-Assessment!AK57</f>
        <v>0</v>
      </c>
      <c r="AL59" s="35">
        <f>-Assessment!AL57</f>
        <v>0</v>
      </c>
      <c r="AM59" s="35">
        <f>-Assessment!AM57</f>
        <v>0</v>
      </c>
      <c r="AN59" s="35">
        <f>-Assessment!AN57</f>
        <v>0</v>
      </c>
      <c r="AO59" s="35">
        <f>-Assessment!AO57</f>
        <v>0</v>
      </c>
      <c r="AP59" s="35">
        <f>-Assessment!AP57</f>
        <v>0</v>
      </c>
      <c r="AQ59" s="35">
        <f>-Assessment!AQ57</f>
        <v>0</v>
      </c>
      <c r="AR59" s="35">
        <f>-Assessment!AR57</f>
        <v>0</v>
      </c>
      <c r="AS59" s="35">
        <f>-Assessment!AS57</f>
        <v>0</v>
      </c>
      <c r="AT59" s="35">
        <f>-Assessment!AT57</f>
        <v>0</v>
      </c>
      <c r="AU59" s="35">
        <f>-Assessment!AU57</f>
        <v>0</v>
      </c>
      <c r="AV59" s="35">
        <f>-Assessment!AV57</f>
        <v>0</v>
      </c>
      <c r="AW59" s="35">
        <f>-Assessment!AW57</f>
        <v>0</v>
      </c>
      <c r="AX59" s="35">
        <f>-Assessment!AX57</f>
        <v>0</v>
      </c>
      <c r="AY59" s="35">
        <f>-Assessment!AY57</f>
        <v>0</v>
      </c>
      <c r="AZ59" s="35">
        <f>-Assessment!AZ57</f>
        <v>0</v>
      </c>
      <c r="BA59" s="35">
        <f>-Assessment!BA57</f>
        <v>0</v>
      </c>
      <c r="BB59" s="35">
        <f>-Assessment!BB57</f>
        <v>0</v>
      </c>
    </row>
    <row r="60" spans="3:54" ht="15" customHeight="1">
      <c r="E60" s="19" t="s">
        <v>646</v>
      </c>
      <c r="G60" s="5" t="s">
        <v>248</v>
      </c>
      <c r="P60" s="35">
        <f>Assessment!P67*IF(Assessment!P79&gt;1,1,0)</f>
        <v>0</v>
      </c>
      <c r="Q60" s="35">
        <f>Assessment!Q67*IF(Assessment!Q79&gt;1,1,0)</f>
        <v>0</v>
      </c>
      <c r="R60" s="35">
        <f>Assessment!R67*IF(Assessment!R79&gt;1,1,0)</f>
        <v>0</v>
      </c>
      <c r="S60" s="35">
        <f>Assessment!S67*IF(Assessment!S79&gt;1,1,0)</f>
        <v>24.996499711583155</v>
      </c>
      <c r="T60" s="35">
        <f>Assessment!T67*IF(Assessment!T79&gt;1,1,0)</f>
        <v>25.577046282690425</v>
      </c>
      <c r="U60" s="35">
        <f>Assessment!U67*IF(Assessment!U79&gt;1,1,0)</f>
        <v>24.383897278477871</v>
      </c>
      <c r="V60" s="35">
        <f>Assessment!V67*IF(Assessment!V79&gt;1,1,0)</f>
        <v>25.082200293143497</v>
      </c>
      <c r="W60" s="35">
        <f>Assessment!W67*IF(Assessment!W79&gt;1,1,0)</f>
        <v>25.804520104426306</v>
      </c>
      <c r="X60" s="35">
        <f>Assessment!X67*IF(Assessment!X79&gt;1,1,0)</f>
        <v>26.551784831490533</v>
      </c>
      <c r="Y60" s="35">
        <f>Assessment!Y67*IF(Assessment!Y79&gt;1,1,0)</f>
        <v>27.324960620405221</v>
      </c>
      <c r="Z60" s="35">
        <f>Assessment!Z67*IF(Assessment!Z79&gt;1,1,0)</f>
        <v>28.125053242853614</v>
      </c>
      <c r="AA60" s="35">
        <f>Assessment!AA67*IF(Assessment!AA79&gt;1,1,0)</f>
        <v>28.953109762777018</v>
      </c>
      <c r="AB60" s="35">
        <f>Assessment!AB67*IF(Assessment!AB79&gt;1,1,0)</f>
        <v>29.810220273852348</v>
      </c>
      <c r="AC60" s="35">
        <f>Assessment!AC67*IF(Assessment!AC79&gt;1,1,0)</f>
        <v>30.697519710826572</v>
      </c>
      <c r="AD60" s="35">
        <f>Assessment!AD67*IF(Assessment!AD79&gt;1,1,0)</f>
        <v>31.616189737860612</v>
      </c>
      <c r="AE60" s="35">
        <f>Assessment!AE67*IF(Assessment!AE79&gt;1,1,0)</f>
        <v>32.567460717169681</v>
      </c>
      <c r="AF60" s="35">
        <f>Assessment!AF67*IF(Assessment!AF79&gt;1,1,0)</f>
        <v>33.552613761388173</v>
      </c>
      <c r="AG60" s="35">
        <f>Assessment!AG67*IF(Assessment!AG79&gt;1,1,0)</f>
        <v>34.572982873233116</v>
      </c>
      <c r="AH60" s="35">
        <f>Assessment!AH67*IF(Assessment!AH79&gt;1,1,0)</f>
        <v>35.629957176193585</v>
      </c>
      <c r="AI60" s="35">
        <f>Assessment!AI67*IF(Assessment!AI79&gt;1,1,0)</f>
        <v>36.724983240132545</v>
      </c>
      <c r="AJ60" s="35">
        <f>Assessment!AJ67*IF(Assessment!AJ79&gt;1,1,0)</f>
        <v>37.859567505853654</v>
      </c>
      <c r="AK60" s="35">
        <f>Assessment!AK67*IF(Assessment!AK79&gt;1,1,0)</f>
        <v>39.035278812859367</v>
      </c>
      <c r="AL60" s="35">
        <f>Assessment!AL67*IF(Assessment!AL79&gt;1,1,0)</f>
        <v>38.777353960261244</v>
      </c>
      <c r="AM60" s="35">
        <f>Assessment!AM67*IF(Assessment!AM79&gt;1,1,0)</f>
        <v>23.38705442240024</v>
      </c>
      <c r="AN60" s="35">
        <f>Assessment!AN67*IF(Assessment!AN79&gt;1,1,0)</f>
        <v>24.388020351678964</v>
      </c>
      <c r="AO60" s="35">
        <f>Assessment!AO67*IF(Assessment!AO79&gt;1,1,0)</f>
        <v>8.3728330503309571</v>
      </c>
      <c r="AP60" s="35">
        <f>Assessment!AP67*IF(Assessment!AP79&gt;1,1,0)</f>
        <v>0</v>
      </c>
      <c r="AQ60" s="35">
        <f>Assessment!AQ67*IF(Assessment!AQ79&gt;1,1,0)</f>
        <v>0</v>
      </c>
      <c r="AR60" s="35">
        <f>Assessment!AR67*IF(Assessment!AR79&gt;1,1,0)</f>
        <v>0</v>
      </c>
      <c r="AS60" s="35">
        <f>Assessment!AS67*IF(Assessment!AS79&gt;1,1,0)</f>
        <v>0</v>
      </c>
      <c r="AT60" s="35">
        <f>Assessment!AT67*IF(Assessment!AT79&gt;1,1,0)</f>
        <v>0</v>
      </c>
      <c r="AU60" s="35">
        <f>Assessment!AU67*IF(Assessment!AU79&gt;1,1,0)</f>
        <v>0</v>
      </c>
      <c r="AV60" s="35">
        <f>Assessment!AV67*IF(Assessment!AV79&gt;1,1,0)</f>
        <v>0</v>
      </c>
      <c r="AW60" s="35">
        <f>Assessment!AW67*IF(Assessment!AW79&gt;1,1,0)</f>
        <v>0</v>
      </c>
      <c r="AX60" s="35">
        <f>Assessment!AX67*IF(Assessment!AX79&gt;1,1,0)</f>
        <v>0</v>
      </c>
      <c r="AY60" s="35">
        <f>Assessment!AY67*IF(Assessment!AY79&gt;1,1,0)</f>
        <v>0</v>
      </c>
      <c r="AZ60" s="35">
        <f>Assessment!AZ67*IF(Assessment!AZ79&gt;1,1,0)</f>
        <v>0</v>
      </c>
      <c r="BA60" s="35">
        <f>Assessment!BA67*IF(Assessment!BA79&gt;1,1,0)</f>
        <v>0</v>
      </c>
      <c r="BB60" s="35">
        <f>Assessment!BB67*IF(Assessment!BB79&gt;1,1,0)</f>
        <v>0</v>
      </c>
    </row>
    <row r="61" spans="3:54" ht="15" customHeight="1">
      <c r="E61" s="19" t="s">
        <v>651</v>
      </c>
      <c r="G61" s="5" t="s">
        <v>248</v>
      </c>
      <c r="P61" s="35">
        <f>Assessment!P107</f>
        <v>0</v>
      </c>
      <c r="Q61" s="35">
        <f>Assessment!Q107</f>
        <v>0</v>
      </c>
      <c r="R61" s="35">
        <f>Assessment!R107</f>
        <v>0</v>
      </c>
      <c r="S61" s="35">
        <f>Assessment!S107</f>
        <v>0</v>
      </c>
      <c r="T61" s="35">
        <f>Assessment!T107</f>
        <v>0</v>
      </c>
      <c r="U61" s="35">
        <f>Assessment!U107</f>
        <v>0</v>
      </c>
      <c r="V61" s="35">
        <f>Assessment!V107</f>
        <v>0</v>
      </c>
      <c r="W61" s="35">
        <f>Assessment!W107</f>
        <v>0</v>
      </c>
      <c r="X61" s="35">
        <f>Assessment!X107</f>
        <v>0</v>
      </c>
      <c r="Y61" s="35">
        <f>Assessment!Y107</f>
        <v>0</v>
      </c>
      <c r="Z61" s="35">
        <f>Assessment!Z107</f>
        <v>0</v>
      </c>
      <c r="AA61" s="35">
        <f>Assessment!AA107</f>
        <v>0</v>
      </c>
      <c r="AB61" s="35">
        <f>Assessment!AB107</f>
        <v>0</v>
      </c>
      <c r="AC61" s="35">
        <f>Assessment!AC107</f>
        <v>0</v>
      </c>
      <c r="AD61" s="35">
        <f>Assessment!AD107</f>
        <v>0</v>
      </c>
      <c r="AE61" s="35">
        <f>Assessment!AE107</f>
        <v>0</v>
      </c>
      <c r="AF61" s="35">
        <f>Assessment!AF107</f>
        <v>0</v>
      </c>
      <c r="AG61" s="35">
        <f>Assessment!AG107</f>
        <v>0</v>
      </c>
      <c r="AH61" s="35">
        <f>Assessment!AH107</f>
        <v>0</v>
      </c>
      <c r="AI61" s="35">
        <f>Assessment!AI107</f>
        <v>0</v>
      </c>
      <c r="AJ61" s="35">
        <f>Assessment!AJ107</f>
        <v>0</v>
      </c>
      <c r="AK61" s="35">
        <f>Assessment!AK107</f>
        <v>0</v>
      </c>
      <c r="AL61" s="35">
        <f>Assessment!AL107</f>
        <v>0</v>
      </c>
      <c r="AM61" s="35">
        <f>Assessment!AM107</f>
        <v>0</v>
      </c>
      <c r="AN61" s="35">
        <f>Assessment!AN107</f>
        <v>0</v>
      </c>
      <c r="AO61" s="35">
        <f>Assessment!AO107</f>
        <v>0</v>
      </c>
      <c r="AP61" s="35">
        <f>Assessment!AP107</f>
        <v>0</v>
      </c>
      <c r="AQ61" s="35">
        <f>Assessment!AQ107</f>
        <v>0</v>
      </c>
      <c r="AR61" s="35">
        <f>Assessment!AR107</f>
        <v>0</v>
      </c>
      <c r="AS61" s="35">
        <f>Assessment!AS107</f>
        <v>0</v>
      </c>
      <c r="AT61" s="35">
        <f>Assessment!AT107</f>
        <v>0</v>
      </c>
      <c r="AU61" s="35">
        <f>Assessment!AU107</f>
        <v>0</v>
      </c>
      <c r="AV61" s="35">
        <f>Assessment!AV107</f>
        <v>0</v>
      </c>
      <c r="AW61" s="35">
        <f>Assessment!AW107</f>
        <v>0</v>
      </c>
      <c r="AX61" s="35">
        <f>Assessment!AX107</f>
        <v>0</v>
      </c>
      <c r="AY61" s="35">
        <f>Assessment!AY107</f>
        <v>0</v>
      </c>
      <c r="AZ61" s="35">
        <f>Assessment!AZ107</f>
        <v>0</v>
      </c>
      <c r="BA61" s="35">
        <f>Assessment!BA107</f>
        <v>0</v>
      </c>
      <c r="BB61" s="35">
        <f>Assessment!BB107</f>
        <v>0</v>
      </c>
    </row>
    <row r="62" spans="3:54" ht="15" customHeight="1">
      <c r="E62" s="19" t="s">
        <v>652</v>
      </c>
      <c r="G62" s="5" t="s">
        <v>248</v>
      </c>
      <c r="P62" s="35">
        <f t="shared" ref="P62:BB62" si="14">SUM(P56:P61)</f>
        <v>-1.968139094972245</v>
      </c>
      <c r="Q62" s="35">
        <f t="shared" si="14"/>
        <v>-2.0523754482370569</v>
      </c>
      <c r="R62" s="35">
        <f t="shared" si="14"/>
        <v>-2.1402171174216029</v>
      </c>
      <c r="S62" s="35">
        <f t="shared" si="14"/>
        <v>22.764681301535909</v>
      </c>
      <c r="T62" s="35">
        <f t="shared" si="14"/>
        <v>23.249706044693156</v>
      </c>
      <c r="U62" s="35">
        <f t="shared" si="14"/>
        <v>21.956946878294318</v>
      </c>
      <c r="V62" s="35">
        <f t="shared" si="14"/>
        <v>22.551376415832088</v>
      </c>
      <c r="W62" s="35">
        <f t="shared" si="14"/>
        <v>23.165376965165969</v>
      </c>
      <c r="X62" s="35">
        <f t="shared" si="14"/>
        <v>23.799686365869853</v>
      </c>
      <c r="Y62" s="35">
        <f t="shared" si="14"/>
        <v>24.455072340455978</v>
      </c>
      <c r="Z62" s="35">
        <f t="shared" si="14"/>
        <v>25.132333744522544</v>
      </c>
      <c r="AA62" s="35">
        <f t="shared" si="14"/>
        <v>25.832301869917377</v>
      </c>
      <c r="AB62" s="35">
        <f t="shared" si="14"/>
        <v>26.555841803178314</v>
      </c>
      <c r="AC62" s="35">
        <f t="shared" si="14"/>
        <v>27.30385384160769</v>
      </c>
      <c r="AD62" s="35">
        <f t="shared" si="14"/>
        <v>28.077274969439163</v>
      </c>
      <c r="AE62" s="35">
        <f t="shared" si="14"/>
        <v>28.877080396659792</v>
      </c>
      <c r="AF62" s="35">
        <f t="shared" si="14"/>
        <v>29.704285163160463</v>
      </c>
      <c r="AG62" s="35">
        <f t="shared" si="14"/>
        <v>30.55994581100126</v>
      </c>
      <c r="AH62" s="35">
        <f t="shared" si="14"/>
        <v>31.445162127698204</v>
      </c>
      <c r="AI62" s="35">
        <f t="shared" si="14"/>
        <v>32.361078963561567</v>
      </c>
      <c r="AJ62" s="35">
        <f t="shared" si="14"/>
        <v>33.308888126245435</v>
      </c>
      <c r="AK62" s="35">
        <f t="shared" si="14"/>
        <v>34.289830355803915</v>
      </c>
      <c r="AL62" s="35">
        <f t="shared" si="14"/>
        <v>33.828800309243817</v>
      </c>
      <c r="AM62" s="35">
        <f t="shared" si="14"/>
        <v>18.22670267511927</v>
      </c>
      <c r="AN62" s="35">
        <f t="shared" si="14"/>
        <v>19.00680554961437</v>
      </c>
      <c r="AO62" s="35">
        <f t="shared" si="14"/>
        <v>7.7964050116815589</v>
      </c>
      <c r="AP62" s="35">
        <f t="shared" si="14"/>
        <v>0</v>
      </c>
      <c r="AQ62" s="35">
        <f t="shared" si="14"/>
        <v>0</v>
      </c>
      <c r="AR62" s="35">
        <f t="shared" si="14"/>
        <v>0</v>
      </c>
      <c r="AS62" s="35">
        <f t="shared" si="14"/>
        <v>0</v>
      </c>
      <c r="AT62" s="35">
        <f t="shared" si="14"/>
        <v>0</v>
      </c>
      <c r="AU62" s="35">
        <f t="shared" si="14"/>
        <v>0</v>
      </c>
      <c r="AV62" s="35">
        <f t="shared" si="14"/>
        <v>0</v>
      </c>
      <c r="AW62" s="35">
        <f t="shared" si="14"/>
        <v>0</v>
      </c>
      <c r="AX62" s="35">
        <f t="shared" si="14"/>
        <v>0</v>
      </c>
      <c r="AY62" s="35">
        <f t="shared" si="14"/>
        <v>0</v>
      </c>
      <c r="AZ62" s="35">
        <f t="shared" si="14"/>
        <v>0</v>
      </c>
      <c r="BA62" s="35">
        <f t="shared" si="14"/>
        <v>0</v>
      </c>
      <c r="BB62" s="35">
        <f t="shared" si="14"/>
        <v>0</v>
      </c>
    </row>
    <row r="63" spans="3:54" ht="15" customHeight="1">
      <c r="E63" s="19" t="s">
        <v>649</v>
      </c>
      <c r="G63" s="194" t="str">
        <f>IF(COUNTIF(P63:BB63,FALSE)=0,"OK",COUNTIF(P63:BB63,FALSE)&amp;" ERRORS")</f>
        <v>OK</v>
      </c>
      <c r="P63" s="5" t="b">
        <f>P62=Assessment!P145</f>
        <v>1</v>
      </c>
      <c r="Q63" s="5" t="b">
        <f>Q62=Assessment!Q145</f>
        <v>1</v>
      </c>
      <c r="R63" s="5" t="b">
        <f>R62=Assessment!R145</f>
        <v>1</v>
      </c>
      <c r="S63" s="5" t="b">
        <f>S62=Assessment!S145</f>
        <v>1</v>
      </c>
      <c r="T63" s="5" t="b">
        <f>T62=Assessment!T145</f>
        <v>1</v>
      </c>
      <c r="U63" s="5" t="b">
        <f>U62=Assessment!U145</f>
        <v>1</v>
      </c>
      <c r="V63" s="5" t="b">
        <f>V62=Assessment!V145</f>
        <v>1</v>
      </c>
      <c r="W63" s="5" t="b">
        <f>W62=Assessment!W145</f>
        <v>1</v>
      </c>
      <c r="X63" s="5" t="b">
        <f>X62=Assessment!X145</f>
        <v>1</v>
      </c>
      <c r="Y63" s="5" t="b">
        <f>Y62=Assessment!Y145</f>
        <v>1</v>
      </c>
      <c r="Z63" s="5" t="b">
        <f>Z62=Assessment!Z145</f>
        <v>1</v>
      </c>
      <c r="AA63" s="5" t="b">
        <f>AA62=Assessment!AA145</f>
        <v>1</v>
      </c>
      <c r="AB63" s="5" t="b">
        <f>AB62=Assessment!AB145</f>
        <v>1</v>
      </c>
      <c r="AC63" s="5" t="b">
        <f>AC62=Assessment!AC145</f>
        <v>1</v>
      </c>
      <c r="AD63" s="5" t="b">
        <f>AD62=Assessment!AD145</f>
        <v>1</v>
      </c>
      <c r="AE63" s="5" t="b">
        <f>AE62=Assessment!AE145</f>
        <v>1</v>
      </c>
      <c r="AF63" s="5" t="b">
        <f>AF62=Assessment!AF145</f>
        <v>1</v>
      </c>
      <c r="AG63" s="5" t="b">
        <f>AG62=Assessment!AG145</f>
        <v>1</v>
      </c>
      <c r="AH63" s="5" t="b">
        <f>AH62=Assessment!AH145</f>
        <v>1</v>
      </c>
      <c r="AI63" s="5" t="b">
        <f>AI62=Assessment!AI145</f>
        <v>1</v>
      </c>
      <c r="AJ63" s="5" t="b">
        <f>AJ62=Assessment!AJ145</f>
        <v>1</v>
      </c>
      <c r="AK63" s="5" t="b">
        <f>AK62=Assessment!AK145</f>
        <v>1</v>
      </c>
      <c r="AL63" s="5" t="b">
        <f>AL62=Assessment!AL145</f>
        <v>1</v>
      </c>
      <c r="AM63" s="5" t="b">
        <f>AM62=Assessment!AM145</f>
        <v>1</v>
      </c>
      <c r="AN63" s="5" t="b">
        <f>AN62=Assessment!AN145</f>
        <v>1</v>
      </c>
      <c r="AO63" s="5" t="b">
        <f>AO62=Assessment!AO145</f>
        <v>1</v>
      </c>
      <c r="AP63" s="5" t="b">
        <f>AP62=Assessment!AP145</f>
        <v>1</v>
      </c>
      <c r="AQ63" s="5" t="b">
        <f>AQ62=Assessment!AQ145</f>
        <v>1</v>
      </c>
      <c r="AR63" s="5" t="b">
        <f>AR62=Assessment!AR145</f>
        <v>1</v>
      </c>
      <c r="AS63" s="5" t="b">
        <f>AS62=Assessment!AS145</f>
        <v>1</v>
      </c>
      <c r="AT63" s="5" t="b">
        <f>AT62=Assessment!AT145</f>
        <v>1</v>
      </c>
      <c r="AU63" s="5" t="b">
        <f>AU62=Assessment!AU145</f>
        <v>1</v>
      </c>
      <c r="AV63" s="5" t="b">
        <f>AV62=Assessment!AV145</f>
        <v>1</v>
      </c>
      <c r="AW63" s="5" t="b">
        <f>AW62=Assessment!AW145</f>
        <v>1</v>
      </c>
      <c r="AX63" s="5" t="b">
        <f>AX62=Assessment!AX145</f>
        <v>1</v>
      </c>
      <c r="AY63" s="5" t="b">
        <f>AY62=Assessment!AY145</f>
        <v>1</v>
      </c>
      <c r="AZ63" s="5" t="b">
        <f>AZ62=Assessment!AZ145</f>
        <v>1</v>
      </c>
      <c r="BA63" s="5" t="b">
        <f>BA62=Assessment!BA145</f>
        <v>1</v>
      </c>
      <c r="BB63" s="5" t="b">
        <f>BB62=Assessment!BB145</f>
        <v>1</v>
      </c>
    </row>
    <row r="64" spans="3:54" customFormat="1" ht="15" customHeight="1"/>
    <row r="65" ht="15" customHeight="1"/>
  </sheetData>
  <conditionalFormatting sqref="P11:BB19 P23:BB24 P26:BB31 P33:BB39">
    <cfRule type="cellIs" dxfId="4" priority="9" operator="equal">
      <formula>FALSE</formula>
    </cfRule>
  </conditionalFormatting>
  <conditionalFormatting sqref="P34:BB34">
    <cfRule type="cellIs" dxfId="3" priority="2" operator="equal">
      <formula>0</formula>
    </cfRule>
  </conditionalFormatting>
  <conditionalFormatting sqref="P34:BB35">
    <cfRule type="cellIs" dxfId="2" priority="1" operator="equal">
      <formula>FALSE</formula>
    </cfRule>
  </conditionalFormatting>
  <conditionalFormatting sqref="P37:BB38">
    <cfRule type="cellIs" dxfId="1" priority="4" operator="equal">
      <formula>FALSE</formula>
    </cfRule>
  </conditionalFormatting>
  <conditionalFormatting sqref="Q34:BB34">
    <cfRule type="cellIs" dxfId="0" priority="6" operator="equal">
      <formula>FALSE</formula>
    </cfRule>
  </conditionalFormatting>
  <pageMargins left="0.23622047244094491" right="0.23622047244094491" top="0.74803149606299213" bottom="0.74803149606299213" header="0.31496062992125984" footer="0.31496062992125984"/>
  <pageSetup paperSize="8" scale="42" orientation="landscape" r:id="rId1"/>
  <headerFooter>
    <oddHeader>&amp;C&amp;"Aptos"&amp;10&amp;K000000 OFFICIAL&amp;1#_x000D_</oddHeader>
    <oddFooter>&amp;C_x000D_&amp;1#&amp;"Aptos"&amp;10&amp;K000000 OFFICIAL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sisl xmlns:xsd="http://www.w3.org/2001/XMLSchema" xmlns:xsi="http://www.w3.org/2001/XMLSchema-instance" xmlns="http://www.boldonjames.com/2008/01/sie/internal/label" sislVersion="0" policy="973096ae-7329-4b3b-9368-47aeba6959e1" origin="userSelected"/>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lcf76f155ced4ddcb4097134ff3c332f xmlns="3ffacce4-957f-4f0a-910f-9efe2ecf512c">
      <Terms xmlns="http://schemas.microsoft.com/office/infopath/2007/PartnerControls"/>
    </lcf76f155ced4ddcb4097134ff3c332f>
    <TaxCatchAll xmlns="d66eba0d-a2b9-4833-9603-ab5d8f45883c" xsi:nil="true"/>
    <PublicationRequestID xmlns="3ffacce4-957f-4f0a-910f-9efe2ecf512c">3104</PublicationRequestID>
    <DocumentTitle xmlns="3ffacce4-957f-4f0a-910f-9efe2ecf512c">Appendix 5 - GCFFM2</DocumentTitle>
    <DocumentRank xmlns="3ffacce4-957f-4f0a-910f-9efe2ecf512c">Subsidiary</DocumentRank>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D7C6947C0F765F428416B2828D309B65" ma:contentTypeVersion="16" ma:contentTypeDescription="Create a new document." ma:contentTypeScope="" ma:versionID="7647c6595f224e3bd9e63834e1bb6261">
  <xsd:schema xmlns:xsd="http://www.w3.org/2001/XMLSchema" xmlns:xs="http://www.w3.org/2001/XMLSchema" xmlns:p="http://schemas.microsoft.com/office/2006/metadata/properties" xmlns:ns1="http://schemas.microsoft.com/sharepoint/v3" xmlns:ns2="3ffacce4-957f-4f0a-910f-9efe2ecf512c" xmlns:ns3="d66eba0d-a2b9-4833-9603-ab5d8f45883c" targetNamespace="http://schemas.microsoft.com/office/2006/metadata/properties" ma:root="true" ma:fieldsID="0e1e0c35e55ed21418a3626af8608a3f" ns1:_="" ns2:_="" ns3:_="">
    <xsd:import namespace="http://schemas.microsoft.com/sharepoint/v3"/>
    <xsd:import namespace="3ffacce4-957f-4f0a-910f-9efe2ecf512c"/>
    <xsd:import namespace="d66eba0d-a2b9-4833-9603-ab5d8f45883c"/>
    <xsd:element name="properties">
      <xsd:complexType>
        <xsd:sequence>
          <xsd:element name="documentManagement">
            <xsd:complexType>
              <xsd:all>
                <xsd:element ref="ns2:PublicationRequestID" minOccurs="0"/>
                <xsd:element ref="ns2:DocumentTitle" minOccurs="0"/>
                <xsd:element ref="ns2:DocumentRank" minOccurs="0"/>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ObjectDetectorVersions" minOccurs="0"/>
                <xsd:element ref="ns1:_ip_UnifiedCompliancePolicyProperties" minOccurs="0"/>
                <xsd:element ref="ns1:_ip_UnifiedCompliancePolicyUIAction"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8" nillable="true" ma:displayName="Unified Compliance Policy Properties" ma:hidden="true" ma:internalName="_ip_UnifiedCompliancePolicyProperties">
      <xsd:simpleType>
        <xsd:restriction base="dms:Note"/>
      </xsd:simpleType>
    </xsd:element>
    <xsd:element name="_ip_UnifiedCompliancePolicyUIAction" ma:index="19"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facce4-957f-4f0a-910f-9efe2ecf512c" elementFormDefault="qualified">
    <xsd:import namespace="http://schemas.microsoft.com/office/2006/documentManagement/types"/>
    <xsd:import namespace="http://schemas.microsoft.com/office/infopath/2007/PartnerControls"/>
    <xsd:element name="PublicationRequestID" ma:index="8" nillable="true" ma:displayName="PublicationRequestID" ma:format="Dropdown" ma:internalName="PublicationRequestID" ma:percentage="FALSE">
      <xsd:simpleType>
        <xsd:restriction base="dms:Number"/>
      </xsd:simpleType>
    </xsd:element>
    <xsd:element name="DocumentTitle" ma:index="9" nillable="true" ma:displayName="DocumentTitle" ma:format="Dropdown" ma:internalName="DocumentTitle">
      <xsd:simpleType>
        <xsd:restriction base="dms:Note">
          <xsd:maxLength value="255"/>
        </xsd:restriction>
      </xsd:simpleType>
    </xsd:element>
    <xsd:element name="DocumentRank" ma:index="10" nillable="true" ma:displayName="DocumentImportance" ma:format="Dropdown" ma:internalName="DocumentRank">
      <xsd:simpleType>
        <xsd:restriction base="dms:Text">
          <xsd:maxLength value="255"/>
        </xsd:restriction>
      </xsd:simpleType>
    </xsd:element>
    <xsd:element name="lcf76f155ced4ddcb4097134ff3c332f" ma:index="12" nillable="true" ma:taxonomy="true" ma:internalName="lcf76f155ced4ddcb4097134ff3c332f" ma:taxonomyFieldName="MediaServiceImageTags" ma:displayName="Image Tags" ma:readOnly="false" ma:fieldId="{5cf76f15-5ced-4ddc-b409-7134ff3c332f}" ma:taxonomyMulti="true" ma:sspId="f1db303c-1d0a-4523-bf11-6998614b3713" ma:termSetId="09814cd3-568e-fe90-9814-8d621ff8fb84" ma:anchorId="fba54fb3-c3e1-fe81-a776-ca4b69148c4d" ma:open="true" ma:isKeyword="false">
      <xsd:complexType>
        <xsd:sequence>
          <xsd:element ref="pc:Terms" minOccurs="0" maxOccurs="1"/>
        </xsd:sequence>
      </xsd:complexType>
    </xsd:element>
    <xsd:element name="MediaServiceMetadata" ma:index="14" nillable="true" ma:displayName="MediaServiceMetadata" ma:hidden="true" ma:internalName="MediaServiceMetadata" ma:readOnly="true">
      <xsd:simpleType>
        <xsd:restriction base="dms:Note"/>
      </xsd:simpleType>
    </xsd:element>
    <xsd:element name="MediaServiceFastMetadata" ma:index="15" nillable="true" ma:displayName="MediaServiceFastMetadata" ma:hidden="true" ma:internalName="MediaServiceFastMetadata" ma:readOnly="true">
      <xsd:simpleType>
        <xsd:restriction base="dms:Note"/>
      </xsd:simpleType>
    </xsd:element>
    <xsd:element name="MediaServiceSearchProperties" ma:index="16" nillable="true" ma:displayName="MediaServiceSearchProperties" ma:hidden="true" ma:internalName="MediaServiceSearchProperties" ma:readOnly="true">
      <xsd:simpleType>
        <xsd:restriction base="dms:Note"/>
      </xsd:simpleType>
    </xsd:element>
    <xsd:element name="MediaServiceObjectDetectorVersions" ma:index="17" nillable="true" ma:displayName="MediaServiceObjectDetectorVersions" ma:hidden="true" ma:indexed="true" ma:internalName="MediaServiceObjectDetectorVersions" ma:readOnly="true">
      <xsd:simpleType>
        <xsd:restriction base="dms:Text"/>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MediaServiceOCR" ma:index="21" nillable="true" ma:displayName="Extracted Text" ma:internalName="MediaServiceOCR" ma:readOnly="true">
      <xsd:simpleType>
        <xsd:restriction base="dms:Note">
          <xsd:maxLength value="255"/>
        </xsd:restriction>
      </xsd:simpleType>
    </xsd:element>
    <xsd:element name="MediaServiceGenerationTime" ma:index="22" nillable="true" ma:displayName="MediaServiceGenerationTime" ma:hidden="true" ma:internalName="MediaServiceGenerationTime" ma:readOnly="true">
      <xsd:simpleType>
        <xsd:restriction base="dms:Text"/>
      </xsd:simpleType>
    </xsd:element>
    <xsd:element name="MediaServiceEventHashCode" ma:index="23"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66eba0d-a2b9-4833-9603-ab5d8f45883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bdb3995f-4898-4ee6-8000-b65c76445445}" ma:internalName="TaxCatchAll" ma:showField="CatchAllData" ma:web="d66eba0d-a2b9-4833-9603-ab5d8f4588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DE745F4-1C4F-4B40-A47C-C4F42105D6E1}"/>
</file>

<file path=customXml/itemProps2.xml><?xml version="1.0" encoding="utf-8"?>
<ds:datastoreItem xmlns:ds="http://schemas.openxmlformats.org/officeDocument/2006/customXml" ds:itemID="{08834C2C-5BC2-48A6-A602-E971C5BDE99A}"/>
</file>

<file path=customXml/itemProps3.xml><?xml version="1.0" encoding="utf-8"?>
<ds:datastoreItem xmlns:ds="http://schemas.openxmlformats.org/officeDocument/2006/customXml" ds:itemID="{EF588D52-9C9F-4FCA-932A-BFA370DA4D0E}"/>
</file>

<file path=customXml/itemProps4.xml><?xml version="1.0" encoding="utf-8"?>
<ds:datastoreItem xmlns:ds="http://schemas.openxmlformats.org/officeDocument/2006/customXml" ds:itemID="{9187A528-4745-4D48-A568-83D07A8F9E9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IFA2 CFFM2 PCR Decision</dc:title>
  <dc:subject/>
  <dc:creator/>
  <cp:keywords/>
  <dc:description/>
  <cp:lastModifiedBy/>
  <cp:revision/>
  <dcterms:created xsi:type="dcterms:W3CDTF">2014-03-17T11:35:35Z</dcterms:created>
  <dcterms:modified xsi:type="dcterms:W3CDTF">2026-09-17T15:11:05Z</dcterms:modified>
  <cp:category/>
  <cp:contentStatus>Draft</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0x010100D7C6947C0F765F428416B2828D309B65</vt:lpwstr>
  </property>
  <property fmtid="{D5CDD505-2E9C-101B-9397-08002B2CF9AE}" pid="3" name="Select Content Type Above">
    <vt:lpwstr/>
  </property>
  <property fmtid="{D5CDD505-2E9C-101B-9397-08002B2CF9AE}" pid="4" name="Order">
    <vt:r8>2893600</vt:r8>
  </property>
  <property fmtid="{D5CDD505-2E9C-101B-9397-08002B2CF9AE}" pid="5" name="Applicable Start Date">
    <vt:filetime>2014-03-17T00:00:00Z</vt:filetime>
  </property>
  <property fmtid="{D5CDD505-2E9C-101B-9397-08002B2CF9AE}" pid="6" name="URL">
    <vt:lpwstr/>
  </property>
  <property fmtid="{D5CDD505-2E9C-101B-9397-08002B2CF9AE}" pid="7" name="From">
    <vt:lpwstr/>
  </property>
  <property fmtid="{D5CDD505-2E9C-101B-9397-08002B2CF9AE}" pid="8" name="Project Sponsor">
    <vt:lpwstr/>
  </property>
  <property fmtid="{D5CDD505-2E9C-101B-9397-08002B2CF9AE}" pid="9" name="BCC">
    <vt:lpwstr/>
  </property>
  <property fmtid="{D5CDD505-2E9C-101B-9397-08002B2CF9AE}" pid="10" name="xd_ProgID">
    <vt:lpwstr/>
  </property>
  <property fmtid="{D5CDD505-2E9C-101B-9397-08002B2CF9AE}" pid="11" name="_Version">
    <vt:lpwstr/>
  </property>
  <property fmtid="{D5CDD505-2E9C-101B-9397-08002B2CF9AE}" pid="12" name="Project Manager">
    <vt:lpwstr/>
  </property>
  <property fmtid="{D5CDD505-2E9C-101B-9397-08002B2CF9AE}" pid="13" name="Ref No">
    <vt:lpwstr/>
  </property>
  <property fmtid="{D5CDD505-2E9C-101B-9397-08002B2CF9AE}" pid="14" name="Applicable Duration">
    <vt:lpwstr>-</vt:lpwstr>
  </property>
  <property fmtid="{D5CDD505-2E9C-101B-9397-08002B2CF9AE}" pid="15" name="Project Name">
    <vt:lpwstr/>
  </property>
  <property fmtid="{D5CDD505-2E9C-101B-9397-08002B2CF9AE}" pid="16" name="Project Owner">
    <vt:lpwstr/>
  </property>
  <property fmtid="{D5CDD505-2E9C-101B-9397-08002B2CF9AE}" pid="17" name="TemplateUrl">
    <vt:lpwstr/>
  </property>
  <property fmtid="{D5CDD505-2E9C-101B-9397-08002B2CF9AE}" pid="18" name="CC">
    <vt:lpwstr/>
  </property>
  <property fmtid="{D5CDD505-2E9C-101B-9397-08002B2CF9AE}" pid="19" name="DLCPolicyLabelLock">
    <vt:lpwstr/>
  </property>
  <property fmtid="{D5CDD505-2E9C-101B-9397-08002B2CF9AE}" pid="20" name="To">
    <vt:lpwstr/>
  </property>
  <property fmtid="{D5CDD505-2E9C-101B-9397-08002B2CF9AE}" pid="21" name="Attach Count">
    <vt:lpwstr/>
  </property>
  <property fmtid="{D5CDD505-2E9C-101B-9397-08002B2CF9AE}" pid="22" name="Importance">
    <vt:lpwstr/>
  </property>
  <property fmtid="{D5CDD505-2E9C-101B-9397-08002B2CF9AE}" pid="23" name="DLCPolicyLabelClientValue">
    <vt:lpwstr>Version : {_UIVersionString}</vt:lpwstr>
  </property>
  <property fmtid="{D5CDD505-2E9C-101B-9397-08002B2CF9AE}" pid="24" name="docIndexRef">
    <vt:lpwstr>42851806-6890-44f2-8607-e9d4388277d8</vt:lpwstr>
  </property>
  <property fmtid="{D5CDD505-2E9C-101B-9397-08002B2CF9AE}" pid="25" name="bjSaver">
    <vt:lpwstr>F4pwnGwIynODlByWBfXh7WvHa6LyLkXu</vt:lpwstr>
  </property>
  <property fmtid="{D5CDD505-2E9C-101B-9397-08002B2CF9AE}" pid="26" name="bjDocumentSecurityLabel">
    <vt:lpwstr>This item has no classification</vt:lpwstr>
  </property>
  <property fmtid="{D5CDD505-2E9C-101B-9397-08002B2CF9AE}" pid="27" name="BJSCc5a055b0-1bed-4579_x">
    <vt:lpwstr/>
  </property>
  <property fmtid="{D5CDD505-2E9C-101B-9397-08002B2CF9AE}" pid="28" name="BJSCSummaryMarking">
    <vt:lpwstr>This item has no classification</vt:lpwstr>
  </property>
  <property fmtid="{D5CDD505-2E9C-101B-9397-08002B2CF9AE}" pid="29" name="BJSCInternalLabel">
    <vt:lpwstr>&lt;?xml version="1.0" encoding="us-ascii"?&gt;&lt;sisl xmlns:xsi="http://www.w3.org/2001/XMLSchema-instance" xmlns:xsd="http://www.w3.org/2001/XMLSchema" sislVersion="0" policy="973096ae-7329-4b3b-9368-47aeba6959e1" xmlns="http://www.boldonjames.com/2008/01/sie/internal/label" /&gt;</vt:lpwstr>
  </property>
  <property fmtid="{D5CDD505-2E9C-101B-9397-08002B2CF9AE}" pid="30" name="BJSCdd9eba61-d6b9-469b_x">
    <vt:lpwstr/>
  </property>
  <property fmtid="{D5CDD505-2E9C-101B-9397-08002B2CF9AE}" pid="31" name="bjClsUserRVM">
    <vt:lpwstr>[]</vt:lpwstr>
  </property>
  <property fmtid="{D5CDD505-2E9C-101B-9397-08002B2CF9AE}" pid="32" name="Organisation">
    <vt:lpwstr>Choose an Organisation</vt:lpwstr>
  </property>
  <property fmtid="{D5CDD505-2E9C-101B-9397-08002B2CF9AE}" pid="33" name="MediaServiceImageTags">
    <vt:lpwstr/>
  </property>
  <property fmtid="{D5CDD505-2E9C-101B-9397-08002B2CF9AE}" pid="34" name="MSIP_Label_5aee3434-f7af-4edb-a29e-2a21d151ac0d_Enabled">
    <vt:lpwstr>true</vt:lpwstr>
  </property>
  <property fmtid="{D5CDD505-2E9C-101B-9397-08002B2CF9AE}" pid="35" name="MSIP_Label_5aee3434-f7af-4edb-a29e-2a21d151ac0d_SetDate">
    <vt:lpwstr>2026-04-17T16:06:46Z</vt:lpwstr>
  </property>
  <property fmtid="{D5CDD505-2E9C-101B-9397-08002B2CF9AE}" pid="36" name="MSIP_Label_5aee3434-f7af-4edb-a29e-2a21d151ac0d_Method">
    <vt:lpwstr>Privileged</vt:lpwstr>
  </property>
  <property fmtid="{D5CDD505-2E9C-101B-9397-08002B2CF9AE}" pid="37" name="MSIP_Label_5aee3434-f7af-4edb-a29e-2a21d151ac0d_Name">
    <vt:lpwstr>OFFICIAL -</vt:lpwstr>
  </property>
  <property fmtid="{D5CDD505-2E9C-101B-9397-08002B2CF9AE}" pid="38" name="MSIP_Label_5aee3434-f7af-4edb-a29e-2a21d151ac0d_SiteId">
    <vt:lpwstr>185562ad-39bc-4840-8e40-be6216340c52</vt:lpwstr>
  </property>
  <property fmtid="{D5CDD505-2E9C-101B-9397-08002B2CF9AE}" pid="39" name="MSIP_Label_5aee3434-f7af-4edb-a29e-2a21d151ac0d_ActionId">
    <vt:lpwstr>193fd875-a5b1-4f1b-a8de-09277c7cc8da</vt:lpwstr>
  </property>
  <property fmtid="{D5CDD505-2E9C-101B-9397-08002B2CF9AE}" pid="40" name="MSIP_Label_5aee3434-f7af-4edb-a29e-2a21d151ac0d_ContentBits">
    <vt:lpwstr>3</vt:lpwstr>
  </property>
  <property fmtid="{D5CDD505-2E9C-101B-9397-08002B2CF9AE}" pid="41" name="MSIP_Label_5aee3434-f7af-4edb-a29e-2a21d151ac0d_Tag">
    <vt:lpwstr>10, 0, 1, 1</vt:lpwstr>
  </property>
</Properties>
</file>